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DFA72A12-C74A-428D-B423-E3D567DDE77A}"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2" i="1" l="1"/>
  <c r="M20" i="1"/>
  <c r="E104" i="21" l="1"/>
  <c r="F33" i="21" s="1"/>
  <c r="G33" i="21"/>
  <c r="I33" i="21"/>
  <c r="I47" i="21"/>
  <c r="I7" i="21"/>
  <c r="E82" i="39"/>
  <c r="D82" i="39"/>
  <c r="J33" i="21" l="1"/>
  <c r="F104" i="21"/>
  <c r="G104" i="21" s="1"/>
  <c r="E70" i="39"/>
  <c r="F70" i="39" s="1"/>
  <c r="G70" i="39" s="1"/>
  <c r="H70" i="39" s="1"/>
  <c r="I70" i="39" s="1"/>
  <c r="J70" i="39" s="1"/>
  <c r="K70" i="39" s="1"/>
  <c r="L70" i="39" s="1"/>
  <c r="M70" i="39" s="1"/>
  <c r="D70" i="39"/>
  <c r="D117" i="39"/>
  <c r="E117" i="39" s="1"/>
  <c r="F117" i="39" s="1"/>
  <c r="I15" i="39"/>
  <c r="H104" i="21" l="1"/>
  <c r="I104" i="21" s="1"/>
  <c r="H33" i="21"/>
  <c r="D59" i="21"/>
  <c r="E59" i="21" s="1"/>
  <c r="F59" i="21" s="1"/>
  <c r="G59" i="21" s="1"/>
  <c r="H59" i="21" s="1"/>
  <c r="I59" i="21" s="1"/>
  <c r="J59" i="21" s="1"/>
  <c r="K59" i="21" s="1"/>
  <c r="L59" i="21" s="1"/>
  <c r="M59" i="21" s="1"/>
  <c r="N59" i="21" s="1"/>
  <c r="O59" i="21" s="1"/>
  <c r="P59" i="21" s="1"/>
  <c r="Q59" i="21" s="1"/>
  <c r="R59" i="21" s="1"/>
  <c r="S59" i="21" s="1"/>
  <c r="T59" i="21" s="1"/>
  <c r="U59" i="21" s="1"/>
  <c r="V59" i="21" s="1"/>
  <c r="W59" i="21" s="1"/>
  <c r="X59" i="21" s="1"/>
  <c r="Y59" i="21" s="1"/>
  <c r="K102" i="21"/>
  <c r="L102" i="21"/>
  <c r="M102" i="21"/>
  <c r="D127" i="21"/>
  <c r="E127" i="21" s="1"/>
  <c r="F127" i="21" s="1"/>
  <c r="E47" i="21"/>
  <c r="E33" i="21"/>
  <c r="F26" i="21"/>
  <c r="E15" i="21"/>
  <c r="E7" i="21"/>
  <c r="G127" i="21" l="1"/>
  <c r="J37" i="21"/>
  <c r="G16" i="73"/>
  <c r="F16" i="73"/>
  <c r="E16" i="73"/>
  <c r="G15" i="73"/>
  <c r="F15" i="73"/>
  <c r="E15" i="73"/>
  <c r="G14" i="73"/>
  <c r="F14" i="73"/>
  <c r="E14" i="73"/>
  <c r="G13" i="73"/>
  <c r="F13" i="73"/>
  <c r="E13" i="73"/>
  <c r="D89" i="71"/>
  <c r="F88" i="71"/>
  <c r="F87" i="71" s="1"/>
  <c r="E88" i="71"/>
  <c r="C88" i="71"/>
  <c r="D88" i="71" s="1"/>
  <c r="B88" i="71"/>
  <c r="B87" i="71" s="1"/>
  <c r="E87" i="71"/>
  <c r="E86" i="71" s="1"/>
  <c r="F86" i="71"/>
  <c r="B86" i="7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AB34" i="71" s="1"/>
  <c r="P34" i="71"/>
  <c r="O34" i="71"/>
  <c r="N34" i="71"/>
  <c r="AH33" i="71"/>
  <c r="AG33" i="71"/>
  <c r="AF33" i="71"/>
  <c r="AE33" i="71"/>
  <c r="AD33" i="71"/>
  <c r="Q33" i="71"/>
  <c r="P33" i="71"/>
  <c r="E34" i="71" s="1"/>
  <c r="O33" i="71"/>
  <c r="N33" i="71"/>
  <c r="B34" i="71" s="1"/>
  <c r="B35" i="71" s="1"/>
  <c r="B36" i="71" s="1"/>
  <c r="S36" i="71" s="1"/>
  <c r="D33" i="71"/>
  <c r="AH32" i="71"/>
  <c r="AG32" i="71"/>
  <c r="AE32" i="71"/>
  <c r="AF32" i="71" s="1"/>
  <c r="AD32" i="71"/>
  <c r="Q32" i="71"/>
  <c r="P32" i="71"/>
  <c r="O32" i="71"/>
  <c r="Y32" i="71" s="1"/>
  <c r="Z32" i="71" s="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Y26" i="71" s="1"/>
  <c r="Z26" i="71" s="1"/>
  <c r="N26" i="71"/>
  <c r="AH25" i="71"/>
  <c r="AG25" i="71"/>
  <c r="AF25" i="71"/>
  <c r="AE25" i="71"/>
  <c r="AD25" i="71"/>
  <c r="Q25" i="71"/>
  <c r="P25" i="71"/>
  <c r="O25" i="71"/>
  <c r="N25" i="71"/>
  <c r="D25" i="71"/>
  <c r="AH24" i="71"/>
  <c r="AG24" i="71"/>
  <c r="AE24" i="71"/>
  <c r="AF24" i="71" s="1"/>
  <c r="AD24" i="71"/>
  <c r="AB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N19" i="71"/>
  <c r="AH18" i="71"/>
  <c r="AG18" i="71"/>
  <c r="AE18" i="71"/>
  <c r="AF18" i="71" s="1"/>
  <c r="AD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AB15" i="71" s="1"/>
  <c r="P15" i="71"/>
  <c r="O15" i="71"/>
  <c r="Y15" i="71" s="1"/>
  <c r="Z15" i="71" s="1"/>
  <c r="N15" i="71"/>
  <c r="AH14" i="71"/>
  <c r="AG14" i="71"/>
  <c r="AE14" i="71"/>
  <c r="AF14" i="71" s="1"/>
  <c r="AD14" i="71"/>
  <c r="Q14" i="71"/>
  <c r="AB14" i="71" s="1"/>
  <c r="P14" i="71"/>
  <c r="O14" i="71"/>
  <c r="Y14" i="71" s="1"/>
  <c r="Z14" i="71" s="1"/>
  <c r="N14" i="71"/>
  <c r="AH13" i="71"/>
  <c r="AG13" i="71"/>
  <c r="AE13" i="71"/>
  <c r="AF13" i="71" s="1"/>
  <c r="AD13" i="71"/>
  <c r="Q13" i="71"/>
  <c r="AB13" i="71" s="1"/>
  <c r="P13" i="71"/>
  <c r="O13" i="71"/>
  <c r="Y13" i="71" s="1"/>
  <c r="Z13" i="71" s="1"/>
  <c r="N13" i="71"/>
  <c r="AH12" i="71"/>
  <c r="AG12" i="71"/>
  <c r="AE12" i="71"/>
  <c r="AF12" i="71" s="1"/>
  <c r="AD12" i="71"/>
  <c r="Q12" i="71"/>
  <c r="AB12" i="71" s="1"/>
  <c r="P12" i="71"/>
  <c r="O12" i="71"/>
  <c r="Y12" i="71" s="1"/>
  <c r="Z12" i="71" s="1"/>
  <c r="N12" i="71"/>
  <c r="AH11" i="71"/>
  <c r="AG11" i="71"/>
  <c r="AE11" i="71"/>
  <c r="AF11" i="71" s="1"/>
  <c r="AD11" i="71"/>
  <c r="AB11" i="71"/>
  <c r="Q11" i="71"/>
  <c r="P11" i="71"/>
  <c r="AA11" i="71" s="1"/>
  <c r="O11" i="71"/>
  <c r="N11" i="71"/>
  <c r="X11" i="71" s="1"/>
  <c r="AH10" i="71"/>
  <c r="AG10" i="71"/>
  <c r="AE10" i="71"/>
  <c r="AF10" i="71" s="1"/>
  <c r="AD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AB3" i="71" s="1"/>
  <c r="P6" i="71"/>
  <c r="O6" i="71"/>
  <c r="N6" i="71"/>
  <c r="AH5" i="71"/>
  <c r="AG5" i="71"/>
  <c r="AE5" i="71"/>
  <c r="AF5" i="71" s="1"/>
  <c r="AD5" i="71"/>
  <c r="AB5" i="71"/>
  <c r="AA5" i="71"/>
  <c r="Z5" i="71"/>
  <c r="Y5" i="71"/>
  <c r="X5" i="71"/>
  <c r="Q5" i="71"/>
  <c r="P5" i="71"/>
  <c r="AA3" i="71" s="1"/>
  <c r="O5" i="71"/>
  <c r="Y3" i="71" s="1"/>
  <c r="Z3" i="71" s="1"/>
  <c r="N5" i="71"/>
  <c r="X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I32" i="79"/>
  <c r="AB31" i="79"/>
  <c r="AA31" i="79"/>
  <c r="Z31" i="79"/>
  <c r="N31" i="79"/>
  <c r="M31" i="79"/>
  <c r="P31" i="79" s="1"/>
  <c r="L31" i="79"/>
  <c r="I31" i="79"/>
  <c r="AB30" i="79"/>
  <c r="AA30" i="79"/>
  <c r="Z30" i="79"/>
  <c r="N30" i="79"/>
  <c r="M30" i="79"/>
  <c r="L30" i="79"/>
  <c r="S30" i="79" s="1"/>
  <c r="I30" i="79"/>
  <c r="AB29" i="79"/>
  <c r="AA29" i="79"/>
  <c r="Z29" i="79"/>
  <c r="N29" i="79"/>
  <c r="M29" i="79"/>
  <c r="P29" i="79" s="1"/>
  <c r="L29" i="79"/>
  <c r="I29" i="79"/>
  <c r="AD29" i="79" s="1"/>
  <c r="N28" i="79"/>
  <c r="M28" i="79"/>
  <c r="L28" i="79"/>
  <c r="I28" i="79"/>
  <c r="N27" i="79"/>
  <c r="M27" i="79"/>
  <c r="P27" i="79" s="1"/>
  <c r="L27" i="79"/>
  <c r="I27" i="79"/>
  <c r="N26" i="79"/>
  <c r="M26" i="79"/>
  <c r="L26" i="79"/>
  <c r="S26" i="79" s="1"/>
  <c r="I26" i="79"/>
  <c r="AB25" i="79"/>
  <c r="AA25" i="79"/>
  <c r="AA23" i="79" s="1"/>
  <c r="AD23" i="79" s="1"/>
  <c r="Z25" i="79"/>
  <c r="N25" i="79"/>
  <c r="M25" i="79"/>
  <c r="T25" i="79" s="1"/>
  <c r="W25" i="79" s="1"/>
  <c r="L25" i="79"/>
  <c r="S23" i="79" s="1"/>
  <c r="I25" i="79"/>
  <c r="AD25" i="79" s="1"/>
  <c r="AB23" i="79"/>
  <c r="Z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P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D10" i="79"/>
  <c r="AC10" i="79"/>
  <c r="AB10" i="79"/>
  <c r="AA10" i="79"/>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N8" i="79"/>
  <c r="M8" i="79"/>
  <c r="T8" i="79" s="1"/>
  <c r="W8" i="79" s="1"/>
  <c r="L8" i="79"/>
  <c r="K8" i="79"/>
  <c r="I8" i="79"/>
  <c r="O7" i="79"/>
  <c r="V7" i="79" s="1"/>
  <c r="N7" i="79"/>
  <c r="M7" i="79"/>
  <c r="P7" i="79" s="1"/>
  <c r="L7" i="79"/>
  <c r="K7" i="79"/>
  <c r="R7" i="79" s="1"/>
  <c r="I7" i="79"/>
  <c r="O6" i="79"/>
  <c r="N6" i="79"/>
  <c r="M6" i="79"/>
  <c r="P6" i="79" s="1"/>
  <c r="L6" i="79"/>
  <c r="K6" i="79"/>
  <c r="I6" i="79"/>
  <c r="AC5" i="79"/>
  <c r="AB5" i="79"/>
  <c r="AA5" i="79"/>
  <c r="Z5" i="79"/>
  <c r="Y5" i="79"/>
  <c r="O5" i="79"/>
  <c r="N5" i="79"/>
  <c r="M5" i="79"/>
  <c r="L5" i="79"/>
  <c r="S5" i="79" s="1"/>
  <c r="K5" i="79"/>
  <c r="I5" i="79"/>
  <c r="AB3" i="79"/>
  <c r="Z3"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I18" i="43" s="1"/>
  <c r="G24" i="43"/>
  <c r="E44" i="43" s="1"/>
  <c r="C44" i="43" s="1"/>
  <c r="E24" i="43"/>
  <c r="I23" i="43"/>
  <c r="C22" i="43"/>
  <c r="C20"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G92" i="40"/>
  <c r="D92" i="40"/>
  <c r="E92" i="40" s="1"/>
  <c r="F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AB11" i="40"/>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W23" i="39" s="1"/>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B108" i="37"/>
  <c r="H38" i="37" s="1"/>
  <c r="AB38" i="37" s="1"/>
  <c r="E107" i="37"/>
  <c r="F107" i="37" s="1"/>
  <c r="G107" i="37" s="1"/>
  <c r="H107" i="37" s="1"/>
  <c r="I107" i="37" s="1"/>
  <c r="J107" i="37" s="1"/>
  <c r="K107" i="37" s="1"/>
  <c r="L107" i="37" s="1"/>
  <c r="M107" i="37" s="1"/>
  <c r="D107" i="37"/>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U37" i="37"/>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J29" i="21" s="1"/>
  <c r="AC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Q33" i="21"/>
  <c r="Z33" i="21" s="1"/>
  <c r="Q32" i="21"/>
  <c r="Z32" i="21" s="1"/>
  <c r="J32" i="21"/>
  <c r="H32" i="21"/>
  <c r="AB32" i="21" s="1"/>
  <c r="F32" i="21"/>
  <c r="AA32" i="21" s="1"/>
  <c r="Q31" i="21"/>
  <c r="Z31" i="21" s="1"/>
  <c r="J31" i="21"/>
  <c r="AC31" i="21" s="1"/>
  <c r="H31" i="21"/>
  <c r="AB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D24"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A527" i="3" s="1"/>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A511" i="3" s="1"/>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A361" i="3" s="1"/>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A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O5" i="3" s="1"/>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H14" i="3"/>
  <c r="BT13" i="3"/>
  <c r="BS13" i="3"/>
  <c r="BR13" i="3"/>
  <c r="BQ13" i="3"/>
  <c r="BP13" i="3"/>
  <c r="BO13" i="3"/>
  <c r="BN13" i="3"/>
  <c r="BM13" i="3"/>
  <c r="BK13" i="3"/>
  <c r="BK5" i="3" s="1"/>
  <c r="BJ13" i="3"/>
  <c r="BI13" i="3"/>
  <c r="BH13" i="3"/>
  <c r="BG13" i="3"/>
  <c r="BF13" i="3"/>
  <c r="BE13" i="3"/>
  <c r="BD13" i="3"/>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K5" i="4" s="1"/>
  <c r="B47" i="48" s="1"/>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A5" i="62"/>
  <c r="B72" i="72" s="1"/>
  <c r="A4" i="62"/>
  <c r="B70" i="72" s="1"/>
  <c r="A12" i="52"/>
  <c r="A10" i="52"/>
  <c r="A8" i="52"/>
  <c r="A6" i="52"/>
  <c r="H2" i="52"/>
  <c r="F2" i="52"/>
  <c r="D2" i="52"/>
  <c r="A1" i="52"/>
  <c r="B19" i="53"/>
  <c r="D17" i="53"/>
  <c r="B36" i="72" s="1"/>
  <c r="D16" i="53"/>
  <c r="B16" i="53"/>
  <c r="B13" i="53"/>
  <c r="D12" i="53"/>
  <c r="B28" i="72" s="1"/>
  <c r="D11" i="53"/>
  <c r="D10" i="53"/>
  <c r="B8" i="53"/>
  <c r="B23" i="72" s="1"/>
  <c r="A3" i="53"/>
  <c r="A2" i="53"/>
  <c r="B19" i="72" s="1"/>
  <c r="A24" i="51"/>
  <c r="B18" i="72" s="1"/>
  <c r="A22" i="51"/>
  <c r="B17" i="72" s="1"/>
  <c r="A21" i="51"/>
  <c r="A20" i="51"/>
  <c r="B15" i="72" s="1"/>
  <c r="A13" i="51"/>
  <c r="B11" i="72" s="1"/>
  <c r="A4" i="51"/>
  <c r="A3" i="51"/>
  <c r="B49" i="48"/>
  <c r="B5" i="72" s="1"/>
  <c r="B40" i="48"/>
  <c r="B74" i="72"/>
  <c r="B73" i="72"/>
  <c r="B69" i="72"/>
  <c r="B68" i="72"/>
  <c r="B67" i="72"/>
  <c r="B66" i="72"/>
  <c r="B65" i="72"/>
  <c r="B63" i="72"/>
  <c r="B62" i="72"/>
  <c r="B61" i="72"/>
  <c r="B59" i="72"/>
  <c r="B58" i="72"/>
  <c r="B57" i="72"/>
  <c r="B56" i="72"/>
  <c r="B55" i="72"/>
  <c r="B54" i="72"/>
  <c r="B50" i="72"/>
  <c r="B46" i="72"/>
  <c r="B44" i="72"/>
  <c r="B42" i="72"/>
  <c r="B37" i="72"/>
  <c r="B34" i="72"/>
  <c r="B33" i="72"/>
  <c r="B29" i="72"/>
  <c r="B27" i="72"/>
  <c r="B26" i="72"/>
  <c r="B16" i="72"/>
  <c r="B10" i="72"/>
  <c r="B8" i="72"/>
  <c r="B6" i="72"/>
  <c r="B3" i="72"/>
  <c r="B2" i="72"/>
  <c r="F13" i="67"/>
  <c r="AO12" i="1"/>
  <c r="J15" i="67"/>
  <c r="M9" i="67"/>
  <c r="AO8" i="1"/>
  <c r="B10" i="76"/>
  <c r="D2" i="34"/>
  <c r="AO13" i="1"/>
  <c r="M28" i="67"/>
  <c r="E12" i="76"/>
  <c r="L47" i="67"/>
  <c r="M26" i="67"/>
  <c r="F6" i="67"/>
  <c r="E11" i="76"/>
  <c r="M27" i="67"/>
  <c r="AO11" i="1"/>
  <c r="F37" i="67"/>
  <c r="F36" i="67"/>
  <c r="D34" i="9"/>
  <c r="E7" i="76"/>
  <c r="AO9" i="1"/>
  <c r="F7" i="67"/>
  <c r="F20" i="31"/>
  <c r="F8" i="67"/>
  <c r="B13" i="76"/>
  <c r="E8" i="76"/>
  <c r="D2" i="33"/>
  <c r="B12" i="76"/>
  <c r="M23" i="67"/>
  <c r="B9" i="76"/>
  <c r="E2" i="68"/>
  <c r="M8" i="67"/>
  <c r="F40" i="67"/>
  <c r="E10" i="76"/>
  <c r="D2" i="35"/>
  <c r="AO7" i="1"/>
  <c r="D2" i="36"/>
  <c r="F26" i="67"/>
  <c r="E2" i="69"/>
  <c r="B8" i="76"/>
  <c r="AO10" i="1"/>
  <c r="F42" i="67"/>
  <c r="B7" i="76"/>
  <c r="F9" i="67"/>
  <c r="M22" i="67"/>
  <c r="D2" i="21"/>
  <c r="F16" i="67"/>
  <c r="E9" i="76"/>
  <c r="C76" i="67"/>
  <c r="M24" i="67"/>
  <c r="D35" i="9"/>
  <c r="M6" i="67"/>
  <c r="D2" i="37"/>
  <c r="B11" i="76"/>
  <c r="E13" i="76"/>
  <c r="F38" i="67"/>
  <c r="F29" i="21" l="1"/>
  <c r="AA29" i="21" s="1"/>
  <c r="H29" i="21"/>
  <c r="AB29" i="21" s="1"/>
  <c r="H127" i="21"/>
  <c r="F37" i="21" s="1"/>
  <c r="H37" i="21"/>
  <c r="J11" i="39"/>
  <c r="AC11" i="39" s="1"/>
  <c r="AC40" i="39"/>
  <c r="AB29" i="39"/>
  <c r="AC23" i="39"/>
  <c r="H17" i="21"/>
  <c r="AB17" i="21" s="1"/>
  <c r="B3" i="78"/>
  <c r="C7" i="78" s="1"/>
  <c r="D7" i="78" s="1"/>
  <c r="A15" i="51"/>
  <c r="B12" i="72"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AZ303" i="3" s="1"/>
  <c r="BL306" i="3"/>
  <c r="G307" i="3"/>
  <c r="BL311" i="3"/>
  <c r="G312" i="3"/>
  <c r="BA321" i="3"/>
  <c r="BA338" i="3"/>
  <c r="AZ338" i="3" s="1"/>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AZ311" i="3" s="1"/>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AZ364" i="3" s="1"/>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G496" i="3"/>
  <c r="BA498" i="3"/>
  <c r="AZ498" i="3" s="1"/>
  <c r="BL499" i="3"/>
  <c r="G500" i="3"/>
  <c r="BA502" i="3"/>
  <c r="AZ502" i="3" s="1"/>
  <c r="BL503" i="3"/>
  <c r="G504" i="3"/>
  <c r="BA506" i="3"/>
  <c r="AZ506" i="3" s="1"/>
  <c r="BL507" i="3"/>
  <c r="G508" i="3"/>
  <c r="BA510" i="3"/>
  <c r="AZ510" i="3" s="1"/>
  <c r="BL511" i="3"/>
  <c r="G512" i="3"/>
  <c r="BA514" i="3"/>
  <c r="AZ514" i="3" s="1"/>
  <c r="BL515" i="3"/>
  <c r="G516" i="3"/>
  <c r="BA518" i="3"/>
  <c r="AZ518" i="3" s="1"/>
  <c r="BL519" i="3"/>
  <c r="G520" i="3"/>
  <c r="BA522" i="3"/>
  <c r="AZ522" i="3" s="1"/>
  <c r="BL523" i="3"/>
  <c r="G524" i="3"/>
  <c r="BA526" i="3"/>
  <c r="AZ526" i="3" s="1"/>
  <c r="BL527" i="3"/>
  <c r="G528" i="3"/>
  <c r="BA530" i="3"/>
  <c r="AZ530" i="3" s="1"/>
  <c r="BL531" i="3"/>
  <c r="G532" i="3"/>
  <c r="BA534" i="3"/>
  <c r="AZ534" i="3" s="1"/>
  <c r="BL535" i="3"/>
  <c r="G536" i="3"/>
  <c r="BA538" i="3"/>
  <c r="AZ538" i="3" s="1"/>
  <c r="BL539" i="3"/>
  <c r="G540" i="3"/>
  <c r="BA542" i="3"/>
  <c r="AZ542" i="3" s="1"/>
  <c r="BL543" i="3"/>
  <c r="G544" i="3"/>
  <c r="BA546" i="3"/>
  <c r="AZ546" i="3" s="1"/>
  <c r="BL547" i="3"/>
  <c r="G548" i="3"/>
  <c r="BA550" i="3"/>
  <c r="AZ550" i="3" s="1"/>
  <c r="BL551" i="3"/>
  <c r="G552" i="3"/>
  <c r="BA554" i="3"/>
  <c r="AZ554" i="3" s="1"/>
  <c r="BL555" i="3"/>
  <c r="G556" i="3"/>
  <c r="BA558" i="3"/>
  <c r="AZ558" i="3" s="1"/>
  <c r="BL559" i="3"/>
  <c r="G560" i="3"/>
  <c r="BA562" i="3"/>
  <c r="AZ562" i="3" s="1"/>
  <c r="BL563" i="3"/>
  <c r="G564" i="3"/>
  <c r="BA566" i="3"/>
  <c r="AZ566" i="3" s="1"/>
  <c r="BL567" i="3"/>
  <c r="G568" i="3"/>
  <c r="BA570" i="3"/>
  <c r="AZ570" i="3" s="1"/>
  <c r="BL571" i="3"/>
  <c r="G572" i="3"/>
  <c r="BA574" i="3"/>
  <c r="AZ574" i="3" s="1"/>
  <c r="BL575" i="3"/>
  <c r="G576" i="3"/>
  <c r="BA578" i="3"/>
  <c r="AZ578" i="3" s="1"/>
  <c r="BL579" i="3"/>
  <c r="G580" i="3"/>
  <c r="BA582" i="3"/>
  <c r="AZ582" i="3" s="1"/>
  <c r="BL583" i="3"/>
  <c r="G584" i="3"/>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5" i="3"/>
  <c r="B3" i="3" s="1"/>
  <c r="P6" i="3" s="1"/>
  <c r="E19" i="3"/>
  <c r="E23" i="3"/>
  <c r="E27" i="3"/>
  <c r="E35" i="3"/>
  <c r="E39" i="3"/>
  <c r="E43" i="3"/>
  <c r="E51" i="3"/>
  <c r="E55" i="3"/>
  <c r="E59" i="3"/>
  <c r="E67" i="3"/>
  <c r="E71" i="3"/>
  <c r="E75" i="3"/>
  <c r="E83" i="3"/>
  <c r="E87" i="3"/>
  <c r="E91" i="3"/>
  <c r="E99" i="3"/>
  <c r="E103" i="3"/>
  <c r="E107" i="3"/>
  <c r="E115" i="3"/>
  <c r="E119" i="3"/>
  <c r="E123" i="3"/>
  <c r="E131" i="3"/>
  <c r="E135" i="3"/>
  <c r="E139" i="3"/>
  <c r="E147" i="3"/>
  <c r="E151" i="3"/>
  <c r="E155" i="3"/>
  <c r="E163" i="3"/>
  <c r="E166" i="3"/>
  <c r="E170" i="3"/>
  <c r="E178" i="3"/>
  <c r="E182" i="3"/>
  <c r="E186" i="3"/>
  <c r="E194" i="3"/>
  <c r="E198" i="3"/>
  <c r="E202" i="3"/>
  <c r="E210" i="3"/>
  <c r="E214" i="3"/>
  <c r="E218" i="3"/>
  <c r="E226" i="3"/>
  <c r="E230" i="3"/>
  <c r="E234" i="3"/>
  <c r="E242" i="3"/>
  <c r="E246" i="3"/>
  <c r="E250" i="3"/>
  <c r="E258" i="3"/>
  <c r="E262" i="3"/>
  <c r="E266" i="3"/>
  <c r="E274" i="3"/>
  <c r="E278" i="3"/>
  <c r="E282" i="3"/>
  <c r="E290" i="3"/>
  <c r="E294" i="3"/>
  <c r="E298" i="3"/>
  <c r="E306" i="3"/>
  <c r="E310" i="3"/>
  <c r="E314" i="3"/>
  <c r="E322" i="3"/>
  <c r="E326" i="3"/>
  <c r="E330" i="3"/>
  <c r="E338" i="3"/>
  <c r="E342" i="3"/>
  <c r="E346" i="3"/>
  <c r="E354" i="3"/>
  <c r="E358" i="3"/>
  <c r="E366" i="3"/>
  <c r="E382" i="3"/>
  <c r="E390" i="3"/>
  <c r="E398" i="3"/>
  <c r="E414" i="3"/>
  <c r="E422" i="3"/>
  <c r="E430" i="3"/>
  <c r="G24" i="78"/>
  <c r="AD6" i="3"/>
  <c r="AH6" i="3"/>
  <c r="AL6" i="3"/>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E172" i="3"/>
  <c r="AZ173" i="3"/>
  <c r="AZ177" i="3"/>
  <c r="E180" i="3"/>
  <c r="AZ181" i="3"/>
  <c r="AZ185" i="3"/>
  <c r="E188" i="3"/>
  <c r="AZ189" i="3"/>
  <c r="AZ193" i="3"/>
  <c r="E196" i="3"/>
  <c r="AZ197" i="3"/>
  <c r="AZ201" i="3"/>
  <c r="E204" i="3"/>
  <c r="AZ205" i="3"/>
  <c r="AZ209" i="3"/>
  <c r="E212" i="3"/>
  <c r="AZ213" i="3"/>
  <c r="AZ217" i="3"/>
  <c r="E220" i="3"/>
  <c r="AZ221" i="3"/>
  <c r="AZ225" i="3"/>
  <c r="E228" i="3"/>
  <c r="AZ229" i="3"/>
  <c r="AZ233" i="3"/>
  <c r="E236" i="3"/>
  <c r="AZ237" i="3"/>
  <c r="AZ241" i="3"/>
  <c r="E244" i="3"/>
  <c r="AZ245" i="3"/>
  <c r="AZ249" i="3"/>
  <c r="E252" i="3"/>
  <c r="AZ253" i="3"/>
  <c r="AZ257" i="3"/>
  <c r="E260" i="3"/>
  <c r="AZ261" i="3"/>
  <c r="AZ265" i="3"/>
  <c r="E268" i="3"/>
  <c r="AZ269" i="3"/>
  <c r="AZ273" i="3"/>
  <c r="E276" i="3"/>
  <c r="AZ277" i="3"/>
  <c r="AZ281" i="3"/>
  <c r="E284" i="3"/>
  <c r="AZ285" i="3"/>
  <c r="AZ289" i="3"/>
  <c r="E292" i="3"/>
  <c r="AZ293" i="3"/>
  <c r="AZ297" i="3"/>
  <c r="E300" i="3"/>
  <c r="AZ301" i="3"/>
  <c r="AZ305" i="3"/>
  <c r="E308" i="3"/>
  <c r="AZ309" i="3"/>
  <c r="AZ313" i="3"/>
  <c r="E316" i="3"/>
  <c r="AZ317" i="3"/>
  <c r="AZ321" i="3"/>
  <c r="E324" i="3"/>
  <c r="AZ325" i="3"/>
  <c r="AZ329" i="3"/>
  <c r="E332" i="3"/>
  <c r="AZ333" i="3"/>
  <c r="AZ337" i="3"/>
  <c r="E340" i="3"/>
  <c r="AZ341" i="3"/>
  <c r="AZ345" i="3"/>
  <c r="E348" i="3"/>
  <c r="AZ349" i="3"/>
  <c r="AZ353" i="3"/>
  <c r="E356" i="3"/>
  <c r="AZ357" i="3"/>
  <c r="E372" i="3"/>
  <c r="E380" i="3"/>
  <c r="E388" i="3"/>
  <c r="E404" i="3"/>
  <c r="E412" i="3"/>
  <c r="E420" i="3"/>
  <c r="AB8" i="71"/>
  <c r="X8" i="71"/>
  <c r="AA8" i="71"/>
  <c r="Y8" i="71"/>
  <c r="Z8" i="71" s="1"/>
  <c r="A118" i="9"/>
  <c r="A2" i="9"/>
  <c r="M56" i="9"/>
  <c r="J56" i="9"/>
  <c r="J57" i="9" s="1"/>
  <c r="J59" i="9" s="1"/>
  <c r="J61" i="9" s="1"/>
  <c r="N56" i="9"/>
  <c r="K56" i="9"/>
  <c r="I4" i="6"/>
  <c r="E13" i="6"/>
  <c r="E10" i="6"/>
  <c r="E8" i="6"/>
  <c r="E363" i="3"/>
  <c r="E367" i="3"/>
  <c r="E371" i="3"/>
  <c r="E379" i="3"/>
  <c r="E383" i="3"/>
  <c r="E387" i="3"/>
  <c r="E395" i="3"/>
  <c r="E399" i="3"/>
  <c r="E403" i="3"/>
  <c r="E411" i="3"/>
  <c r="E415" i="3"/>
  <c r="E419" i="3"/>
  <c r="E427" i="3"/>
  <c r="E431" i="3"/>
  <c r="AZ431" i="3"/>
  <c r="AZ435" i="3"/>
  <c r="E439" i="3"/>
  <c r="AZ439" i="3"/>
  <c r="AZ443" i="3"/>
  <c r="E447" i="3"/>
  <c r="AZ447" i="3"/>
  <c r="AZ451" i="3"/>
  <c r="E455" i="3"/>
  <c r="AZ455" i="3"/>
  <c r="AZ459" i="3"/>
  <c r="E463" i="3"/>
  <c r="AZ463" i="3"/>
  <c r="AZ467" i="3"/>
  <c r="E471" i="3"/>
  <c r="AZ471" i="3"/>
  <c r="AZ475" i="3"/>
  <c r="E479" i="3"/>
  <c r="AZ479" i="3"/>
  <c r="AZ483" i="3"/>
  <c r="E487" i="3"/>
  <c r="AZ487" i="3"/>
  <c r="AZ491" i="3"/>
  <c r="E495" i="3"/>
  <c r="AZ495" i="3"/>
  <c r="AZ499" i="3"/>
  <c r="E503" i="3"/>
  <c r="AZ503" i="3"/>
  <c r="AZ507" i="3"/>
  <c r="E511" i="3"/>
  <c r="AZ511" i="3"/>
  <c r="AZ515" i="3"/>
  <c r="E519" i="3"/>
  <c r="AZ519" i="3"/>
  <c r="AZ523" i="3"/>
  <c r="E527" i="3"/>
  <c r="AZ527" i="3"/>
  <c r="AZ531" i="3"/>
  <c r="E535" i="3"/>
  <c r="AZ535" i="3"/>
  <c r="AZ539" i="3"/>
  <c r="E543" i="3"/>
  <c r="AZ543" i="3"/>
  <c r="AZ547" i="3"/>
  <c r="E551" i="3"/>
  <c r="AZ551" i="3"/>
  <c r="AZ555" i="3"/>
  <c r="E559" i="3"/>
  <c r="AZ559" i="3"/>
  <c r="AZ563" i="3"/>
  <c r="E567" i="3"/>
  <c r="AZ567" i="3"/>
  <c r="AZ571" i="3"/>
  <c r="E575" i="3"/>
  <c r="AZ575" i="3"/>
  <c r="AZ579" i="3"/>
  <c r="E583" i="3"/>
  <c r="AZ583" i="3"/>
  <c r="AZ587" i="3"/>
  <c r="AR8" i="1"/>
  <c r="AQ8" i="1"/>
  <c r="T8" i="1"/>
  <c r="AQ9" i="1"/>
  <c r="T9" i="1"/>
  <c r="AR9" i="1"/>
  <c r="C18" i="9"/>
  <c r="D18" i="9" s="1"/>
  <c r="C94" i="9"/>
  <c r="C92" i="9"/>
  <c r="H89" i="21"/>
  <c r="I89" i="21" s="1"/>
  <c r="J89" i="21" s="1"/>
  <c r="K89" i="21" s="1"/>
  <c r="L89" i="21" s="1"/>
  <c r="M89" i="21" s="1"/>
  <c r="H26" i="21"/>
  <c r="AB26" i="21" s="1"/>
  <c r="J26" i="21"/>
  <c r="AC26" i="21" s="1"/>
  <c r="AA26" i="21"/>
  <c r="AC30" i="21"/>
  <c r="W30" i="21"/>
  <c r="E432" i="3"/>
  <c r="E440" i="3"/>
  <c r="E444" i="3"/>
  <c r="E448" i="3"/>
  <c r="E456" i="3"/>
  <c r="E460" i="3"/>
  <c r="E464" i="3"/>
  <c r="E472" i="3"/>
  <c r="E476" i="3"/>
  <c r="E480" i="3"/>
  <c r="E488" i="3"/>
  <c r="E492" i="3"/>
  <c r="E496" i="3"/>
  <c r="E504" i="3"/>
  <c r="E508" i="3"/>
  <c r="E512" i="3"/>
  <c r="E520" i="3"/>
  <c r="E524" i="3"/>
  <c r="E528" i="3"/>
  <c r="E536" i="3"/>
  <c r="E540" i="3"/>
  <c r="E544" i="3"/>
  <c r="E552" i="3"/>
  <c r="E556" i="3"/>
  <c r="E560" i="3"/>
  <c r="E568" i="3"/>
  <c r="E572" i="3"/>
  <c r="E576" i="3"/>
  <c r="E584" i="3"/>
  <c r="AQ7" i="1"/>
  <c r="T7" i="1"/>
  <c r="AR7" i="1"/>
  <c r="AR10" i="1"/>
  <c r="AQ10" i="1"/>
  <c r="T10" i="1"/>
  <c r="R25" i="77"/>
  <c r="R5" i="77" s="1"/>
  <c r="U5" i="77" s="1"/>
  <c r="AB13" i="21"/>
  <c r="U13" i="21"/>
  <c r="W37" i="21"/>
  <c r="J44" i="21"/>
  <c r="H44" i="21"/>
  <c r="AC46" i="21"/>
  <c r="W46" i="21"/>
  <c r="AC27" i="33"/>
  <c r="W27" i="33"/>
  <c r="AC29" i="33"/>
  <c r="W29" i="33"/>
  <c r="AC31" i="33"/>
  <c r="W31" i="33"/>
  <c r="AB45" i="33"/>
  <c r="U45" i="33"/>
  <c r="B6" i="1"/>
  <c r="E6" i="1" s="1"/>
  <c r="K6" i="1"/>
  <c r="C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E15" i="39" s="1"/>
  <c r="B61" i="43"/>
  <c r="C19" i="39"/>
  <c r="B90" i="43"/>
  <c r="C21" i="40"/>
  <c r="B97" i="43"/>
  <c r="B75" i="43"/>
  <c r="B65" i="43"/>
  <c r="B54" i="43"/>
  <c r="B14" i="74"/>
  <c r="B1" i="74" s="1"/>
  <c r="F53" i="9"/>
  <c r="L63" i="9"/>
  <c r="M63" i="9" s="1"/>
  <c r="M69" i="9" s="1"/>
  <c r="N69" i="9" s="1"/>
  <c r="L64" i="9"/>
  <c r="M64" i="9" s="1"/>
  <c r="L65" i="9"/>
  <c r="M65" i="9" s="1"/>
  <c r="L66" i="9"/>
  <c r="M66" i="9" s="1"/>
  <c r="L67" i="9"/>
  <c r="M67" i="9" s="1"/>
  <c r="D68" i="9"/>
  <c r="H110" i="9"/>
  <c r="D18" i="53" s="1"/>
  <c r="B35" i="72" s="1"/>
  <c r="H111" i="9"/>
  <c r="G1" i="68"/>
  <c r="F34" i="68"/>
  <c r="G41" i="68"/>
  <c r="K1" i="12"/>
  <c r="G1" i="15"/>
  <c r="M18" i="15"/>
  <c r="F32" i="15"/>
  <c r="F60" i="15" s="1"/>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AA37" i="21"/>
  <c r="S37" i="21"/>
  <c r="U37" i="21"/>
  <c r="AB37" i="21"/>
  <c r="S38" i="21"/>
  <c r="W38" i="21"/>
  <c r="U38" i="21"/>
  <c r="S32" i="21"/>
  <c r="H27" i="21"/>
  <c r="AB27" i="21" s="1"/>
  <c r="W28" i="21"/>
  <c r="S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6" i="73"/>
  <c r="D7" i="73"/>
  <c r="F43" i="67"/>
  <c r="L48" i="67"/>
  <c r="F6" i="73"/>
  <c r="D5" i="73"/>
  <c r="D4" i="73"/>
  <c r="F7" i="73"/>
  <c r="M29" i="67"/>
  <c r="D3" i="73"/>
  <c r="W34" i="21" l="1"/>
  <c r="S31" i="39"/>
  <c r="F31" i="12"/>
  <c r="F30" i="68"/>
  <c r="F48" i="68" s="1"/>
  <c r="F48" i="9"/>
  <c r="O52" i="9" s="1"/>
  <c r="F28" i="15"/>
  <c r="F52" i="9"/>
  <c r="F30" i="11"/>
  <c r="C30" i="11" s="1"/>
  <c r="M18" i="67"/>
  <c r="AC37" i="21"/>
  <c r="W27" i="21"/>
  <c r="U34" i="21"/>
  <c r="U28" i="21"/>
  <c r="W42" i="21"/>
  <c r="S27" i="21"/>
  <c r="U26" i="21"/>
  <c r="C15" i="12"/>
  <c r="E5" i="6"/>
  <c r="E12" i="6"/>
  <c r="J26" i="35"/>
  <c r="AZ561" i="3"/>
  <c r="AZ553" i="3"/>
  <c r="AZ521" i="3"/>
  <c r="AZ167" i="3"/>
  <c r="AZ5" i="3" s="1"/>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E32" i="77" s="1"/>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L48" i="15"/>
  <c r="M23" i="15"/>
  <c r="J15" i="15"/>
  <c r="M24" i="15"/>
  <c r="F35" i="15"/>
  <c r="F9" i="15"/>
  <c r="C14" i="15"/>
  <c r="M22" i="15"/>
  <c r="F37" i="15"/>
  <c r="F3" i="73"/>
  <c r="C76" i="15"/>
  <c r="F36" i="15"/>
  <c r="M6" i="15"/>
  <c r="F6" i="15"/>
  <c r="L47" i="15"/>
  <c r="F38" i="15"/>
  <c r="F40" i="15"/>
  <c r="M8" i="15"/>
  <c r="C16" i="67"/>
  <c r="F5" i="73"/>
  <c r="M9" i="15"/>
  <c r="M26" i="15"/>
  <c r="G1" i="73"/>
  <c r="F26" i="15"/>
  <c r="F16" i="15"/>
  <c r="F43" i="15"/>
  <c r="F4" i="73"/>
  <c r="M28" i="15"/>
  <c r="M29" i="15"/>
  <c r="F8" i="15"/>
  <c r="M21" i="15"/>
  <c r="F7" i="15"/>
  <c r="F13" i="15"/>
  <c r="F42" i="15"/>
  <c r="M27" i="15"/>
  <c r="F41" i="15"/>
  <c r="J18" i="67" l="1"/>
  <c r="C31" i="67"/>
  <c r="J19" i="67"/>
  <c r="B40" i="1"/>
  <c r="F22" i="11" s="1"/>
  <c r="C26" i="11" s="1"/>
  <c r="D22" i="11" s="1"/>
  <c r="E3" i="6"/>
  <c r="D37" i="11" s="1"/>
  <c r="C37"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E6" i="3" s="1"/>
  <c r="C9" i="68"/>
  <c r="F27" i="11"/>
  <c r="F27" i="69"/>
  <c r="F28" i="12"/>
  <c r="F27" i="68"/>
  <c r="C32" i="71"/>
  <c r="D31" i="71"/>
  <c r="C40" i="71"/>
  <c r="D39" i="71"/>
  <c r="T44" i="71"/>
  <c r="D44" i="71"/>
  <c r="E65" i="39"/>
  <c r="D20" i="53"/>
  <c r="B40" i="72" s="1"/>
  <c r="B38" i="72"/>
  <c r="N66" i="71"/>
  <c r="N65" i="71"/>
  <c r="C36" i="71"/>
  <c r="D35" i="71"/>
  <c r="D19" i="11"/>
  <c r="C19" i="11" s="1"/>
  <c r="D3" i="37"/>
  <c r="B3" i="37" s="1"/>
  <c r="D3" i="34"/>
  <c r="B3" i="34" s="1"/>
  <c r="E6" i="6"/>
  <c r="D3" i="33"/>
  <c r="B3" i="33" s="1"/>
  <c r="D14" i="12"/>
  <c r="C17" i="4"/>
  <c r="B4" i="52" s="1"/>
  <c r="B43" i="72" s="1"/>
  <c r="E31" i="6"/>
  <c r="C9" i="69"/>
  <c r="S12" i="71"/>
  <c r="B11" i="71"/>
  <c r="B10" i="71" s="1"/>
  <c r="B9" i="71" s="1"/>
  <c r="B8" i="71" s="1"/>
  <c r="B7" i="71" s="1"/>
  <c r="B6" i="71" s="1"/>
  <c r="B5" i="71" s="1"/>
  <c r="V16" i="71"/>
  <c r="E15" i="71"/>
  <c r="E14" i="71" s="1"/>
  <c r="E13" i="71" s="1"/>
  <c r="E12" i="71" s="1"/>
  <c r="M23" i="43"/>
  <c r="D22" i="71"/>
  <c r="C21" i="71"/>
  <c r="F31" i="6"/>
  <c r="D127" i="9"/>
  <c r="D13" i="52" s="1"/>
  <c r="D12" i="52"/>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C44" i="11" l="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10" i="68"/>
  <c r="D20" i="12"/>
  <c r="C20" i="12" s="1"/>
  <c r="C20" i="11"/>
  <c r="C25" i="11"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4" i="67"/>
  <c r="C17" i="67"/>
  <c r="AE6" i="1"/>
  <c r="C26" i="69" l="1"/>
  <c r="D22" i="69" s="1"/>
  <c r="C24" i="69"/>
  <c r="F41" i="69"/>
  <c r="N36" i="43"/>
  <c r="L37" i="43"/>
  <c r="Q37" i="43" s="1"/>
  <c r="P36" i="43"/>
  <c r="M36" i="43"/>
  <c r="O36" i="43"/>
  <c r="C23" i="68"/>
  <c r="C44" i="68"/>
  <c r="D41" i="68" s="1"/>
  <c r="F41" i="68"/>
  <c r="C22" i="11"/>
  <c r="C59" i="15"/>
  <c r="M19" i="6"/>
  <c r="C18" i="12"/>
  <c r="C21" i="12" s="1"/>
  <c r="C22" i="12" s="1"/>
  <c r="C23" i="15"/>
  <c r="D30" i="6"/>
  <c r="AB7" i="2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D31" i="6" s="1"/>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C31" i="11" l="1"/>
  <c r="M37" i="43"/>
  <c r="P37" i="43"/>
  <c r="N37" i="43"/>
  <c r="O37" i="43"/>
  <c r="C30" i="43"/>
  <c r="B2" i="43" s="1"/>
  <c r="C31" i="43"/>
  <c r="C29" i="15"/>
  <c r="Q49" i="15" s="1"/>
  <c r="C19" i="67"/>
  <c r="C20" i="67" s="1"/>
  <c r="C23" i="67" s="1"/>
  <c r="C33" i="69"/>
  <c r="C39" i="69" s="1"/>
  <c r="C43" i="69" s="1"/>
  <c r="C27" i="12"/>
  <c r="C25" i="12" s="1"/>
  <c r="C30" i="12"/>
  <c r="C28" i="12" s="1"/>
  <c r="C19" i="68"/>
  <c r="D37" i="68"/>
  <c r="C37" i="68" s="1"/>
  <c r="I5" i="6"/>
  <c r="I6" i="6"/>
  <c r="N16" i="1"/>
  <c r="L16" i="1"/>
  <c r="C34" i="68"/>
  <c r="C34" i="11"/>
  <c r="I27" i="6"/>
  <c r="S19" i="6"/>
  <c r="S27" i="6" s="1"/>
  <c r="H19" i="6"/>
  <c r="C18" i="71"/>
  <c r="D19" i="71"/>
  <c r="F69" i="67"/>
  <c r="J29" i="67"/>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E6" i="76"/>
  <c r="B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50" i="34"/>
  <c r="C49" i="34"/>
  <c r="C42" i="37"/>
  <c r="C43" i="37"/>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B3" i="76" l="1"/>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H69" i="39"/>
  <c r="I67" i="39"/>
  <c r="H65" i="40"/>
  <c r="I63" i="40"/>
  <c r="F35" i="67"/>
  <c r="M21" i="67"/>
  <c r="Q68" i="15" l="1"/>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B6" i="70" l="1"/>
  <c r="B2" i="70" s="1"/>
  <c r="B3" i="70" s="1"/>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B3" i="69"/>
  <c r="C57" i="69"/>
  <c r="C56" i="69" s="1"/>
  <c r="D20" i="9"/>
  <c r="D103" i="9" l="1"/>
  <c r="S33" i="21"/>
  <c r="AA33" i="21" l="1"/>
  <c r="R48" i="21" s="1"/>
  <c r="E48" i="21" l="1"/>
  <c r="AB33" i="21"/>
  <c r="T48" i="21" s="1"/>
  <c r="G48" i="21" s="1"/>
  <c r="U33" i="21"/>
  <c r="AC33" i="21"/>
  <c r="V48" i="21" s="1"/>
  <c r="I48" i="21" s="1"/>
  <c r="W33" i="21"/>
  <c r="G52" i="21" l="1"/>
  <c r="H52" i="21" s="1"/>
  <c r="G53" i="21"/>
  <c r="H53" i="21" s="1"/>
  <c r="R49" i="21"/>
  <c r="I52" i="21"/>
  <c r="J52" i="21" s="1"/>
  <c r="I53" i="21"/>
  <c r="J53" i="21" s="1"/>
  <c r="E52" i="21"/>
  <c r="F52" i="21" s="1"/>
  <c r="E53" i="21"/>
  <c r="F53" i="21" s="1"/>
  <c r="C48" i="21" l="1"/>
  <c r="C49" i="21"/>
  <c r="B2" i="21" l="1"/>
  <c r="B3" i="21"/>
  <c r="C19" i="9"/>
  <c r="C20" i="9"/>
  <c r="C103" i="9" l="1"/>
  <c r="G20" i="9"/>
  <c r="C21" i="9"/>
  <c r="D22" i="9"/>
  <c r="C102" i="9"/>
  <c r="I19" i="9" l="1"/>
  <c r="C32" i="9"/>
  <c r="G19" i="9"/>
  <c r="E14" i="74"/>
  <c r="D14" i="74" s="1"/>
  <c r="D27" i="9" l="1"/>
  <c r="D30" i="9" s="1"/>
  <c r="C30" i="9" s="1"/>
  <c r="B5" i="74"/>
  <c r="F14" i="74"/>
  <c r="G24" i="9"/>
  <c r="G21" i="9"/>
  <c r="C35" i="9"/>
  <c r="C34" i="9" s="1"/>
  <c r="D5" i="74" l="1"/>
  <c r="B22" i="72"/>
  <c r="D6" i="53"/>
  <c r="B49" i="72"/>
  <c r="D5" i="52"/>
  <c r="D119" i="9"/>
  <c r="B53" i="72"/>
  <c r="F5" i="52"/>
  <c r="F119" i="9"/>
  <c r="B51" i="72"/>
  <c r="F4" i="52"/>
  <c r="C5" i="74"/>
  <c r="B47" i="72"/>
  <c r="D118" i="9"/>
  <c r="D4" i="52"/>
  <c r="H5" i="52"/>
  <c r="H119" i="9"/>
  <c r="D9" i="52"/>
  <c r="D123" i="9"/>
  <c r="E81" i="9"/>
  <c r="E80" i="9"/>
  <c r="C80" i="9"/>
  <c r="B30" i="72"/>
  <c r="D59" i="9"/>
  <c r="M55" i="9"/>
  <c r="H102" i="9"/>
  <c r="D7" i="53"/>
  <c r="B21" i="72"/>
  <c r="N61" i="9"/>
  <c r="N59" i="9"/>
  <c r="N60" i="9"/>
  <c r="E118" i="9"/>
  <c r="E4" i="52"/>
  <c r="B48" i="72"/>
  <c r="N58" i="9"/>
  <c r="D55" i="9"/>
  <c r="M53" i="9"/>
  <c r="N57" i="9"/>
  <c r="P57" i="9"/>
  <c r="C73" i="9"/>
  <c r="C78" i="9"/>
  <c r="D13" i="53"/>
  <c r="D14" i="53"/>
  <c r="B32" i="72"/>
  <c r="F118" i="9"/>
  <c r="G118" i="9"/>
  <c r="G4" i="52"/>
  <c r="B52" i="72"/>
  <c r="C6" i="74"/>
  <c r="C64" i="9"/>
  <c r="C63" i="9"/>
  <c r="C67" i="9"/>
  <c r="C68" i="9"/>
  <c r="D54" i="9"/>
  <c r="C97" i="9"/>
  <c r="D58" i="9"/>
  <c r="D56" i="9"/>
  <c r="M54" i="9"/>
  <c r="D5" i="53"/>
  <c r="B20" i="72"/>
  <c r="C105" i="9"/>
  <c r="I4" i="52"/>
  <c r="D53" i="9"/>
  <c r="D52" i="9"/>
  <c r="M48" i="9"/>
  <c r="H108" i="9"/>
  <c r="D15" i="53"/>
  <c r="B31" i="72"/>
  <c r="C93" i="9"/>
  <c r="C86" i="9"/>
  <c r="C72" i="9"/>
  <c r="C79" i="9"/>
  <c r="C81" i="9"/>
  <c r="H4" i="52"/>
  <c r="C104" i="9"/>
  <c r="H107" i="9"/>
  <c r="D122" i="9"/>
  <c r="D8" i="5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60CE5050-955F-4BB1-B4DC-D919EC87FFDC}">
      <text>
        <r>
          <rPr>
            <b/>
            <sz val="9"/>
            <color indexed="81"/>
            <rFont val="宋体"/>
            <family val="3"/>
            <charset val="134"/>
          </rPr>
          <t>填写交易证明的类型，分为商品房合同、预售契约、买卖契约、认购书。</t>
        </r>
      </text>
    </comment>
    <comment ref="AX1" authorId="0" shapeId="0" xr:uid="{458784FE-61E3-48ED-B086-33AE03C9C9E5}">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5B0B3F98-CE14-48DB-875B-6E0E90CF76D0}">
      <text>
        <r>
          <rPr>
            <b/>
            <sz val="9"/>
            <color indexed="81"/>
            <rFont val="宋体"/>
            <family val="3"/>
            <charset val="134"/>
          </rPr>
          <t>填写数值型数据，保留小数点后一位。</t>
        </r>
      </text>
    </comment>
    <comment ref="BG1" authorId="0" shapeId="0" xr:uid="{154A0B7B-AF62-4D24-9CA6-9CC230C563AF}">
      <text>
        <r>
          <rPr>
            <b/>
            <sz val="9"/>
            <color indexed="81"/>
            <rFont val="宋体"/>
            <family val="3"/>
            <charset val="134"/>
          </rPr>
          <t>此项填写合同日期，无合同日期填写预售登记日期，均无则在备注中注明</t>
        </r>
      </text>
    </comment>
    <comment ref="BH1" authorId="0" shapeId="0" xr:uid="{36803A20-5F0E-4EE5-9901-8DA3A901EED4}">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<sst xmlns="http://schemas.openxmlformats.org/spreadsheetml/2006/main" count="8383" uniqueCount="3761">
  <si>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</si>
  <si>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</si>
  <si>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</si>
  <si>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</si>
  <si>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</si>
  <si>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</si>
  <si>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</si>
  <si>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</si>
  <si>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</si>
  <si>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</si>
  <si>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</si>
  <si>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</si>
  <si>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</si>
  <si>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</si>
  <si>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</si>
  <si>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</si>
  <si>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</si>
  <si>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</si>
  <si>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</si>
  <si>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</si>
  <si>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</si>
  <si>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</si>
  <si>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</si>
  <si>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</si>
  <si>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</si>
  <si>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</si>
  <si>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</si>
  <si>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</si>
  <si>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</si>
  <si>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</si>
  <si>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</si>
  <si>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</si>
  <si>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</si>
  <si>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</si>
  <si>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</si>
  <si>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</si>
  <si>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</si>
  <si>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</si>
  <si>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</si>
  <si>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</si>
  <si>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</si>
  <si>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</si>
  <si>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</si>
  <si>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</si>
  <si>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</si>
  <si>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</si>
  <si>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</si>
  <si>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</si>
  <si>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</si>
  <si>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</si>
  <si>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</si>
  <si>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</si>
  <si>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</si>
  <si>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</si>
  <si>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</si>
  <si>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</si>
  <si>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</si>
  <si>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</si>
  <si>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</si>
  <si>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</si>
  <si>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</si>
  <si>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</si>
  <si>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</si>
  <si>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</si>
  <si>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</si>
  <si>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</si>
  <si>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</si>
  <si>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</si>
  <si>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</si>
  <si>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</si>
  <si>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</si>
  <si>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</si>
  <si>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</si>
  <si>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</si>
  <si>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</si>
  <si>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</si>
  <si>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</si>
  <si>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</si>
  <si>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</si>
  <si>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</si>
  <si>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</si>
  <si>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</si>
  <si>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</si>
  <si>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</si>
  <si>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</si>
  <si>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</si>
  <si>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</si>
  <si>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</si>
  <si>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</si>
  <si>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</si>
  <si>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</si>
  <si>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</si>
  <si>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</si>
  <si>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</si>
  <si>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</si>
  <si>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</si>
  <si>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</si>
  <si>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</si>
  <si>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</si>
  <si>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</si>
  <si>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</si>
  <si>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</si>
  <si>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</si>
  <si>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</si>
  <si>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</si>
  <si>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</si>
  <si>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</si>
  <si>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</si>
  <si>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</si>
  <si>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</si>
  <si>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</si>
  <si>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</si>
  <si>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</si>
  <si>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</si>
  <si>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</si>
  <si>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</si>
  <si>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</si>
  <si>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</si>
  <si>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</si>
  <si>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</si>
  <si>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</si>
  <si>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</si>
  <si>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</si>
  <si>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</si>
  <si>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</si>
  <si>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</si>
  <si>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</si>
  <si>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</si>
  <si>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</si>
  <si>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</si>
  <si>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</si>
  <si>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</si>
  <si>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</si>
  <si>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</si>
  <si>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</si>
  <si>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</si>
  <si>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</si>
  <si>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</si>
  <si>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</si>
  <si>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</si>
  <si>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</si>
  <si>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</si>
  <si>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</si>
  <si>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</si>
  <si>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</si>
  <si>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</si>
  <si>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</si>
  <si>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</si>
  <si>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</si>
  <si>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</si>
  <si>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</si>
  <si>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</si>
  <si>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</si>
  <si>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</si>
  <si>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</si>
  <si>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</si>
  <si>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</si>
  <si>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</si>
  <si>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</si>
  <si>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</si>
  <si>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</si>
  <si>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</si>
  <si>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</si>
  <si>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</si>
  <si>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</si>
  <si>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</si>
  <si>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</si>
  <si>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</si>
  <si>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</si>
  <si>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</si>
  <si>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</si>
  <si>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</si>
  <si>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</si>
  <si>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</si>
  <si>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</si>
  <si>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</si>
  <si>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</si>
  <si>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</si>
  <si>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</si>
  <si>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</si>
  <si>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</si>
  <si>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</si>
  <si>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</si>
  <si>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</si>
  <si>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</si>
  <si>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</si>
  <si>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</si>
  <si>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</si>
  <si>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</si>
  <si>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</si>
  <si>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</si>
  <si>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</si>
  <si>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</si>
  <si>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</si>
  <si>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</si>
  <si>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</si>
  <si>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</si>
  <si>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</si>
  <si>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</si>
  <si>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</si>
  <si>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</si>
  <si>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</si>
  <si>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</si>
  <si>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</si>
  <si>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</si>
  <si>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</si>
  <si>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</si>
  <si>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</si>
  <si>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</si>
  <si>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</si>
  <si>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</si>
  <si>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</si>
  <si>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</si>
  <si>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</si>
  <si>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</si>
  <si>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</si>
  <si>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</si>
  <si>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</si>
  <si>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</si>
  <si>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</si>
  <si>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</si>
  <si>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</si>
  <si>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</si>
  <si>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</si>
  <si>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</si>
  <si>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</si>
  <si>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</si>
  <si>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</si>
  <si>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</si>
  <si>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</si>
  <si>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</si>
  <si>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</si>
  <si>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</si>
  <si>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</si>
  <si>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</si>
  <si>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</si>
  <si>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</si>
  <si>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</si>
  <si>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</si>
  <si>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</si>
  <si>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</si>
  <si>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</si>
  <si>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</si>
  <si>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</si>
  <si>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</si>
  <si>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</si>
  <si>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</si>
  <si>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</si>
  <si>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</si>
  <si>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</si>
  <si>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</si>
  <si>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</si>
  <si>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</si>
  <si>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</si>
  <si>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</si>
  <si>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</si>
  <si>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</si>
  <si>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</si>
  <si>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</si>
  <si>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</si>
  <si>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</si>
  <si>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</si>
  <si>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</si>
  <si>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</si>
  <si>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</si>
  <si>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</si>
  <si>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</si>
  <si>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</si>
  <si>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</si>
  <si>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</si>
  <si>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</si>
  <si>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</si>
  <si>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</si>
  <si>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</si>
  <si>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</si>
  <si>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</si>
  <si>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</si>
  <si>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</si>
  <si>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</si>
  <si>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</si>
  <si>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</si>
  <si>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</si>
  <si>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</si>
  <si>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</si>
  <si>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</si>
  <si>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</si>
  <si>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</si>
  <si>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</si>
  <si>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</si>
  <si>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</si>
  <si>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</si>
  <si>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</si>
  <si>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</si>
  <si>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</si>
  <si>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</si>
  <si>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</si>
  <si>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</si>
  <si>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</si>
  <si>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</si>
  <si>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</si>
  <si>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</si>
  <si>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</si>
  <si>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</si>
  <si>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</si>
  <si>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</si>
  <si>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</si>
  <si>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</si>
  <si>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</si>
  <si>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</si>
  <si>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</si>
  <si>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</si>
  <si>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</si>
  <si>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</si>
  <si>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</si>
  <si>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</si>
  <si>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</si>
  <si>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</si>
  <si>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</si>
  <si>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</si>
  <si>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</si>
  <si>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</si>
  <si>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</si>
  <si>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</si>
  <si>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</si>
  <si>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</si>
  <si>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</si>
  <si>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</si>
  <si>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</si>
  <si>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</si>
  <si>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</si>
  <si>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</si>
  <si>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</si>
  <si>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</si>
  <si>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</si>
  <si>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</si>
  <si>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</si>
  <si>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</si>
  <si>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</si>
  <si>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</si>
  <si>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</si>
  <si>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</si>
  <si>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</si>
  <si>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</si>
  <si>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</si>
  <si>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</si>
  <si>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</si>
  <si>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</si>
  <si>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</si>
  <si>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</si>
  <si>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</si>
  <si>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</si>
  <si>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</si>
  <si>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</si>
  <si>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</si>
  <si>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</si>
  <si>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</si>
  <si>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</si>
  <si>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</si>
  <si>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</si>
  <si>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</si>
  <si>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</si>
  <si>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</si>
  <si>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</si>
  <si>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</si>
  <si>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</si>
  <si>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</si>
  <si>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</si>
  <si>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</si>
  <si>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</si>
  <si>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</si>
  <si>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</si>
  <si>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</si>
  <si>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</si>
  <si>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</si>
  <si>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</si>
  <si>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</si>
  <si>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</si>
  <si>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</si>
  <si>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</si>
  <si>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</si>
  <si>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</si>
  <si>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</si>
  <si>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</si>
  <si>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</si>
  <si>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</si>
  <si>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</si>
  <si>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</si>
  <si>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</si>
  <si>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</si>
  <si>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</si>
  <si>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</si>
  <si>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</si>
  <si>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</si>
  <si>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</si>
  <si>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</si>
  <si>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</si>
  <si>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</si>
  <si>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</si>
  <si>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</si>
  <si>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</si>
  <si>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</si>
  <si>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</si>
  <si>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</si>
  <si>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</si>
  <si>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</si>
  <si>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</si>
  <si>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</si>
  <si>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</si>
  <si>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</si>
  <si>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</si>
  <si>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</si>
  <si>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</si>
  <si>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</si>
  <si>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</si>
  <si>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</si>
  <si>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</si>
  <si>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</si>
  <si>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</si>
  <si>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</si>
  <si>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</si>
  <si>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</si>
  <si>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</si>
  <si>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</si>
  <si>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</si>
  <si>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</si>
  <si>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</si>
  <si>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</si>
  <si>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</si>
  <si>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</si>
  <si>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</si>
  <si>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</si>
  <si>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</si>
  <si>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</si>
  <si>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</si>
  <si>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</si>
  <si>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</si>
  <si>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</si>
  <si>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</si>
  <si>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</si>
  <si>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</si>
  <si>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</si>
  <si>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</si>
  <si>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</si>
  <si>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</si>
  <si>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</si>
  <si>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</si>
  <si>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</si>
  <si>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</si>
  <si>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</si>
  <si>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</si>
  <si>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</si>
  <si>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</si>
  <si>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</si>
  <si>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</si>
  <si>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</si>
  <si>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</si>
  <si>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</si>
  <si>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</si>
  <si>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</si>
  <si>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</si>
  <si>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</si>
  <si>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</si>
  <si>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</si>
  <si>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</si>
  <si>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</si>
  <si>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</si>
  <si>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</si>
  <si>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</si>
  <si>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</si>
  <si>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</si>
  <si>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</si>
  <si>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</si>
  <si>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</si>
  <si>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</si>
  <si>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</si>
  <si>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</si>
  <si>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</si>
  <si>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</si>
  <si>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</si>
  <si>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</si>
  <si>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</si>
  <si>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</si>
  <si>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</si>
  <si>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</si>
  <si>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</si>
  <si>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</si>
  <si>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</si>
  <si>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</si>
  <si>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</si>
  <si>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</si>
  <si>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</si>
  <si>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</si>
  <si>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</si>
  <si>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</si>
  <si>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</si>
  <si>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</si>
  <si>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</si>
  <si>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</si>
  <si>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</si>
  <si>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</si>
  <si>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</si>
  <si>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</si>
  <si>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</si>
  <si>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</si>
  <si>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</si>
  <si>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</si>
  <si>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</si>
  <si>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</si>
  <si>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</si>
  <si>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</si>
  <si>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</si>
  <si>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</si>
  <si>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</si>
  <si>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</si>
  <si>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</si>
  <si>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</si>
  <si>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</si>
  <si>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</si>
  <si>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</si>
  <si>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</si>
  <si>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</si>
  <si>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</si>
  <si>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</si>
  <si>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</si>
  <si>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</si>
  <si>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</si>
  <si>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</si>
  <si>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</si>
  <si>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</si>
  <si>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</si>
  <si>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</si>
  <si>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</si>
  <si>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</si>
  <si>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</si>
  <si>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</si>
  <si>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</si>
  <si>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</si>
  <si>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</si>
  <si>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</si>
  <si>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</si>
  <si>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</si>
  <si>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</si>
  <si>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</si>
  <si>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</si>
  <si>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</si>
  <si>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</si>
  <si>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</si>
  <si>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</si>
  <si>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</si>
  <si>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</si>
  <si>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</si>
  <si>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</si>
  <si>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</si>
  <si>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</si>
  <si>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</si>
  <si>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</si>
  <si>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</si>
  <si>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</si>
  <si>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</si>
  <si>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</si>
  <si>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</si>
  <si>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</si>
  <si>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</si>
  <si>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</si>
  <si>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</si>
  <si>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</si>
  <si>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</si>
  <si>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</si>
  <si>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</si>
  <si>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</si>
  <si>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</si>
  <si>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</si>
  <si>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</si>
  <si>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</si>
  <si>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</si>
  <si>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</si>
  <si>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</si>
  <si>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</si>
  <si>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</si>
  <si>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</si>
  <si>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</si>
  <si>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</si>
  <si>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</si>
  <si>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</si>
  <si>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</si>
  <si>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</si>
  <si>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</si>
  <si>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</si>
  <si>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</si>
  <si>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</si>
  <si>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</si>
  <si>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</si>
  <si>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</si>
  <si>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</si>
  <si>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</si>
  <si>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</si>
  <si>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</si>
  <si>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</si>
  <si>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</si>
  <si>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</si>
  <si>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</si>
  <si>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</si>
  <si>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</si>
  <si>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</si>
  <si>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</si>
  <si>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</si>
  <si>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</si>
  <si>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</si>
  <si>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</si>
  <si>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</si>
  <si>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</si>
  <si>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</si>
  <si>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</si>
  <si>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</si>
  <si>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</si>
  <si>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</si>
  <si>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</si>
  <si>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</si>
  <si>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</si>
  <si>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</si>
  <si>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</si>
  <si>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</si>
  <si>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</si>
  <si>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</si>
  <si>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</si>
  <si>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</si>
  <si>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</si>
  <si>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</si>
  <si>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</si>
  <si>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</si>
  <si>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</si>
  <si>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</si>
  <si>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</si>
  <si>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</si>
  <si>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</si>
  <si>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</si>
  <si>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</si>
  <si>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</si>
  <si>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</si>
  <si>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</si>
  <si>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</si>
  <si>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</si>
  <si>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</si>
  <si>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</si>
  <si>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</si>
  <si>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</si>
  <si>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</si>
  <si>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</si>
  <si>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</si>
  <si>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</si>
  <si>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</si>
  <si>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</si>
  <si>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</si>
  <si>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</si>
  <si>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</si>
  <si>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</si>
  <si>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</si>
  <si>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</si>
  <si>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</si>
  <si>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</si>
  <si>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</si>
  <si>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</si>
  <si>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</si>
  <si>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</si>
  <si>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</si>
  <si>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</si>
  <si>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</si>
  <si>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</si>
  <si>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</si>
  <si>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</si>
  <si>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</si>
  <si>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</si>
  <si>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</si>
  <si>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</si>
  <si>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</si>
  <si>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</si>
  <si>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</si>
  <si>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</si>
  <si>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</si>
  <si>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</si>
  <si>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</si>
  <si>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</si>
  <si>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</si>
  <si>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</si>
  <si>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</si>
  <si>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</si>
  <si>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</si>
  <si>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</si>
  <si>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</si>
  <si>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</si>
  <si>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</si>
  <si>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</si>
  <si>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</si>
  <si>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</si>
  <si>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</si>
  <si>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</si>
  <si>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</si>
  <si>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</si>
  <si>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</si>
  <si>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</si>
  <si>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</si>
  <si>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</si>
  <si>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</si>
  <si>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</si>
  <si>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</si>
  <si>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</si>
  <si>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</si>
  <si>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</si>
  <si>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</si>
  <si>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</si>
  <si>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</si>
  <si>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</si>
  <si>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</si>
  <si>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</si>
  <si>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</si>
  <si>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</si>
  <si>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</si>
  <si>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</si>
  <si>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</si>
  <si>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</si>
  <si>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</si>
  <si>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</si>
  <si>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</si>
  <si>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</si>
  <si>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</si>
  <si>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</si>
  <si>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</si>
  <si>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</si>
  <si>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</si>
  <si>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</si>
  <si>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</si>
  <si>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</si>
  <si>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</si>
  <si>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</si>
  <si>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</si>
  <si>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</si>
  <si>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</si>
  <si>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</si>
  <si>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</si>
  <si>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</si>
  <si>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</si>
  <si>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</si>
  <si>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</si>
  <si>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</si>
  <si>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</si>
  <si>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</si>
  <si>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</si>
  <si>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</si>
  <si>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</si>
  <si>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</si>
  <si>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</si>
  <si>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</si>
  <si>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</si>
  <si>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</si>
  <si>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</si>
  <si>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</si>
  <si>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</si>
  <si>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</si>
  <si>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</si>
  <si>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</si>
  <si>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</si>
  <si>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</si>
  <si>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</si>
  <si>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</si>
  <si>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</si>
  <si>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</si>
  <si>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</si>
  <si>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</si>
  <si>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</si>
  <si>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</si>
  <si>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</si>
  <si>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</si>
  <si>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</si>
  <si>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</si>
  <si>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</si>
  <si>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</si>
  <si>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</si>
  <si>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</si>
  <si>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</si>
  <si>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</si>
  <si>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</si>
  <si>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</si>
  <si>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</si>
  <si>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</si>
  <si>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</si>
  <si>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</si>
  <si>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</si>
  <si>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</si>
  <si>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</si>
  <si>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</si>
  <si>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</si>
  <si>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</si>
  <si>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</si>
  <si>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</si>
  <si>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</si>
  <si>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</si>
  <si>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</si>
  <si>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</si>
  <si>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</si>
  <si>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</si>
  <si>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</si>
  <si>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</si>
  <si>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</si>
  <si>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</si>
  <si>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</si>
  <si>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</si>
  <si>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</si>
  <si>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</si>
  <si>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</si>
  <si>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</si>
  <si>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</si>
  <si>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</si>
  <si>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</si>
  <si>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</si>
  <si>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</si>
  <si>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</si>
  <si>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</si>
  <si>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</si>
  <si>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</si>
  <si>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</si>
  <si>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</si>
  <si>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</si>
  <si>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</si>
  <si>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</si>
  <si>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</si>
  <si>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</si>
  <si>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</si>
  <si>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</si>
  <si>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</si>
  <si>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</si>
  <si>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</si>
  <si>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</si>
  <si>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</si>
  <si>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</si>
  <si>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</si>
  <si>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</si>
  <si>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</si>
  <si>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</si>
  <si>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</si>
  <si>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</si>
  <si>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</si>
  <si>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</si>
  <si>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</si>
  <si>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</si>
  <si>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</si>
  <si>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</si>
  <si>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</si>
  <si>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</si>
  <si>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</si>
  <si>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</si>
  <si>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</si>
  <si>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</si>
  <si>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</si>
  <si>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</si>
  <si>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</si>
  <si>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</si>
  <si>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</si>
  <si>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</si>
  <si>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</si>
  <si>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</si>
  <si>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</si>
  <si>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</si>
  <si>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</si>
  <si>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</si>
  <si>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</si>
  <si>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</si>
  <si>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</si>
  <si>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</si>
  <si>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</si>
  <si>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</si>
  <si>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</si>
  <si>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</si>
  <si>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</si>
  <si>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</si>
  <si>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</si>
  <si>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</si>
  <si>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</si>
  <si>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</si>
  <si>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</si>
  <si>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</si>
  <si>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</si>
  <si>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</si>
  <si>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</si>
  <si>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</si>
  <si>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</si>
  <si>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</si>
  <si>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</si>
  <si>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</si>
  <si>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</si>
  <si>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</si>
  <si>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</si>
  <si>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</si>
  <si>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</si>
  <si>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</si>
  <si>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</si>
  <si>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</si>
  <si>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</si>
  <si>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</si>
  <si>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</si>
  <si>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</si>
  <si>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</si>
  <si>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</si>
  <si>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</si>
  <si>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</si>
  <si>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</si>
  <si>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</si>
  <si>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</si>
  <si>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</si>
  <si>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</si>
  <si>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</si>
  <si>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</si>
  <si>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</si>
  <si>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</si>
  <si>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</si>
  <si>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</si>
  <si>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</si>
  <si>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</si>
  <si>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</si>
  <si>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</si>
  <si>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</si>
  <si>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</si>
  <si>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</si>
  <si>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</si>
  <si>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</si>
  <si>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</si>
  <si>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</si>
  <si>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</si>
  <si>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</si>
  <si>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</si>
  <si>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</si>
  <si>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</si>
  <si>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</si>
  <si>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</si>
  <si>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</si>
  <si>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</si>
  <si>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</si>
  <si>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</si>
  <si>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</si>
  <si>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</si>
  <si>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</si>
  <si>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</si>
  <si>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</si>
  <si>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</si>
  <si>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</si>
  <si>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</si>
  <si>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</si>
  <si>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</si>
  <si>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</si>
  <si>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</si>
  <si>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</si>
  <si>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</si>
  <si>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</si>
  <si>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</si>
  <si>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</si>
  <si>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</si>
  <si>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</si>
  <si>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</si>
  <si>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</si>
  <si>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</si>
  <si>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</si>
  <si>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</si>
  <si>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</si>
  <si>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</si>
  <si>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</si>
  <si>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</si>
  <si>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</si>
  <si>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</si>
  <si>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</si>
  <si>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</si>
  <si>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</si>
  <si>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</si>
  <si>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</si>
  <si>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</si>
  <si>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</si>
  <si>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</si>
  <si>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</si>
  <si>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</si>
  <si>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</si>
  <si>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</si>
  <si>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</si>
  <si>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</si>
  <si>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</si>
  <si>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</si>
  <si>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</si>
  <si>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</si>
  <si>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</si>
  <si>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</si>
  <si>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</si>
  <si>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</si>
  <si>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</si>
  <si>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</si>
  <si>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</si>
  <si>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</si>
  <si>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</si>
  <si>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</si>
  <si>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</si>
  <si>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</si>
  <si>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</si>
  <si>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</si>
  <si>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</si>
  <si>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</si>
  <si>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</si>
  <si>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</si>
  <si>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</si>
  <si>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</si>
  <si>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</si>
  <si>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</si>
  <si>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</si>
  <si>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</si>
  <si>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</si>
  <si>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</si>
  <si>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</si>
  <si>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</si>
  <si>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</si>
  <si>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</si>
  <si>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</si>
  <si>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</si>
  <si>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</si>
  <si>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</si>
  <si>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</si>
  <si>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</si>
  <si>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</si>
  <si>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</si>
  <si>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</si>
  <si>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</si>
  <si>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</si>
  <si>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</si>
  <si>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</si>
  <si>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</si>
  <si>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</si>
  <si>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</si>
  <si>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</si>
  <si>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</si>
  <si>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</si>
  <si>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</si>
  <si>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</si>
  <si>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</si>
  <si>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</si>
  <si>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</si>
  <si>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</si>
  <si>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</si>
  <si>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</si>
  <si>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</si>
  <si>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</si>
  <si>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</si>
  <si>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</si>
  <si>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</si>
  <si>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</si>
  <si>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</si>
  <si>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</si>
  <si>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</si>
  <si>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</si>
  <si>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</si>
  <si>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</si>
  <si>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</si>
  <si>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</si>
  <si>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</si>
  <si>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</si>
  <si>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</si>
  <si>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</si>
  <si>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</si>
  <si>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</si>
  <si>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</si>
  <si>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</si>
  <si>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</si>
  <si>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</si>
  <si>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</si>
  <si>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</si>
  <si>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</si>
  <si>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</si>
  <si>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</si>
  <si>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</si>
  <si>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</si>
  <si>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</si>
  <si>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</si>
  <si>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</si>
  <si>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</si>
  <si>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</si>
  <si>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</si>
  <si>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</si>
  <si>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</si>
  <si>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</si>
  <si>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</si>
  <si>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</si>
  <si>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</si>
  <si>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</si>
  <si>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</si>
  <si>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</si>
  <si>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</si>
  <si>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</si>
  <si>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</si>
  <si>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</si>
  <si>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</si>
  <si>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</si>
  <si>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</si>
  <si>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</si>
  <si>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</si>
  <si>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</si>
  <si>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</si>
  <si>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</si>
  <si>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</si>
  <si>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</si>
  <si>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</si>
  <si>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</si>
  <si>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</si>
  <si>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</si>
  <si>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</si>
  <si>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</si>
  <si>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</si>
  <si>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</si>
  <si>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</si>
  <si>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</si>
  <si>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</si>
  <si>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</si>
  <si>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</si>
  <si>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</si>
  <si>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</si>
  <si>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</si>
  <si>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</si>
  <si>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</si>
  <si>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</si>
  <si>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</si>
  <si>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</si>
  <si>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</si>
  <si>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</si>
  <si>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</si>
  <si>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</si>
  <si>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</si>
  <si>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</si>
  <si>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</si>
  <si>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</si>
  <si>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</si>
  <si>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</si>
  <si>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</si>
  <si>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</si>
  <si>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</si>
  <si>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</si>
  <si>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</si>
  <si>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</si>
  <si>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</si>
  <si>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</si>
  <si>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</si>
  <si>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</si>
  <si>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</si>
  <si>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</si>
  <si>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</si>
  <si>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</si>
  <si>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</si>
  <si>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</si>
  <si>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</si>
  <si>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</si>
  <si>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</si>
  <si>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</si>
  <si>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</si>
  <si>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</si>
  <si>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</si>
  <si>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</si>
  <si>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</si>
  <si>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</si>
  <si>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</si>
  <si>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</si>
  <si>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</si>
  <si>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</si>
  <si>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</si>
  <si>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</si>
  <si>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</si>
  <si>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</si>
  <si>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</si>
  <si>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</si>
  <si>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</si>
  <si>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</si>
  <si>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</si>
  <si>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</si>
  <si>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</si>
  <si>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</si>
  <si>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</si>
  <si>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</si>
  <si>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</si>
  <si>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</si>
  <si>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</si>
  <si>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</si>
  <si>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</si>
  <si>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</si>
  <si>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</si>
  <si>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</si>
  <si>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</si>
  <si>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</si>
  <si>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</si>
  <si>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</si>
  <si>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</si>
  <si>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</si>
  <si>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</si>
  <si>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</si>
  <si>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</si>
  <si>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</si>
  <si>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</si>
  <si>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</si>
  <si>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</si>
  <si>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</si>
  <si>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</si>
  <si>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</si>
  <si>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</si>
  <si>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</si>
  <si>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</si>
  <si>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</si>
  <si>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</si>
  <si>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</si>
  <si>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</si>
  <si>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</si>
  <si>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</si>
  <si>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</si>
  <si>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</si>
  <si>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</si>
  <si>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</si>
  <si>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</si>
  <si>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</si>
  <si>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</si>
  <si>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</si>
  <si>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</si>
  <si>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</si>
  <si>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</si>
  <si>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</si>
  <si>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</si>
  <si>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</si>
  <si>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</si>
  <si>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</si>
  <si>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</si>
  <si>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</si>
  <si>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</si>
  <si>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</si>
  <si>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</si>
  <si>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</si>
  <si>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</si>
  <si>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</si>
  <si>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</si>
  <si>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</si>
  <si>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</si>
  <si>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</si>
  <si>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</si>
  <si>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</si>
  <si>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</si>
  <si>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</si>
  <si>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</si>
  <si>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</si>
  <si>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</si>
  <si>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</si>
  <si>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</si>
  <si>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</si>
  <si>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</si>
  <si>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</si>
  <si>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</si>
  <si>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</si>
  <si>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</si>
  <si>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</si>
  <si>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</si>
  <si>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</si>
  <si>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</si>
  <si>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</si>
  <si>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</si>
  <si>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</si>
  <si>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</si>
  <si>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</si>
  <si>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</si>
  <si>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</si>
  <si>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</si>
  <si>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</si>
  <si>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</si>
  <si>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</si>
  <si>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</si>
  <si>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</si>
  <si>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</si>
  <si>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</si>
  <si>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</si>
  <si>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</si>
  <si>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</si>
  <si>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</si>
  <si>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</si>
  <si>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</si>
  <si>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</si>
  <si>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</si>
  <si>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</si>
  <si>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</si>
  <si>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</si>
  <si>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</si>
  <si>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</si>
  <si>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</si>
  <si>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</si>
  <si>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</si>
  <si>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</si>
  <si>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</si>
  <si>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</si>
  <si>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</si>
  <si>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</si>
  <si>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</si>
  <si>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</si>
  <si>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</si>
  <si>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</si>
  <si>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</si>
  <si>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</si>
  <si>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</si>
  <si>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</si>
  <si>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</si>
  <si>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</si>
  <si>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</si>
  <si>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</si>
  <si>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</si>
  <si>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</si>
  <si>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</si>
  <si>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</si>
  <si>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</si>
  <si>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</si>
  <si>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</si>
  <si>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</si>
  <si>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</si>
  <si>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</si>
  <si>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</si>
  <si>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</si>
  <si>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</si>
  <si>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</si>
  <si>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</si>
  <si>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</si>
  <si>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</si>
  <si>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</si>
  <si>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</si>
  <si>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</si>
  <si>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</si>
  <si>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</si>
  <si>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</si>
  <si>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</si>
  <si>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</si>
  <si>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</si>
  <si>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</si>
  <si>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</si>
  <si>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</si>
  <si>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</si>
  <si>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</si>
  <si>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</si>
  <si>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</si>
  <si>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</si>
  <si>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</si>
  <si>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</si>
  <si>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</si>
  <si>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</si>
  <si>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</si>
  <si>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</si>
  <si>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</si>
  <si>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</si>
  <si>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</si>
  <si>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</si>
  <si>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</si>
  <si>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</si>
  <si>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</si>
  <si>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</si>
  <si>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</si>
  <si>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</si>
  <si>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</si>
  <si>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</si>
  <si>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</si>
  <si>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</si>
  <si>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</si>
  <si>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</si>
  <si>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</si>
  <si>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</si>
  <si>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</si>
  <si>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</si>
  <si>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</si>
  <si>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</si>
  <si>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</si>
  <si>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</si>
  <si>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</si>
  <si>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</si>
  <si>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</si>
  <si>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</si>
  <si>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</si>
  <si>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</si>
  <si>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</si>
  <si>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</si>
  <si>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</si>
  <si>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</si>
  <si>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</si>
  <si>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</si>
  <si>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</si>
  <si>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</si>
  <si>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</si>
  <si>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</si>
  <si>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</si>
  <si>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</si>
  <si>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</si>
  <si>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</si>
  <si>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</si>
  <si>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</si>
  <si>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</si>
  <si>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</si>
  <si>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</si>
  <si>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</si>
  <si>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</si>
  <si>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</si>
  <si>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</si>
  <si>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</si>
  <si>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</si>
  <si>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</si>
  <si>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</si>
  <si>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</si>
  <si>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</si>
  <si>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</si>
  <si>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</si>
  <si>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</si>
  <si>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</si>
  <si>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</si>
  <si>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</si>
  <si>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</si>
  <si>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</si>
  <si>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</si>
  <si>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</si>
  <si>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</si>
  <si>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</si>
  <si>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</si>
  <si>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</si>
  <si>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</si>
  <si>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</si>
  <si>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</si>
  <si>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</si>
  <si>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</si>
  <si>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</si>
  <si>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</si>
  <si>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</si>
  <si>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</si>
  <si>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</si>
  <si>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</si>
  <si>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</si>
  <si>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</si>
  <si>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</si>
  <si>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</si>
  <si>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</si>
  <si>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</si>
  <si>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</si>
  <si>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</si>
  <si>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</si>
  <si>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</si>
  <si>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</si>
  <si>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</si>
  <si>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</si>
  <si>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</si>
  <si>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</si>
  <si>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</si>
  <si>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</si>
  <si>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</si>
  <si>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</si>
  <si>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</si>
  <si>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</si>
  <si>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</si>
  <si>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</si>
  <si>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</si>
  <si>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</si>
  <si>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</si>
  <si>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</si>
  <si>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</si>
  <si>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</si>
  <si>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</si>
  <si>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</si>
  <si>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</si>
  <si>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</si>
  <si>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</si>
  <si>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</si>
  <si>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</si>
  <si>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</si>
  <si>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</si>
  <si>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</si>
  <si>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</si>
  <si>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</si>
  <si>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</si>
  <si>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</si>
  <si>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</si>
  <si>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</si>
  <si>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</si>
  <si>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</si>
  <si>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</si>
  <si>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</si>
  <si>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</si>
  <si>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</si>
  <si>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</si>
  <si>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</si>
  <si>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</si>
  <si>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</si>
  <si>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</si>
  <si>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</si>
  <si>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</si>
  <si>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</si>
  <si>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</si>
  <si>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</si>
  <si>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</si>
  <si>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</si>
  <si>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</si>
  <si>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</si>
  <si>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</si>
  <si>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</si>
  <si>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</si>
  <si>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</si>
  <si>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</si>
  <si>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</si>
  <si>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</si>
  <si>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</si>
  <si>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</si>
  <si>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</si>
  <si>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</si>
  <si>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</si>
  <si>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</si>
  <si>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</si>
  <si>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</si>
  <si>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</si>
  <si>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</si>
  <si>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</si>
  <si>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</si>
  <si>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</si>
  <si>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</si>
  <si>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</si>
  <si>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</si>
  <si>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</si>
  <si>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</si>
  <si>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</si>
  <si>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</si>
  <si>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</si>
  <si>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</si>
  <si>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</si>
  <si>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</si>
  <si>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</si>
  <si>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</si>
  <si>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</si>
  <si>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</si>
  <si>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</si>
  <si>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</si>
  <si>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</si>
  <si>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</si>
  <si>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</si>
  <si>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</si>
  <si>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</si>
  <si>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</si>
  <si>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</si>
  <si>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</si>
  <si>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</si>
  <si>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</si>
  <si>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</si>
  <si>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</si>
  <si>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</si>
  <si>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</si>
  <si>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</si>
  <si>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</si>
  <si>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</si>
  <si>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</si>
  <si>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</si>
  <si>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</si>
  <si>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</si>
  <si>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</si>
  <si>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</si>
  <si>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</si>
  <si>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</si>
  <si>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</si>
  <si>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</si>
  <si>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</si>
  <si>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</si>
  <si>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</si>
  <si>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</si>
  <si>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</si>
  <si>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</si>
  <si>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</si>
  <si>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</si>
  <si>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</si>
  <si>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</si>
  <si>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</si>
  <si>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</si>
  <si>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</si>
  <si>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</si>
  <si>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</si>
  <si>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</si>
  <si>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</si>
  <si>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</si>
  <si>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</si>
  <si>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</si>
  <si>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</si>
  <si>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</si>
  <si>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</si>
  <si>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</si>
  <si>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</si>
  <si>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</si>
  <si>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</si>
  <si>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</si>
  <si>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</si>
  <si>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</si>
  <si>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</si>
  <si>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</si>
  <si>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</si>
  <si>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</si>
  <si>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</si>
  <si>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</si>
  <si>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</si>
  <si>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</si>
  <si>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</si>
  <si>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</si>
  <si>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</si>
  <si>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</si>
  <si>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</si>
  <si>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</si>
  <si>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</si>
  <si>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</si>
  <si>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</si>
  <si>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</si>
  <si>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</si>
  <si>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</si>
  <si>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</si>
  <si>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</si>
  <si>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</si>
  <si>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</si>
  <si>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</si>
  <si>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</si>
  <si>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</si>
  <si>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</si>
  <si>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</si>
  <si>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</si>
  <si>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</si>
  <si>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</si>
  <si>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</si>
  <si>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</si>
  <si>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</si>
  <si>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</si>
  <si>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</si>
  <si>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</si>
  <si>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</si>
  <si>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</si>
  <si>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</si>
  <si>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</si>
  <si>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</si>
  <si>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</si>
  <si>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</si>
  <si>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</si>
  <si>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</si>
  <si>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</si>
  <si>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</si>
  <si>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</si>
  <si>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</si>
  <si>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</si>
  <si>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</si>
  <si>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</si>
  <si>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</si>
  <si>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</si>
  <si>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</si>
  <si>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</si>
  <si>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</si>
  <si>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</si>
  <si>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</si>
  <si>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</si>
  <si>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</si>
  <si>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</si>
  <si>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</si>
  <si>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</si>
  <si>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</si>
  <si>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</si>
  <si>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</si>
  <si>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</si>
  <si>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</si>
  <si>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</si>
  <si>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</si>
  <si>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</si>
  <si>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</si>
  <si>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</si>
  <si>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</si>
  <si>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</si>
  <si>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</si>
  <si>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</si>
  <si>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</si>
  <si>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</si>
  <si>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</si>
  <si>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</si>
  <si>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</si>
  <si>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</si>
  <si>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</si>
  <si>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</si>
  <si>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</si>
  <si>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</si>
  <si>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</si>
  <si>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</si>
  <si>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</si>
  <si>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</si>
  <si>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</si>
  <si>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</si>
  <si>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</si>
  <si>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</si>
  <si>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</si>
  <si>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</si>
  <si>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</si>
  <si>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</si>
  <si>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</si>
  <si>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</si>
  <si>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</si>
  <si>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</si>
  <si>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</si>
  <si>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</si>
  <si>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</si>
  <si>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</si>
  <si>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</si>
  <si>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</si>
  <si>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</si>
  <si>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</si>
  <si>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</si>
  <si>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</si>
  <si>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</si>
  <si>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</si>
  <si>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</si>
  <si>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</si>
  <si>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</si>
  <si>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</si>
  <si>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</si>
  <si>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</si>
  <si>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</si>
  <si>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</si>
  <si>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</si>
  <si>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</si>
  <si>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</si>
  <si>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</si>
  <si>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</si>
  <si>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</si>
  <si>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</si>
  <si>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</si>
  <si>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</si>
  <si>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</si>
  <si>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</si>
  <si>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</si>
  <si>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</si>
  <si>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</si>
  <si>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</si>
  <si>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</si>
  <si>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</si>
  <si>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</si>
  <si>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</si>
  <si>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</si>
  <si>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</si>
  <si>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</si>
  <si>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</si>
  <si>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</si>
  <si>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</si>
  <si>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</si>
  <si>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</si>
  <si>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</si>
  <si>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</si>
  <si>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</si>
  <si>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</si>
  <si>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</si>
  <si>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</si>
  <si>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</si>
  <si>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</si>
  <si>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</si>
  <si>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</si>
  <si>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</si>
  <si>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</si>
  <si>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</si>
  <si>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</si>
  <si>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</si>
  <si>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</si>
  <si>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</si>
  <si>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</si>
  <si>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</si>
  <si>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</si>
  <si>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</si>
  <si>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</si>
  <si>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</si>
  <si>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</si>
  <si>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</si>
  <si>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</si>
  <si>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</si>
  <si>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</si>
  <si>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</si>
  <si>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</si>
  <si>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</si>
  <si>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</si>
  <si>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</si>
  <si>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</si>
  <si>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</si>
  <si>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</si>
  <si>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</si>
  <si>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</si>
  <si>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</si>
  <si>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</si>
  <si>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</si>
  <si>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</si>
  <si>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</si>
  <si>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</si>
  <si>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</si>
  <si>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</si>
  <si>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</si>
  <si>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</si>
  <si>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</si>
  <si>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</si>
  <si>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</si>
  <si>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</si>
  <si>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</si>
  <si>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</si>
  <si>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</si>
  <si>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</si>
  <si>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</si>
  <si>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</si>
  <si>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</si>
  <si>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</si>
  <si>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</si>
  <si>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</si>
  <si>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</si>
  <si>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</si>
  <si>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</si>
  <si>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</si>
  <si>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</si>
  <si>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</si>
  <si>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</si>
  <si>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</si>
  <si>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</si>
  <si>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</si>
  <si>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</si>
  <si>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</si>
  <si>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</si>
  <si>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</si>
  <si>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</si>
  <si>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</si>
  <si>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</si>
  <si>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</si>
  <si>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</si>
  <si>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</si>
  <si>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</si>
  <si>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</si>
  <si>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</si>
  <si>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</si>
  <si>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</si>
  <si>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</si>
  <si>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</si>
  <si>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</si>
  <si>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</si>
  <si>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</si>
  <si>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</si>
  <si>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</si>
  <si>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</si>
  <si>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</si>
  <si>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</si>
  <si>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</si>
  <si>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</si>
  <si>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</si>
  <si>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</si>
  <si>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</si>
  <si>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</si>
  <si>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</si>
  <si>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</si>
  <si>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</si>
  <si>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</si>
  <si>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</si>
  <si>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</si>
  <si>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</si>
  <si>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</si>
  <si>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</si>
  <si>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</si>
  <si>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</si>
  <si>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</si>
  <si>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</si>
  <si>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</si>
  <si>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</si>
  <si>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</si>
  <si>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</si>
  <si>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</si>
  <si>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</si>
  <si>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</si>
  <si>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</si>
  <si>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</si>
  <si>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</si>
  <si>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</si>
  <si>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</si>
  <si>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</si>
  <si>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</si>
  <si>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</si>
  <si>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</si>
  <si>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</si>
  <si>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</si>
  <si>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</si>
  <si>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</si>
  <si>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</si>
  <si>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</si>
  <si>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</si>
  <si>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</si>
  <si>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</si>
  <si>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</si>
  <si>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</si>
  <si>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</si>
  <si>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</si>
  <si>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</si>
  <si>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</si>
  <si>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</si>
  <si>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</si>
  <si>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</si>
  <si>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</si>
  <si>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</si>
  <si>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</si>
  <si>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</si>
  <si>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</si>
  <si>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</si>
  <si>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</si>
  <si>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</si>
  <si>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</si>
  <si>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</si>
  <si>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</si>
  <si>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</si>
  <si>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</si>
  <si>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</si>
  <si>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</si>
  <si>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</si>
  <si>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</si>
  <si>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</si>
  <si>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</si>
  <si>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</si>
  <si>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</si>
  <si>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</si>
  <si>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</si>
  <si>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</si>
  <si>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</si>
  <si>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</si>
  <si>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</si>
  <si>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</si>
  <si>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</si>
  <si>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</si>
  <si>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</si>
  <si>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</si>
  <si>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</si>
  <si>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</si>
  <si>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</si>
  <si>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</si>
  <si>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</si>
  <si>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</si>
  <si>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</si>
  <si>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</si>
  <si>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</si>
  <si>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</si>
  <si>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</si>
  <si>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</si>
  <si>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</si>
  <si>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</si>
  <si>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</si>
  <si>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</si>
  <si>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</si>
  <si>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</si>
  <si>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</si>
  <si>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</si>
  <si>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</si>
  <si>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</si>
  <si>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</si>
  <si>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</si>
  <si>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</si>
  <si>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</si>
  <si>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</si>
  <si>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</si>
  <si>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</si>
  <si>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</si>
  <si>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</si>
  <si>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</si>
  <si>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</si>
  <si>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</si>
  <si>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</si>
  <si>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</si>
  <si>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</si>
  <si>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</si>
  <si>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</si>
  <si>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</si>
  <si>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</si>
  <si>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</si>
  <si>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</si>
  <si>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</si>
  <si>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</si>
  <si>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</si>
  <si>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</si>
  <si>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</si>
  <si>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</si>
  <si>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</si>
  <si>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</si>
  <si>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</si>
  <si>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</si>
  <si>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</si>
  <si>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</si>
  <si>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</si>
  <si>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</si>
  <si>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</si>
  <si>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</si>
  <si>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</si>
  <si>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</si>
  <si>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</si>
  <si>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</si>
  <si>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</si>
  <si>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</si>
  <si>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</si>
  <si>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</si>
  <si>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</si>
  <si>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</si>
  <si>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</si>
  <si>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</si>
  <si>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</si>
  <si>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</si>
  <si>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</si>
  <si>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</si>
  <si>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</si>
  <si>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</si>
  <si>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</si>
  <si>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</si>
  <si>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</si>
  <si>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</si>
  <si>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</si>
  <si>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</si>
  <si>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</si>
  <si>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</si>
  <si>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</si>
  <si>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</si>
  <si>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</si>
  <si>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</si>
  <si>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</si>
  <si>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</si>
  <si>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</si>
  <si>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</si>
  <si>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</si>
  <si>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</si>
  <si>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</si>
  <si>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</si>
  <si>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</si>
  <si>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</si>
  <si>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</si>
  <si>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</si>
  <si>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</si>
  <si>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</si>
  <si>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</si>
  <si>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</si>
  <si>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</si>
  <si>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</si>
  <si>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</si>
  <si>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</si>
  <si>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</si>
  <si>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</si>
  <si>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</si>
  <si>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</si>
  <si>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</si>
  <si>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</si>
  <si>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</si>
  <si>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</si>
  <si>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</si>
  <si>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</si>
  <si>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</si>
  <si>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</si>
  <si>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</si>
  <si>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</si>
  <si>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</si>
  <si>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</si>
  <si>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</si>
  <si>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</si>
  <si>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</si>
  <si>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</si>
  <si>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</si>
  <si>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</si>
  <si>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</si>
  <si>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</si>
  <si>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</si>
  <si>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</si>
  <si>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</si>
  <si>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</si>
  <si>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</si>
  <si>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</si>
  <si>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</si>
  <si>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</si>
  <si>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</si>
  <si>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</si>
  <si>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</si>
  <si>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</si>
  <si>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</si>
  <si>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</si>
  <si>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</si>
  <si>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</si>
  <si>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</si>
  <si>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</si>
  <si>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</si>
  <si>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</si>
  <si>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</si>
  <si>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</si>
  <si>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</si>
  <si>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</si>
  <si>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</si>
  <si>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</si>
  <si>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</si>
  <si>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</si>
  <si>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</si>
  <si>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</si>
  <si>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</si>
  <si>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</si>
  <si>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</si>
  <si>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</si>
  <si>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</si>
  <si>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</si>
  <si>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</si>
  <si>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</si>
  <si>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</si>
  <si>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</si>
  <si>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</si>
  <si>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</si>
  <si>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</si>
  <si>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</si>
  <si>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</si>
  <si>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</si>
  <si>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</si>
  <si>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</si>
  <si>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</si>
  <si>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</si>
  <si>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</si>
  <si>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</si>
  <si>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</si>
  <si>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</si>
  <si>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</si>
  <si>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</si>
  <si>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</si>
  <si>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</si>
  <si>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</si>
  <si>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</si>
  <si>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</si>
  <si>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</si>
  <si>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</si>
  <si>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</si>
  <si>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</si>
  <si>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</si>
  <si>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</si>
  <si>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</si>
  <si>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</si>
  <si>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</si>
  <si>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</si>
  <si>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</si>
  <si>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</si>
  <si>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</si>
  <si>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</si>
  <si>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</si>
  <si>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</si>
  <si>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</si>
  <si>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</si>
  <si>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</si>
  <si>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</si>
  <si>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</si>
  <si>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</si>
  <si>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</si>
  <si>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</si>
  <si>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</si>
  <si>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</si>
  <si>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</si>
  <si>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</si>
  <si>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</si>
  <si>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</si>
  <si>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</si>
  <si>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</si>
  <si>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</si>
  <si>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</si>
  <si>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</si>
  <si>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</si>
  <si>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</si>
  <si>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</si>
  <si>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</si>
  <si>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</si>
  <si>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</si>
  <si>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</si>
  <si>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</si>
  <si>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</si>
  <si>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</si>
  <si>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</si>
  <si>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</si>
  <si>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</si>
  <si>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</si>
  <si>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</si>
  <si>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</si>
  <si>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</si>
  <si>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</si>
  <si>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</si>
  <si>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</si>
  <si>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</si>
  <si>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</si>
  <si>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</si>
  <si>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</si>
  <si>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</si>
  <si>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</si>
  <si>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</si>
  <si>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</si>
  <si>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</si>
  <si>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</si>
  <si>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</si>
  <si>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</si>
  <si>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</si>
  <si>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</si>
  <si>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</si>
  <si>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</si>
  <si>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</si>
  <si>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</si>
  <si>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</si>
  <si>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</si>
  <si>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</si>
  <si>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</si>
  <si>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</si>
  <si>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</si>
  <si>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</si>
  <si>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</si>
  <si>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</si>
  <si>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</si>
  <si>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</si>
  <si>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</si>
  <si>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</si>
  <si>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</si>
  <si>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</si>
  <si>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</si>
  <si>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</si>
  <si>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</si>
  <si>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</si>
  <si>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</si>
  <si>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</si>
  <si>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</si>
  <si>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</si>
  <si>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</si>
  <si>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</si>
  <si>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</si>
  <si>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</si>
  <si>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</si>
  <si>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</si>
  <si>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</si>
  <si>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</si>
  <si>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</si>
  <si>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</si>
  <si>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</si>
  <si>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</si>
  <si>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</si>
  <si>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</si>
  <si>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</si>
  <si>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</si>
  <si>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</si>
  <si>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</si>
  <si>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</si>
  <si>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</si>
  <si>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</si>
  <si>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</si>
  <si>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</si>
  <si>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</si>
  <si>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</si>
  <si>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</si>
  <si>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</si>
  <si>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</si>
  <si>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</si>
  <si>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</si>
  <si>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</si>
  <si>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</si>
  <si>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</si>
  <si>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</si>
  <si>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</si>
  <si>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</si>
  <si>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</si>
  <si>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</si>
  <si>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</si>
  <si>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</si>
  <si>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</si>
  <si>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</si>
  <si>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</si>
  <si>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</si>
  <si>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</si>
  <si>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</si>
  <si>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</si>
  <si>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</si>
  <si>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</si>
  <si>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</si>
  <si>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</si>
  <si>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</si>
  <si>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</si>
  <si>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</si>
  <si>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</si>
  <si>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</si>
  <si>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</si>
  <si>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</si>
  <si>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</si>
  <si>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</si>
  <si>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</si>
  <si>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</si>
  <si>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</si>
  <si>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</si>
  <si>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</si>
  <si>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</si>
  <si>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</si>
  <si>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</si>
  <si>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</si>
  <si>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</si>
  <si>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</si>
  <si>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</si>
  <si>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</si>
  <si>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</si>
  <si>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</si>
  <si>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</si>
  <si>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</si>
  <si>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</si>
  <si>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</si>
  <si>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</si>
  <si>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</si>
  <si>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</si>
  <si>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</si>
  <si>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</si>
  <si>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</si>
  <si>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</si>
  <si>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</si>
  <si>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</si>
  <si>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</si>
  <si>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</si>
  <si>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</si>
  <si>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</si>
  <si>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</si>
  <si>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</si>
  <si>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</si>
  <si>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</si>
  <si>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</si>
  <si>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</si>
  <si>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</si>
  <si>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</si>
  <si>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</si>
  <si>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</si>
  <si>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</si>
  <si>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</si>
  <si>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</si>
  <si>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</si>
  <si>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</si>
  <si>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</si>
  <si>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</si>
  <si>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</si>
  <si>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</si>
  <si>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</si>
  <si>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</si>
  <si>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</si>
  <si>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</si>
  <si>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</si>
  <si>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</si>
  <si>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</si>
  <si>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</si>
  <si>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</si>
  <si>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</si>
  <si>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</si>
  <si>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</si>
  <si>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</si>
  <si>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</si>
  <si>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</si>
  <si>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</si>
  <si>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</si>
  <si>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</si>
  <si>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</si>
  <si>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</si>
  <si>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</si>
  <si>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</si>
  <si>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</si>
  <si>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</si>
  <si>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</si>
  <si>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</si>
  <si>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</si>
  <si>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</si>
  <si>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</si>
  <si>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</si>
  <si>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</si>
  <si>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</si>
  <si>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</si>
  <si>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</si>
  <si>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</si>
  <si>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</si>
  <si>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</si>
  <si>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</si>
  <si>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</si>
  <si>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</si>
  <si>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</si>
  <si>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</si>
  <si>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</si>
  <si>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</si>
  <si>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</si>
  <si>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</si>
  <si>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</si>
  <si>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</si>
  <si>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</si>
  <si>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</si>
  <si>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</si>
  <si>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</si>
  <si>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</si>
  <si>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</si>
  <si>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</si>
  <si>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</si>
  <si>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</si>
  <si>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</si>
  <si>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</si>
  <si>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</si>
  <si>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</si>
  <si>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</si>
  <si>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</si>
  <si>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</si>
  <si>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</si>
  <si>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</si>
  <si>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</si>
  <si>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</si>
  <si>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</si>
  <si>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</si>
  <si>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</si>
  <si>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</si>
  <si>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</si>
  <si>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</si>
  <si>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</si>
  <si>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</si>
  <si>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</si>
  <si>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</si>
  <si>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</si>
  <si>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</si>
  <si>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</si>
  <si>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</si>
  <si>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</si>
  <si>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</si>
  <si>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</si>
  <si>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</si>
  <si>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</si>
  <si>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</si>
  <si>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</si>
  <si>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</si>
  <si>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</si>
  <si>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</si>
  <si>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</si>
  <si>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</si>
  <si>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</si>
  <si>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</si>
  <si>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</si>
  <si>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</si>
  <si>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</si>
  <si>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</si>
  <si>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</si>
  <si>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</si>
  <si>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</si>
  <si>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</si>
  <si>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</si>
  <si>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</si>
  <si>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</si>
  <si>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</si>
  <si>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</si>
  <si>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</si>
  <si>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</si>
  <si>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</si>
  <si>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</si>
  <si>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</si>
  <si>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</si>
  <si>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</si>
  <si>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</si>
  <si>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</si>
  <si>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</si>
  <si>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</si>
  <si>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</si>
  <si>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</si>
  <si>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</si>
  <si>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</si>
  <si>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</si>
  <si>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</si>
  <si>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</si>
  <si>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</si>
  <si>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</si>
  <si>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</si>
  <si>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</si>
  <si>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</si>
  <si>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</si>
  <si>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</si>
  <si>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</si>
  <si>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</si>
  <si>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</si>
  <si>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</si>
  <si>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</si>
  <si>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</si>
  <si>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</si>
  <si>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</si>
  <si>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</si>
  <si>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</si>
  <si>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</si>
  <si>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</si>
  <si>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</si>
  <si>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</si>
  <si>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</si>
  <si>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</si>
  <si>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</si>
  <si>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</si>
  <si>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</si>
  <si>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</si>
  <si>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</si>
  <si>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</si>
  <si>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</si>
  <si>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</si>
  <si>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</si>
  <si>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</si>
  <si>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</si>
  <si>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</si>
  <si>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</si>
  <si>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</si>
  <si>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</si>
  <si>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</si>
  <si>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</si>
  <si>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</si>
  <si>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</si>
  <si>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</si>
  <si>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</si>
  <si>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</si>
  <si>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</si>
  <si>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</si>
  <si>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</si>
  <si>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</si>
  <si>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</si>
  <si>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</si>
  <si>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</si>
  <si>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</si>
  <si>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</si>
  <si>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</si>
  <si>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</si>
  <si>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</si>
  <si>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</si>
  <si>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</si>
  <si>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</si>
  <si>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</si>
  <si>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</si>
  <si>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</si>
  <si>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</si>
  <si>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</si>
  <si>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</si>
  <si>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</si>
  <si>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</si>
  <si>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</si>
  <si>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</si>
  <si>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</si>
  <si>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</si>
  <si>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</si>
  <si>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</si>
  <si>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</si>
  <si>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</si>
  <si>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</si>
  <si>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</si>
  <si>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</si>
  <si>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</si>
  <si>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</si>
  <si>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</si>
  <si>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</si>
  <si>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</si>
  <si>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</si>
  <si>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</si>
  <si>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</si>
  <si>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</si>
  <si>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</si>
  <si>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</si>
  <si>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</si>
  <si>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</si>
  <si>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</si>
  <si>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</si>
  <si>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</si>
  <si>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</si>
  <si>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</si>
  <si>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</si>
  <si>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</si>
  <si>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</si>
  <si>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</si>
  <si>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</si>
  <si>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</si>
  <si>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</si>
  <si>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</si>
  <si>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</si>
  <si>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</si>
  <si>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</si>
  <si>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</si>
  <si>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</si>
  <si>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</si>
  <si>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</si>
  <si>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</si>
  <si>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</si>
  <si>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</si>
  <si>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</si>
  <si>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</si>
  <si>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</si>
  <si>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</si>
  <si>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</si>
  <si>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</si>
  <si>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</si>
  <si>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</si>
  <si>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</si>
  <si>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</si>
  <si>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</si>
  <si>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</si>
  <si>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</si>
  <si>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</si>
  <si>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</si>
  <si>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</si>
  <si>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</si>
  <si>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</si>
  <si>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</si>
  <si>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</si>
  <si>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</si>
  <si>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</si>
  <si>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</si>
  <si>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</si>
  <si>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</si>
  <si>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</si>
  <si>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</si>
  <si>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</si>
  <si>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</si>
  <si>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</si>
  <si>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</si>
  <si>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</si>
  <si>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</si>
  <si>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</si>
  <si>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</si>
  <si>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</si>
  <si>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</si>
  <si>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</si>
  <si>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</si>
  <si>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</si>
  <si>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</si>
  <si>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</si>
  <si>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</si>
  <si>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</si>
  <si>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</si>
  <si>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</si>
  <si>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</si>
  <si>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</si>
  <si>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</si>
  <si>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</si>
  <si>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</si>
  <si>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</si>
  <si>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</si>
  <si>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</si>
  <si>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</si>
  <si>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</si>
  <si>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</si>
  <si>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</si>
  <si>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</si>
  <si>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</si>
  <si>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</si>
  <si>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</si>
  <si>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</si>
  <si>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</si>
  <si>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</si>
  <si>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</si>
  <si>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</si>
  <si>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</si>
  <si>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</si>
  <si>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</si>
  <si>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</si>
  <si>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</si>
  <si>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</si>
  <si>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</si>
  <si>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</si>
  <si>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</si>
  <si>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</si>
  <si>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</si>
  <si>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</si>
  <si>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</si>
  <si>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</si>
  <si>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</si>
  <si>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</si>
  <si>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</si>
  <si>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</si>
  <si>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</si>
  <si>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</si>
  <si>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</si>
  <si>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</si>
  <si>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</si>
  <si>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</si>
  <si>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</si>
  <si>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</si>
  <si>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</si>
  <si>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</si>
  <si>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</si>
  <si>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</si>
  <si>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</si>
  <si>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</si>
  <si>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</si>
  <si>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</si>
  <si>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</si>
  <si>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</si>
  <si>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</si>
  <si>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</si>
  <si>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</si>
  <si>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</si>
  <si>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</si>
  <si>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</si>
  <si>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</si>
  <si>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</si>
  <si>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</si>
  <si>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</si>
  <si>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</si>
  <si>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</si>
  <si>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</si>
  <si>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</si>
  <si>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</si>
  <si>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</si>
  <si>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</si>
  <si>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</si>
  <si>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</si>
  <si>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</si>
  <si>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</si>
  <si>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</si>
  <si>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</si>
  <si>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</si>
  <si>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</si>
  <si>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</si>
  <si>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</si>
  <si>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</si>
  <si>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</si>
  <si>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</si>
  <si>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</si>
  <si>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</si>
  <si>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</si>
  <si>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</si>
  <si>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</si>
  <si>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</si>
  <si>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</si>
  <si>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</si>
  <si>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</si>
  <si>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</si>
  <si>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</si>
  <si>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</si>
  <si>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</si>
  <si>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</si>
  <si>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</si>
  <si>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</si>
  <si>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</si>
  <si>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</si>
  <si>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</si>
  <si>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</si>
  <si>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</si>
  <si>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</si>
  <si>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</si>
  <si>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</si>
  <si>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</si>
  <si>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</si>
  <si>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</si>
  <si>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</si>
  <si>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</si>
  <si>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</si>
  <si>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</si>
  <si>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</si>
  <si>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</si>
  <si>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</si>
  <si>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</si>
  <si>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</si>
  <si>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</si>
  <si>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</si>
  <si>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</si>
  <si>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</si>
  <si>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</si>
  <si>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</si>
  <si>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</si>
  <si>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</si>
  <si>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</si>
  <si>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</si>
  <si>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</si>
  <si>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</si>
  <si>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</si>
  <si>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</si>
  <si>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</si>
  <si>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</si>
  <si>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</si>
  <si>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</si>
  <si>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</si>
  <si>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</si>
  <si>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</si>
  <si>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</si>
  <si>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</si>
  <si>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</si>
  <si>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</si>
  <si>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</si>
  <si>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</si>
  <si>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</si>
  <si>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</si>
  <si>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</si>
  <si>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</si>
  <si>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</si>
  <si>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</si>
  <si>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</si>
  <si>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</si>
  <si>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</si>
  <si>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</si>
  <si>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</si>
  <si>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</si>
  <si>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</si>
  <si>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</si>
  <si>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</si>
  <si>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</si>
  <si>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</si>
  <si>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</si>
  <si>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</si>
  <si>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</si>
  <si>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</si>
  <si>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</si>
  <si>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</si>
  <si>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</si>
  <si>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</si>
  <si>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</si>
  <si>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</si>
  <si>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</si>
  <si>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</si>
  <si>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</si>
  <si>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</si>
  <si>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</si>
  <si>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</si>
  <si>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</si>
  <si>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</si>
  <si>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</si>
  <si>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</si>
  <si>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</si>
  <si>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</si>
  <si>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</si>
  <si>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</si>
  <si>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</si>
  <si>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</si>
  <si>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</si>
  <si>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</si>
  <si>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</si>
  <si>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</si>
  <si>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</si>
  <si>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</si>
  <si>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</si>
  <si>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</si>
  <si>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</si>
  <si>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</si>
  <si>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</si>
  <si>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</si>
  <si>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</si>
  <si>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</si>
  <si>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</si>
  <si>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</si>
  <si>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</si>
  <si>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</si>
  <si>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</si>
  <si>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</si>
  <si>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</si>
  <si>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</si>
  <si>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</si>
  <si>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</si>
  <si>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</si>
  <si>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</si>
  <si>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</si>
  <si>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</si>
  <si>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</si>
  <si>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</si>
  <si>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</si>
  <si>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</si>
  <si>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</si>
  <si>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</si>
  <si>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</si>
  <si>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</si>
  <si>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</si>
  <si>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</si>
  <si>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</si>
  <si>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</si>
  <si>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</si>
  <si>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</si>
  <si>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</si>
  <si>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</si>
  <si>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</si>
  <si>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</si>
  <si>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</si>
  <si>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</si>
  <si>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</si>
  <si>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</si>
  <si>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</si>
  <si>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</si>
  <si>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</si>
  <si>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</si>
  <si>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</si>
  <si>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</si>
  <si>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</si>
  <si>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</si>
  <si>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</si>
  <si>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</si>
  <si>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</si>
  <si>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</si>
  <si>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</si>
  <si>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</si>
  <si>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</si>
  <si>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</si>
  <si>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</si>
  <si>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</si>
  <si>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</si>
  <si>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</si>
  <si>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</si>
  <si>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</si>
  <si>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</si>
  <si>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</si>
  <si>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</si>
  <si>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</si>
  <si>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</si>
  <si>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</si>
  <si>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</si>
  <si>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</si>
  <si>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</si>
  <si>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</si>
  <si>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</si>
  <si>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</si>
  <si>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</si>
  <si>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</si>
  <si>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</si>
  <si>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</si>
  <si>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</si>
  <si>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</si>
  <si>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</si>
  <si>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</si>
  <si>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</si>
  <si>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</si>
  <si>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</si>
  <si>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</si>
  <si>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</si>
  <si>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</si>
  <si>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</si>
  <si>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</si>
  <si>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</si>
  <si>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</si>
  <si>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</si>
  <si>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</si>
  <si>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</si>
  <si>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</si>
  <si>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</si>
  <si>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</si>
  <si>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</si>
  <si>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</si>
  <si>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</si>
  <si>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</si>
  <si>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</si>
  <si>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</si>
  <si>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</si>
  <si>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</si>
  <si>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</si>
  <si>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</si>
  <si>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</si>
  <si>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</si>
  <si>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</si>
  <si>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</si>
  <si>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</si>
  <si>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</si>
  <si>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</si>
  <si>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</si>
  <si>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</si>
  <si>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</si>
  <si>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</si>
  <si>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</si>
  <si>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</si>
  <si>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</si>
  <si>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</si>
  <si>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</si>
  <si>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</si>
  <si>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</si>
  <si>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</si>
  <si>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</si>
  <si>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</si>
  <si>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</si>
  <si>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</si>
  <si>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</si>
  <si>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</si>
  <si>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</si>
  <si>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</si>
  <si>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</si>
  <si>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</si>
  <si>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</si>
  <si>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</si>
  <si>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</si>
  <si>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</si>
  <si>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</si>
  <si>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</si>
  <si>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</si>
  <si>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</si>
  <si>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</si>
  <si>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</si>
  <si>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</si>
  <si>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</si>
  <si>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</si>
  <si>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</si>
  <si>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</si>
  <si>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</si>
  <si>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</si>
  <si>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</si>
  <si>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</si>
  <si>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</si>
  <si>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</si>
  <si>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</si>
  <si>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</si>
  <si>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</si>
  <si>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</si>
  <si>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</si>
  <si>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</si>
  <si>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</si>
  <si>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</si>
  <si>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</si>
  <si>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</si>
  <si>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</si>
  <si>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</si>
  <si>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</si>
  <si>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</si>
  <si>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</si>
  <si>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</si>
  <si>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</si>
  <si>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</si>
  <si>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</si>
  <si>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</si>
  <si>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</si>
  <si>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</si>
  <si>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</si>
  <si>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</si>
  <si>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</si>
  <si>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</si>
  <si>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</si>
  <si>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</si>
  <si>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</si>
  <si>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</si>
  <si>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</si>
  <si>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</si>
  <si>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</si>
  <si>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</si>
  <si>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</si>
  <si>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</si>
  <si>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</si>
  <si>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</si>
  <si>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</si>
  <si>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</si>
  <si>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</si>
  <si>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</si>
  <si>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</si>
  <si>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</si>
  <si>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</si>
  <si>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</si>
  <si>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</si>
  <si>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</si>
  <si>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</si>
  <si>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</si>
  <si>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</si>
  <si>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</si>
  <si>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</si>
  <si>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</si>
  <si>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</si>
  <si>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</si>
  <si>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</si>
  <si>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</si>
  <si>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</si>
  <si>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</si>
  <si>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</si>
  <si>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</si>
  <si>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</si>
  <si>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</si>
  <si>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</si>
  <si>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</si>
  <si>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</si>
  <si>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</si>
  <si>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</si>
  <si>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</si>
  <si>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</si>
  <si>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</si>
  <si>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</si>
  <si>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</si>
  <si>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</si>
  <si>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</si>
  <si>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</si>
  <si>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</si>
  <si>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</si>
  <si>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</si>
  <si>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</si>
  <si>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</si>
  <si>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</si>
  <si>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</si>
  <si>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</si>
  <si>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</si>
  <si>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</si>
  <si>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</si>
  <si>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</si>
  <si>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</si>
  <si>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</si>
  <si>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</si>
  <si>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</si>
  <si>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</si>
  <si>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</si>
  <si>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</si>
  <si>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</si>
  <si>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</si>
  <si>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</si>
  <si>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</si>
  <si>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</si>
  <si>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</si>
  <si>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</si>
  <si>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</si>
  <si>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</si>
  <si>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</si>
  <si>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</si>
  <si>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</si>
  <si>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</si>
  <si>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</si>
  <si>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</si>
  <si>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</si>
  <si>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</si>
  <si>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</si>
  <si>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</si>
  <si>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</si>
  <si>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</si>
  <si>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</si>
  <si>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</si>
  <si>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</si>
  <si>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</si>
  <si>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</si>
  <si>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</si>
  <si>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</si>
  <si>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</si>
  <si>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</si>
  <si>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</si>
  <si>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</si>
  <si>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</si>
  <si>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</si>
  <si>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</si>
  <si>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</si>
  <si>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</si>
  <si>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</si>
  <si>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</si>
  <si>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</si>
  <si>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</si>
  <si>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</si>
  <si>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</si>
  <si>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</si>
  <si>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</si>
  <si>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</si>
  <si>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</si>
  <si>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</si>
  <si>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</si>
  <si>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</si>
  <si>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</si>
  <si>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</si>
  <si>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</si>
  <si>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</si>
  <si>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</si>
  <si>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</si>
  <si>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</si>
  <si>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</si>
  <si>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</si>
  <si>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</si>
  <si>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</si>
  <si>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</si>
  <si>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</si>
  <si>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</si>
  <si>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</si>
  <si>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</si>
  <si>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</si>
  <si>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</si>
  <si>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</si>
  <si>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</si>
  <si>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</si>
  <si>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</si>
  <si>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</si>
  <si>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</si>
  <si>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</si>
  <si>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</si>
  <si>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</si>
  <si>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</si>
  <si>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</si>
  <si>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</si>
  <si>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</si>
  <si>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</si>
  <si>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</si>
  <si>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</si>
  <si>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</si>
  <si>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</si>
  <si>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</si>
  <si>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</si>
  <si>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</si>
  <si>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</si>
  <si>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</si>
  <si>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</si>
  <si>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</si>
  <si>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</si>
  <si>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</si>
  <si>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</si>
  <si>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</si>
  <si>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</si>
  <si>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</si>
  <si>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</si>
  <si>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</si>
  <si>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</si>
  <si>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</si>
  <si>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</si>
  <si>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</si>
  <si>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</si>
  <si>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</si>
  <si>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</si>
  <si>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</si>
  <si>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</si>
  <si>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</si>
  <si>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</si>
  <si>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</si>
  <si>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</si>
  <si>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</si>
  <si>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</si>
  <si>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</si>
  <si>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</si>
  <si>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</si>
  <si>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</si>
  <si>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</si>
  <si>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</si>
  <si>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</si>
  <si>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</si>
  <si>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</si>
  <si>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</si>
  <si>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</si>
  <si>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</si>
  <si>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</si>
  <si>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</si>
  <si>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</si>
  <si>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</si>
  <si>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</si>
  <si>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</si>
  <si>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</si>
  <si>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</si>
  <si>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</si>
  <si>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</si>
  <si>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</si>
  <si>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</si>
  <si>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</si>
  <si>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</si>
  <si>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</si>
  <si>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</si>
  <si>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</si>
  <si>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</si>
  <si>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</si>
  <si>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</si>
  <si>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</si>
  <si>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</si>
  <si>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</si>
  <si>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</si>
  <si>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</si>
  <si>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</si>
  <si>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</si>
  <si>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</si>
  <si>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</si>
  <si>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</si>
  <si>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</si>
  <si>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</si>
  <si>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</si>
  <si>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</si>
  <si>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</si>
  <si>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</si>
  <si>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</si>
  <si>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</si>
  <si>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</si>
  <si>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</si>
  <si>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</si>
  <si>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</si>
  <si>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</si>
  <si>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</si>
  <si>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</si>
  <si>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</si>
  <si>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</si>
  <si>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</si>
  <si>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</si>
  <si>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</si>
  <si>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</si>
  <si>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</si>
  <si>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</si>
  <si>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</si>
  <si>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</si>
  <si>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</si>
  <si>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</si>
  <si>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</si>
  <si>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</si>
  <si>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</si>
  <si>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</si>
  <si>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</si>
  <si>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</si>
  <si>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</si>
  <si>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</si>
  <si>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</si>
  <si>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</si>
  <si>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</si>
  <si>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</si>
  <si>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</si>
  <si>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</si>
  <si>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</si>
  <si>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</si>
  <si>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</si>
  <si>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</si>
  <si>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</si>
  <si>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</si>
  <si>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</si>
  <si>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</si>
  <si>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</si>
  <si>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</si>
  <si>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</si>
  <si>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</si>
  <si>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</si>
  <si>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</si>
  <si>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</si>
  <si>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</si>
  <si>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</si>
  <si>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</si>
  <si>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</si>
  <si>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</si>
  <si>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</si>
  <si>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</si>
  <si>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</si>
  <si>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</si>
  <si>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</si>
  <si>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</si>
  <si>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</si>
  <si>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</si>
  <si>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</si>
  <si>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</si>
  <si>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</si>
  <si>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</si>
  <si>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</si>
  <si>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</si>
  <si>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</si>
  <si>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</si>
  <si>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</si>
  <si>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</si>
  <si>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</si>
  <si>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</si>
  <si>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</si>
  <si>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</si>
  <si>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</si>
  <si>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</si>
  <si>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</si>
  <si>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</si>
  <si>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</si>
  <si>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</si>
  <si>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</si>
  <si>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</si>
  <si>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</si>
  <si>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</si>
  <si>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</si>
  <si>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</si>
  <si>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</si>
  <si>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</si>
  <si>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</si>
  <si>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</si>
  <si>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</si>
  <si>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</si>
  <si>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</si>
  <si>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</si>
  <si>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</si>
  <si>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</si>
  <si>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</si>
  <si>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</si>
  <si>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</si>
  <si>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</si>
  <si>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</si>
  <si>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</si>
  <si>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</si>
  <si>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</si>
  <si>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</si>
  <si>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</si>
  <si>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</si>
  <si>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</si>
  <si>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</si>
  <si>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</si>
  <si>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</si>
  <si>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</si>
  <si>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</si>
  <si>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</si>
  <si>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</si>
  <si>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</si>
  <si>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</si>
  <si>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</si>
  <si>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</si>
  <si>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</si>
  <si>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</si>
  <si>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</si>
  <si>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</si>
  <si>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</si>
  <si>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</si>
  <si>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</si>
  <si>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</si>
  <si>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</si>
  <si>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</si>
  <si>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</si>
  <si>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</si>
  <si>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</si>
  <si>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</si>
  <si>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</si>
  <si>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</si>
  <si>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</si>
  <si>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</si>
  <si>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</si>
  <si>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</si>
  <si>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</si>
  <si>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</si>
  <si>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</si>
  <si>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</si>
  <si>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</si>
  <si>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</si>
  <si>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</si>
  <si>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</si>
  <si>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</si>
  <si>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</si>
  <si>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</si>
  <si>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</si>
  <si>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</si>
  <si>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</si>
  <si>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</si>
  <si>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</si>
  <si>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</si>
  <si>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</si>
  <si>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</si>
  <si>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</si>
  <si>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</si>
  <si>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</si>
  <si>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</si>
  <si>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</si>
  <si>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</si>
  <si>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</si>
  <si>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</si>
  <si>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</si>
  <si>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</si>
  <si>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</si>
  <si>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</si>
  <si>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</si>
  <si>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</si>
  <si>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</si>
  <si>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</si>
  <si>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</si>
  <si>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</si>
  <si>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</si>
  <si>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</si>
  <si>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</si>
  <si>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</si>
  <si>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</si>
  <si>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</si>
  <si>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</si>
  <si>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</si>
  <si>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</si>
  <si>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</si>
  <si>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</si>
  <si>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</si>
  <si>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</si>
  <si>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</si>
  <si>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</si>
  <si>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</si>
  <si>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</si>
  <si>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</si>
  <si>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</si>
  <si>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</si>
  <si>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</si>
  <si>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</si>
  <si>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</si>
  <si>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</si>
  <si>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</si>
  <si>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</si>
  <si>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</si>
  <si>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</si>
  <si>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</si>
  <si>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</si>
  <si>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</si>
  <si>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</si>
  <si>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</si>
  <si>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</si>
  <si>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</si>
  <si>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</si>
  <si>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</si>
  <si>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</si>
  <si>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</si>
  <si>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</si>
  <si>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</si>
  <si>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</si>
  <si>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</si>
  <si>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</si>
  <si>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</si>
  <si>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</si>
  <si>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</si>
  <si>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</si>
  <si>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</si>
  <si>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</si>
  <si>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</si>
  <si>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</si>
  <si>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</si>
  <si>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</si>
  <si>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</si>
  <si>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</si>
  <si>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</si>
  <si>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</si>
  <si>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</si>
  <si>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</si>
  <si>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</si>
  <si>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</si>
  <si>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</si>
  <si>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</si>
  <si>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</si>
  <si>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</si>
  <si>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</si>
  <si>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</si>
  <si>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</si>
  <si>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</si>
  <si>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</si>
  <si>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</si>
  <si>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</si>
  <si>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</si>
  <si>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</si>
  <si>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</si>
  <si>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</si>
  <si>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</si>
  <si>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</si>
  <si>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</si>
  <si>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</si>
  <si>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</si>
  <si>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</si>
  <si>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</si>
  <si>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</si>
  <si>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</si>
  <si>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</si>
  <si>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</si>
  <si>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</si>
  <si>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</si>
  <si>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</si>
  <si>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</si>
  <si>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</si>
  <si>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</si>
  <si>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</si>
  <si>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</si>
  <si>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</si>
  <si>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</si>
  <si>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</si>
  <si>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</si>
  <si>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</si>
  <si>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</si>
  <si>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</si>
  <si>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</si>
  <si>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</si>
  <si>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</si>
  <si>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</si>
  <si>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</si>
  <si>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</si>
  <si>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</si>
  <si>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</si>
  <si>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</si>
  <si>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</si>
  <si>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</si>
  <si>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</si>
  <si>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</si>
  <si>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</si>
  <si>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</si>
  <si>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</si>
  <si>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</si>
  <si>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</si>
  <si>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</si>
  <si>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</si>
  <si>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</si>
  <si>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</si>
  <si>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</si>
  <si>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</si>
  <si>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</si>
  <si>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</si>
  <si>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</si>
  <si>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</si>
  <si>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</si>
  <si>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</si>
  <si>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</si>
  <si>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</si>
  <si>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</si>
  <si>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</si>
  <si>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</si>
  <si>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</si>
  <si>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</si>
  <si>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</si>
  <si>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</si>
  <si>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</si>
  <si>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</si>
  <si>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</si>
  <si>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</si>
  <si>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</si>
  <si>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</si>
  <si>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</si>
  <si>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</si>
  <si>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</si>
  <si>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</si>
  <si>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</si>
  <si>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</si>
  <si>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</si>
  <si>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</si>
  <si>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</si>
  <si>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</si>
  <si>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</si>
  <si>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</si>
  <si>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</si>
  <si>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t>
  </si>
  <si>
    <t>周边有三里河一区5号院、月坛西街乙2号院、月坛北小街小区等住宅小区，居住社区成熟度好。</t>
    <phoneticPr fontId="4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</si>
  <si>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</si>
  <si>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</si>
  <si>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</si>
  <si>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</si>
  <si>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</si>
  <si>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</si>
  <si>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</si>
  <si>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</si>
  <si>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</si>
  <si>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</si>
  <si>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</si>
  <si>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</si>
  <si>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</si>
  <si>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</si>
  <si>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</si>
  <si>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</si>
  <si>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</si>
  <si>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</si>
  <si>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</si>
  <si>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</si>
  <si>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</si>
  <si>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</si>
  <si>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</si>
  <si>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</si>
  <si>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</si>
  <si>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</si>
  <si>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</si>
  <si>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</si>
  <si>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</si>
  <si>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</si>
  <si>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</si>
  <si>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</si>
  <si>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</si>
  <si>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</si>
  <si>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</si>
  <si>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</si>
  <si>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</si>
  <si>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</si>
  <si>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</si>
  <si>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</si>
  <si>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</si>
  <si>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</si>
  <si>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</si>
  <si>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</si>
  <si>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</si>
  <si>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</si>
  <si>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</si>
  <si>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</si>
  <si>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</si>
  <si>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</si>
  <si>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</si>
  <si>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</si>
  <si>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</si>
  <si>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</si>
  <si>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</si>
  <si>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</si>
  <si>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</si>
  <si>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</si>
  <si>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</si>
  <si>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</si>
  <si>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</si>
  <si>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</si>
  <si>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</si>
  <si>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</si>
  <si>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</si>
  <si>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</si>
  <si>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</si>
  <si>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</si>
  <si>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</si>
  <si>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</si>
  <si>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</si>
  <si>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</si>
  <si>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</si>
  <si>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</si>
  <si>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</si>
  <si>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</si>
  <si>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</si>
  <si>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</si>
  <si>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</si>
  <si>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</si>
  <si>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</si>
  <si>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</si>
  <si>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</si>
  <si>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</si>
  <si>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</si>
  <si>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</si>
  <si>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</si>
  <si>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</si>
  <si>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</si>
  <si>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朝向</t>
  </si>
  <si>
    <t>15/18</t>
    <phoneticPr fontId="24" type="noConversion"/>
  </si>
  <si>
    <t>塔楼</t>
  </si>
  <si>
    <t>毛坯</t>
  </si>
  <si>
    <t>毛坯</t>
    <phoneticPr fontId="24" type="noConversion"/>
  </si>
  <si>
    <t>有903、61、40、59、53、49路等多条公交线路经过</t>
    <phoneticPr fontId="13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</si>
  <si>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</si>
  <si>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</si>
  <si>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</si>
  <si>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</si>
  <si>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</si>
  <si>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</si>
  <si>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</si>
  <si>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</si>
  <si>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</si>
  <si>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</si>
  <si>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</si>
  <si>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</si>
  <si>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</si>
  <si>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</si>
  <si>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</si>
  <si>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</si>
  <si>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</si>
  <si>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</si>
  <si>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</si>
  <si>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</si>
  <si>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</si>
  <si>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</si>
  <si>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</si>
  <si>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</si>
  <si>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</si>
  <si>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</si>
  <si>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</si>
  <si>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</si>
  <si>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</si>
  <si>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</si>
  <si>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</si>
  <si>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</si>
  <si>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</si>
  <si>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</si>
  <si>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</si>
  <si>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</si>
  <si>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</si>
  <si>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</si>
  <si>
    <t>地价区类</t>
    <phoneticPr fontId="30" type="noConversion"/>
  </si>
  <si>
    <t>3</t>
    <phoneticPr fontId="30" type="noConversion"/>
  </si>
  <si>
    <t>1</t>
    <phoneticPr fontId="30" type="noConversion"/>
  </si>
  <si>
    <t>西城区</t>
  </si>
  <si>
    <t>新明嘉园</t>
  </si>
  <si>
    <t>西城区新明嘉园</t>
    <phoneticPr fontId="24" type="noConversion"/>
  </si>
  <si>
    <t>银行：中国工商银行、中国银行等金融机构；
医院：北京大学人民医院等医疗机构；
学校：北京市外事学校、北京市第三中学、北京市西城区展览路第一小学等教育机构；
商业：新街口百货商场等商业设施；
综合评价公共服务设施齐备度好。</t>
    <phoneticPr fontId="30" type="noConversion"/>
  </si>
  <si>
    <t>周边有新康街甲1号院、新德街35号院、塔院胡同12号院等住宅小区，居住社区成熟度好。</t>
    <phoneticPr fontId="24" type="noConversion"/>
  </si>
  <si>
    <t>周边有5路、16路、22路、331路等多条公交线路及地铁2号线积水潭站，综合评价交通便捷度较好</t>
    <phoneticPr fontId="24" type="noConversion"/>
  </si>
  <si>
    <t>银行：中国银行、中国工商银行等金融机构；
医院：中国人民解放军第二炮兵总医院、首都医科大学附属北京安定医院等医疗机构；
学校：北京师范大学、北京师范大学第二附属中学、北京三帆中学、北京育翔小学等教育机构；
商业：新街口百货商场等商业设施；
综合评价公共服务设施齐备度好。</t>
  </si>
  <si>
    <t>2/6</t>
    <phoneticPr fontId="24" type="noConversion"/>
  </si>
  <si>
    <t>多层板楼</t>
  </si>
  <si>
    <t>2000-1-0608</t>
    <phoneticPr fontId="3" type="noConversion"/>
  </si>
  <si>
    <t>安永东</t>
    <phoneticPr fontId="3" type="noConversion"/>
  </si>
  <si>
    <t>110108680721001</t>
    <phoneticPr fontId="3" type="noConversion"/>
  </si>
  <si>
    <t>京都商业中心</t>
    <phoneticPr fontId="3" type="noConversion"/>
  </si>
  <si>
    <t>9号商住楼</t>
    <phoneticPr fontId="3" type="noConversion"/>
  </si>
  <si>
    <t>12层D1型</t>
    <phoneticPr fontId="3" type="noConversion"/>
  </si>
  <si>
    <t>北京市京都商业中心管理公司</t>
    <phoneticPr fontId="3" type="noConversion"/>
  </si>
  <si>
    <t>二室二厅二卫一厨</t>
    <phoneticPr fontId="3" type="noConversion"/>
  </si>
  <si>
    <t>复式   平层√   跃层   错层</t>
  </si>
  <si>
    <t>魏伯欣</t>
    <phoneticPr fontId="3" type="noConversion"/>
  </si>
  <si>
    <t>做内外装修</t>
    <phoneticPr fontId="3" type="noConversion"/>
  </si>
  <si>
    <t>西城区京都商业中心商住楼</t>
    <phoneticPr fontId="24" type="noConversion"/>
  </si>
  <si>
    <t>周边有裕中西里、裕中东里、裕民东里等住宅小区，居住社区成熟度好。</t>
    <phoneticPr fontId="24" type="noConversion"/>
  </si>
  <si>
    <t>02-0003</t>
  </si>
  <si>
    <t>初状</t>
  </si>
  <si>
    <t>上人屋面</t>
  </si>
  <si>
    <t>外墙涂料</t>
  </si>
  <si>
    <t>外窗：双玻塑钢窗；户门：钢木门</t>
  </si>
  <si>
    <t>水泥找平</t>
  </si>
  <si>
    <t>做完防水层，不做面层</t>
  </si>
  <si>
    <t>石材地面，喷涂墙面</t>
  </si>
  <si>
    <t>管道天然气</t>
  </si>
  <si>
    <t>电话出线口每户2个；光缆电视天线2个进线插座。</t>
  </si>
  <si>
    <t>双路供电</t>
  </si>
  <si>
    <t>市政供水</t>
  </si>
  <si>
    <t>电表磁卡计量</t>
  </si>
  <si>
    <t>消防井</t>
  </si>
  <si>
    <t>每个单元设保安对讲系统，24小时保安值勤</t>
  </si>
  <si>
    <t>地上车位</t>
  </si>
  <si>
    <t>混合居住区</t>
  </si>
  <si>
    <t xml:space="preserve">市级、区级、小区级√ 、街区级   </t>
  </si>
  <si>
    <t>城市主干道、城市次干道√、支路</t>
  </si>
  <si>
    <t>有22，16，331，815路等多条公交线路</t>
    <phoneticPr fontId="247" type="noConversion"/>
  </si>
  <si>
    <t>除自设商店外，其余公建利用周围配套设施</t>
  </si>
  <si>
    <t>天然气√、煤气</t>
  </si>
  <si>
    <t>范国才</t>
  </si>
  <si>
    <t>周边有5路、300路、302路等多条公交线路，综合评价交通便捷度一般</t>
    <phoneticPr fontId="24" type="noConversion"/>
  </si>
  <si>
    <t>银行：中国银行、中国建设银行等金融机构；
医院：中国人民解放军第二炮兵总医院等医疗机构；
学校：北京铁道学院附中、裕中小学等教育机构；
商业：餐饮、零售等各类社区商业设施；
综合评价公共服务设施齐备度较好。</t>
    <phoneticPr fontId="24" type="noConversion"/>
  </si>
  <si>
    <t>自然环境：人定湖公园、什刹海公园等自然水系景观；
人文环境：北京师范大学等人文场所；
综合评价环境状况较好。</t>
    <phoneticPr fontId="24" type="noConversion"/>
  </si>
  <si>
    <t>自然环境：元大都城垣遗址公园等自然水系景观；
人文环境：北京师范大学等人文场所；
综合评价环境状况较好。</t>
    <phoneticPr fontId="24" type="noConversion"/>
  </si>
  <si>
    <t>12/18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</si>
</sst>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5"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9" fillId="0" borderId="1" xfId="0" applyFont="1" applyBorder="1" applyAlignment="1">
      <alignment horizontal="left"/>
    </xf>
    <xf numFmtId="198" fontId="19" fillId="0" borderId="1" xfId="0" applyNumberFormat="1" applyFont="1" applyBorder="1" applyAlignment="1">
      <alignment horizontal="left"/>
    </xf>
    <xf numFmtId="197"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0" fontId="19" fillId="0" borderId="1" xfId="0"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49"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183" fontId="19" fillId="0" borderId="1" xfId="0" applyNumberFormat="1" applyFont="1" applyBorder="1" applyAlignment="1" applyProtection="1">
      <alignment horizontal="left"/>
      <protection locked="0"/>
    </xf>
    <xf numFmtId="0" fontId="19" fillId="0" borderId="1" xfId="0" applyFont="1" applyBorder="1" applyAlignment="1"/>
    <xf numFmtId="49" fontId="19" fillId="0" borderId="1" xfId="0" applyNumberFormat="1" applyFont="1" applyBorder="1" applyAlignment="1"/>
    <xf numFmtId="44" fontId="19" fillId="0" borderId="1" xfId="19" applyFont="1" applyFill="1" applyBorder="1" applyAlignment="1">
      <alignment horizontal="left"/>
    </xf>
    <xf numFmtId="0" fontId="19" fillId="3" borderId="1" xfId="0" applyFont="1" applyFill="1" applyBorder="1" applyAlignment="1"/>
    <xf numFmtId="1" fontId="19" fillId="22" borderId="1" xfId="0" applyNumberFormat="1" applyFont="1" applyFill="1" applyBorder="1" applyAlignment="1">
      <alignment horizontal="center"/>
    </xf>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xf numFmtId="197" fontId="19" fillId="0" borderId="1" xfId="0" applyNumberFormat="1" applyFont="1" applyBorder="1" applyAlignment="1">
      <alignment horizontal="right"/>
    </xf>
    <xf numFmtId="0" fontId="19" fillId="0" borderId="1" xfId="0" applyFont="1" applyBorder="1" applyAlignment="1" applyProtection="1">
      <protection locked="0"/>
    </xf>
    <xf numFmtId="0" fontId="19" fillId="22" borderId="1" xfId="0" applyFont="1" applyFill="1" applyBorder="1" applyAlignment="1">
      <alignment horizontal="center"/>
    </xf>
    <xf numFmtId="31" fontId="19" fillId="0" borderId="1" xfId="0" applyNumberFormat="1" applyFont="1" applyBorder="1" applyAlignment="1"/>
    <xf numFmtId="199" fontId="19" fillId="0" borderId="1" xfId="0" applyNumberFormat="1" applyFont="1" applyBorder="1" applyAlignment="1">
      <alignment horizontal="center"/>
    </xf>
    <xf numFmtId="49" fontId="19" fillId="0" borderId="1" xfId="0" applyNumberFormat="1" applyFont="1" applyBorder="1" applyAlignment="1" applyProtection="1">
      <protection locked="0"/>
    </xf>
    <xf numFmtId="183" fontId="19" fillId="0" borderId="1" xfId="0" applyNumberFormat="1" applyFont="1" applyBorder="1" applyAlignment="1" applyProtection="1">
      <protection locked="0"/>
    </xf>
    <xf numFmtId="0" fontId="19" fillId="23" borderId="1" xfId="0" applyFont="1" applyFill="1" applyBorder="1" applyAlignment="1"/>
    <xf numFmtId="9" fontId="19" fillId="23" borderId="1" xfId="0" applyNumberFormat="1" applyFont="1" applyFill="1" applyBorder="1" applyAlignment="1"/>
    <xf numFmtId="0" fontId="19" fillId="0" borderId="0" xfId="0" applyFont="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34</xdr:row>
      <xdr:rowOff>219075</xdr:rowOff>
    </xdr:from>
    <xdr:to>
      <xdr:col>3</xdr:col>
      <xdr:colOff>514350</xdr:colOff>
      <xdr:row>53</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87630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75</xdr:row>
      <xdr:rowOff>67710</xdr:rowOff>
    </xdr:from>
    <xdr:to>
      <xdr:col>3</xdr:col>
      <xdr:colOff>762000</xdr:colOff>
      <xdr:row>92</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2"/>
        <a:stretch>
          <a:fillRect/>
        </a:stretch>
      </xdr:blipFill>
      <xdr:spPr>
        <a:xfrm>
          <a:off x="752475" y="15326760"/>
          <a:ext cx="4400550" cy="2865298"/>
        </a:xfrm>
        <a:prstGeom prst="rect">
          <a:avLst/>
        </a:prstGeom>
      </xdr:spPr>
    </xdr:pic>
    <xdr:clientData/>
  </xdr:twoCellAnchor>
  <xdr:twoCellAnchor editAs="oneCell">
    <xdr:from>
      <xdr:col>1</xdr:col>
      <xdr:colOff>76200</xdr:colOff>
      <xdr:row>93</xdr:row>
      <xdr:rowOff>85725</xdr:rowOff>
    </xdr:from>
    <xdr:to>
      <xdr:col>7</xdr:col>
      <xdr:colOff>284852</xdr:colOff>
      <xdr:row>107</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3"/>
        <a:stretch>
          <a:fillRect/>
        </a:stretch>
      </xdr:blipFill>
      <xdr:spPr>
        <a:xfrm>
          <a:off x="762000" y="18602325"/>
          <a:ext cx="7180952" cy="2438095"/>
        </a:xfrm>
        <a:prstGeom prst="rect">
          <a:avLst/>
        </a:prstGeom>
      </xdr:spPr>
    </xdr:pic>
    <xdr:clientData/>
  </xdr:twoCellAnchor>
  <xdr:twoCellAnchor editAs="oneCell">
    <xdr:from>
      <xdr:col>0</xdr:col>
      <xdr:colOff>38099</xdr:colOff>
      <xdr:row>26</xdr:row>
      <xdr:rowOff>26355</xdr:rowOff>
    </xdr:from>
    <xdr:to>
      <xdr:col>4</xdr:col>
      <xdr:colOff>199201</xdr:colOff>
      <xdr:row>34</xdr:row>
      <xdr:rowOff>228186</xdr:rowOff>
    </xdr:to>
    <xdr:pic>
      <xdr:nvPicPr>
        <xdr:cNvPr id="3" name="图片 2">
          <a:extLst>
            <a:ext uri="{FF2B5EF4-FFF2-40B4-BE49-F238E27FC236}">
              <a16:creationId xmlns:a16="http://schemas.microsoft.com/office/drawing/2014/main" id="{EB17C2B5-3A26-8433-7A44-F48C86051316}"/>
            </a:ext>
          </a:extLst>
        </xdr:cNvPr>
        <xdr:cNvPicPr>
          <a:picLocks noChangeAspect="1"/>
        </xdr:cNvPicPr>
      </xdr:nvPicPr>
      <xdr:blipFill>
        <a:blip xmlns:r="http://schemas.openxmlformats.org/officeDocument/2006/relationships" r:embed="rId4"/>
        <a:stretch>
          <a:fillRect/>
        </a:stretch>
      </xdr:blipFill>
      <xdr:spPr>
        <a:xfrm>
          <a:off x="38099" y="6074730"/>
          <a:ext cx="5409377" cy="2716431"/>
        </a:xfrm>
        <a:prstGeom prst="rect">
          <a:avLst/>
        </a:prstGeom>
      </xdr:spPr>
    </xdr:pic>
    <xdr:clientData/>
  </xdr:twoCellAnchor>
  <xdr:twoCellAnchor editAs="oneCell">
    <xdr:from>
      <xdr:col>0</xdr:col>
      <xdr:colOff>342900</xdr:colOff>
      <xdr:row>22</xdr:row>
      <xdr:rowOff>60173</xdr:rowOff>
    </xdr:from>
    <xdr:to>
      <xdr:col>4</xdr:col>
      <xdr:colOff>341883</xdr:colOff>
      <xdr:row>24</xdr:row>
      <xdr:rowOff>285585</xdr:rowOff>
    </xdr:to>
    <xdr:pic>
      <xdr:nvPicPr>
        <xdr:cNvPr id="4" name="图片 3">
          <a:extLst>
            <a:ext uri="{FF2B5EF4-FFF2-40B4-BE49-F238E27FC236}">
              <a16:creationId xmlns:a16="http://schemas.microsoft.com/office/drawing/2014/main" id="{3E7B7EB4-7F28-A819-3B9B-5295CCFA3E8A}"/>
            </a:ext>
          </a:extLst>
        </xdr:cNvPr>
        <xdr:cNvPicPr>
          <a:picLocks noChangeAspect="1"/>
        </xdr:cNvPicPr>
      </xdr:nvPicPr>
      <xdr:blipFill>
        <a:blip xmlns:r="http://schemas.openxmlformats.org/officeDocument/2006/relationships" r:embed="rId5"/>
        <a:stretch>
          <a:fillRect/>
        </a:stretch>
      </xdr:blipFill>
      <xdr:spPr>
        <a:xfrm>
          <a:off x="342900" y="4851248"/>
          <a:ext cx="5247258" cy="854062"/>
        </a:xfrm>
        <a:prstGeom prst="rect">
          <a:avLst/>
        </a:prstGeom>
      </xdr:spPr>
    </xdr:pic>
    <xdr:clientData/>
  </xdr:twoCellAnchor>
  <xdr:twoCellAnchor editAs="oneCell">
    <xdr:from>
      <xdr:col>5</xdr:col>
      <xdr:colOff>238125</xdr:colOff>
      <xdr:row>21</xdr:row>
      <xdr:rowOff>209650</xdr:rowOff>
    </xdr:from>
    <xdr:to>
      <xdr:col>16</xdr:col>
      <xdr:colOff>932206</xdr:colOff>
      <xdr:row>24</xdr:row>
      <xdr:rowOff>285606</xdr:rowOff>
    </xdr:to>
    <xdr:pic>
      <xdr:nvPicPr>
        <xdr:cNvPr id="5" name="图片 4">
          <a:extLst>
            <a:ext uri="{FF2B5EF4-FFF2-40B4-BE49-F238E27FC236}">
              <a16:creationId xmlns:a16="http://schemas.microsoft.com/office/drawing/2014/main" id="{2A86AB65-0E37-60DD-54CB-0B6AD56AFD6D}"/>
            </a:ext>
          </a:extLst>
        </xdr:cNvPr>
        <xdr:cNvPicPr>
          <a:picLocks noChangeAspect="1"/>
        </xdr:cNvPicPr>
      </xdr:nvPicPr>
      <xdr:blipFill>
        <a:blip xmlns:r="http://schemas.openxmlformats.org/officeDocument/2006/relationships" r:embed="rId6"/>
        <a:stretch>
          <a:fillRect/>
        </a:stretch>
      </xdr:blipFill>
      <xdr:spPr>
        <a:xfrm>
          <a:off x="6172200" y="4686400"/>
          <a:ext cx="8799856" cy="1018931"/>
        </a:xfrm>
        <a:prstGeom prst="rect">
          <a:avLst/>
        </a:prstGeom>
      </xdr:spPr>
    </xdr:pic>
    <xdr:clientData/>
  </xdr:twoCellAnchor>
  <xdr:twoCellAnchor editAs="oneCell">
    <xdr:from>
      <xdr:col>5</xdr:col>
      <xdr:colOff>371474</xdr:colOff>
      <xdr:row>25</xdr:row>
      <xdr:rowOff>91502</xdr:rowOff>
    </xdr:from>
    <xdr:to>
      <xdr:col>13</xdr:col>
      <xdr:colOff>227722</xdr:colOff>
      <xdr:row>33</xdr:row>
      <xdr:rowOff>228205</xdr:rowOff>
    </xdr:to>
    <xdr:pic>
      <xdr:nvPicPr>
        <xdr:cNvPr id="6" name="图片 5">
          <a:extLst>
            <a:ext uri="{FF2B5EF4-FFF2-40B4-BE49-F238E27FC236}">
              <a16:creationId xmlns:a16="http://schemas.microsoft.com/office/drawing/2014/main" id="{A7022E62-C0DE-A1B5-8384-AA7378F3923C}"/>
            </a:ext>
          </a:extLst>
        </xdr:cNvPr>
        <xdr:cNvPicPr>
          <a:picLocks noChangeAspect="1"/>
        </xdr:cNvPicPr>
      </xdr:nvPicPr>
      <xdr:blipFill>
        <a:blip xmlns:r="http://schemas.openxmlformats.org/officeDocument/2006/relationships" r:embed="rId7"/>
        <a:stretch>
          <a:fillRect/>
        </a:stretch>
      </xdr:blipFill>
      <xdr:spPr>
        <a:xfrm>
          <a:off x="6305549" y="5825552"/>
          <a:ext cx="5885573" cy="2651303"/>
        </a:xfrm>
        <a:prstGeom prst="rect">
          <a:avLst/>
        </a:prstGeom>
      </xdr:spPr>
    </xdr:pic>
    <xdr:clientData/>
  </xdr:twoCellAnchor>
  <xdr:twoCellAnchor editAs="oneCell">
    <xdr:from>
      <xdr:col>5</xdr:col>
      <xdr:colOff>0</xdr:colOff>
      <xdr:row>37</xdr:row>
      <xdr:rowOff>0</xdr:rowOff>
    </xdr:from>
    <xdr:to>
      <xdr:col>14</xdr:col>
      <xdr:colOff>551542</xdr:colOff>
      <xdr:row>74</xdr:row>
      <xdr:rowOff>313493</xdr:rowOff>
    </xdr:to>
    <xdr:pic>
      <xdr:nvPicPr>
        <xdr:cNvPr id="7" name="图片 6">
          <a:extLst>
            <a:ext uri="{FF2B5EF4-FFF2-40B4-BE49-F238E27FC236}">
              <a16:creationId xmlns:a16="http://schemas.microsoft.com/office/drawing/2014/main" id="{A706373D-C136-AAE4-AB52-ECB52E771BE8}"/>
            </a:ext>
          </a:extLst>
        </xdr:cNvPr>
        <xdr:cNvPicPr>
          <a:picLocks noChangeAspect="1"/>
        </xdr:cNvPicPr>
      </xdr:nvPicPr>
      <xdr:blipFill>
        <a:blip xmlns:r="http://schemas.openxmlformats.org/officeDocument/2006/relationships" r:embed="rId8"/>
        <a:stretch>
          <a:fillRect/>
        </a:stretch>
      </xdr:blipFill>
      <xdr:spPr>
        <a:xfrm>
          <a:off x="5934075" y="9201150"/>
          <a:ext cx="7266667"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2574</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2575</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2287</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446" t="s">
        <v>385</v>
      </c>
      <c r="C54" s="1444" t="s">
        <v>583</v>
      </c>
    </row>
    <row r="55" spans="1:4">
      <c r="A55" s="3300"/>
      <c r="B55" s="1446" t="s">
        <v>386</v>
      </c>
      <c r="C55" s="1444" t="s">
        <v>584</v>
      </c>
    </row>
    <row r="56" spans="1:4">
      <c r="A56" s="3300"/>
      <c r="B56" s="1446" t="s">
        <v>387</v>
      </c>
      <c r="C56" s="1444" t="s">
        <v>588</v>
      </c>
    </row>
    <row r="57" spans="1:4">
      <c r="A57" s="330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301" t="s">
        <v>2577</v>
      </c>
      <c r="J2" s="3301"/>
      <c r="K2" s="3301"/>
      <c r="L2" s="3301"/>
      <c r="M2" s="3301"/>
      <c r="N2" s="3301"/>
      <c r="O2" s="3301"/>
      <c r="P2" s="3301"/>
      <c r="Q2" s="3301"/>
      <c r="R2" s="3301"/>
    </row>
    <row r="3" spans="1:18">
      <c r="A3" s="2758" t="s">
        <v>2498</v>
      </c>
      <c r="B3" s="2759">
        <f>项目基本情况!D3</f>
        <v>36799</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2564</v>
      </c>
      <c r="M23" s="2795" t="s">
        <v>2565</v>
      </c>
    </row>
    <row r="24" spans="1:13">
      <c r="A24" s="2772" t="s">
        <v>2525</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2563</v>
      </c>
      <c r="M24" s="2795">
        <v>10</v>
      </c>
    </row>
    <row r="25" spans="1:13">
      <c r="A25" s="2772" t="s">
        <v>2526</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2567</v>
      </c>
      <c r="M25" s="2795">
        <v>8</v>
      </c>
    </row>
    <row r="26" spans="1:13">
      <c r="A26" s="2777"/>
      <c r="B26" s="2778"/>
      <c r="C26" s="2778"/>
      <c r="D26" s="2778"/>
      <c r="E26" s="2778"/>
      <c r="F26" s="2778"/>
      <c r="G26" s="2779"/>
      <c r="I26" s="2795">
        <v>30</v>
      </c>
      <c r="J26" s="2795">
        <v>90.5</v>
      </c>
      <c r="K26" s="2795">
        <f t="shared" si="0"/>
        <v>4.2000000000000028</v>
      </c>
      <c r="L26" s="2795" t="s">
        <v>2568</v>
      </c>
      <c r="M26" s="2795">
        <v>5</v>
      </c>
    </row>
    <row r="27" spans="1:13">
      <c r="A27" s="2777" t="s">
        <v>2527</v>
      </c>
      <c r="B27" s="2778"/>
      <c r="C27" s="2778"/>
      <c r="D27" s="2778"/>
      <c r="E27" s="2778"/>
      <c r="F27" s="2778"/>
      <c r="G27" s="2779"/>
      <c r="I27" s="2795">
        <v>35</v>
      </c>
      <c r="J27" s="2795">
        <v>93.8</v>
      </c>
      <c r="K27" s="2795">
        <f t="shared" si="0"/>
        <v>3.2999999999999972</v>
      </c>
      <c r="L27" s="2795" t="s">
        <v>2569</v>
      </c>
      <c r="M27" s="2795">
        <v>3</v>
      </c>
    </row>
    <row r="28" spans="1:13">
      <c r="A28" s="2777" t="s">
        <v>2528</v>
      </c>
      <c r="B28" s="2778"/>
      <c r="C28" s="2778"/>
      <c r="D28" s="2778"/>
      <c r="E28" s="2778"/>
      <c r="F28" s="2778"/>
      <c r="G28" s="2779"/>
      <c r="I28" s="2795">
        <v>40</v>
      </c>
      <c r="J28" s="2795">
        <v>96.4</v>
      </c>
      <c r="K28" s="2795">
        <f t="shared" si="0"/>
        <v>2.6000000000000085</v>
      </c>
      <c r="L28" s="2795" t="s">
        <v>2570</v>
      </c>
      <c r="M28" s="2795">
        <v>2</v>
      </c>
    </row>
    <row r="29" spans="1:13">
      <c r="A29" s="2777" t="s">
        <v>2529</v>
      </c>
      <c r="B29" s="2778"/>
      <c r="C29" s="2778"/>
      <c r="D29" s="2778"/>
      <c r="E29" s="2778"/>
      <c r="F29" s="2778"/>
      <c r="G29" s="2779"/>
      <c r="I29" s="2795">
        <v>45</v>
      </c>
      <c r="J29" s="2795">
        <v>98.4</v>
      </c>
      <c r="K29" s="2795">
        <f t="shared" si="0"/>
        <v>2</v>
      </c>
    </row>
    <row r="30" spans="1:13">
      <c r="A30" s="2777" t="s">
        <v>2530</v>
      </c>
      <c r="B30" s="2778"/>
      <c r="C30" s="2778"/>
      <c r="D30" s="2778"/>
      <c r="E30" s="2778"/>
      <c r="F30" s="2778"/>
      <c r="G30" s="2779"/>
      <c r="I30" s="2795">
        <v>50</v>
      </c>
      <c r="J30" s="2795">
        <v>100</v>
      </c>
      <c r="K30" s="2795">
        <f t="shared" si="0"/>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1">J36-J35</f>
        <v>9.2999999999999972</v>
      </c>
      <c r="L36" s="2795" t="s">
        <v>2564</v>
      </c>
      <c r="M36" s="2795" t="s">
        <v>2565</v>
      </c>
    </row>
    <row r="37" spans="1:13">
      <c r="A37" s="2777" t="s">
        <v>2537</v>
      </c>
      <c r="B37" s="2778"/>
      <c r="C37" s="2778"/>
      <c r="D37" s="2778"/>
      <c r="E37" s="2778"/>
      <c r="F37" s="2778"/>
      <c r="G37" s="2779"/>
      <c r="I37" s="2795">
        <v>20</v>
      </c>
      <c r="J37" s="2795">
        <v>83.6</v>
      </c>
      <c r="K37" s="2795">
        <f t="shared" si="1"/>
        <v>7.2999999999999972</v>
      </c>
      <c r="L37" s="2795" t="s">
        <v>2563</v>
      </c>
      <c r="M37" s="2795">
        <v>10</v>
      </c>
    </row>
    <row r="38" spans="1:13">
      <c r="A38" s="2777" t="s">
        <v>2538</v>
      </c>
      <c r="B38" s="2778"/>
      <c r="C38" s="2778"/>
      <c r="D38" s="2778"/>
      <c r="E38" s="2778"/>
      <c r="F38" s="2778"/>
      <c r="G38" s="2779"/>
      <c r="I38" s="2795">
        <v>25</v>
      </c>
      <c r="J38" s="2795">
        <v>89.3</v>
      </c>
      <c r="K38" s="2795">
        <f t="shared" si="1"/>
        <v>5.7000000000000028</v>
      </c>
      <c r="L38" s="2795" t="s">
        <v>2567</v>
      </c>
      <c r="M38" s="2795">
        <v>8</v>
      </c>
    </row>
    <row r="39" spans="1:13">
      <c r="A39" s="2777"/>
      <c r="B39" s="2778"/>
      <c r="C39" s="2778"/>
      <c r="D39" s="2778"/>
      <c r="E39" s="2778"/>
      <c r="F39" s="2778"/>
      <c r="G39" s="2779"/>
      <c r="I39" s="2795">
        <v>30</v>
      </c>
      <c r="J39" s="2795">
        <v>93.8</v>
      </c>
      <c r="K39" s="2795">
        <f t="shared" si="1"/>
        <v>4.5</v>
      </c>
      <c r="L39" s="2795" t="s">
        <v>2568</v>
      </c>
      <c r="M39" s="2795">
        <v>6</v>
      </c>
    </row>
    <row r="40" spans="1:13">
      <c r="A40" s="2780" t="s">
        <v>2539</v>
      </c>
      <c r="B40" s="2781"/>
      <c r="C40" s="2781"/>
      <c r="D40" s="2781"/>
      <c r="E40" s="2781"/>
      <c r="F40" s="2781"/>
      <c r="G40" s="2782"/>
      <c r="I40" s="2795">
        <v>35</v>
      </c>
      <c r="J40" s="2795">
        <v>97.2</v>
      </c>
      <c r="K40" s="2795">
        <f t="shared" si="1"/>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1"/>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309" t="str">
        <f>IF(B10="北京市","北京市",C10)&amp;F10&amp;IF(结果表!G1="在建","出让国有建设用地使用权及在建建筑物",IF(结果表!G1="土地","出让国有建设用地使用权",))&amp;B9&amp;"预评估"</f>
        <v>北京市预评估</v>
      </c>
      <c r="C1" s="3310"/>
      <c r="D1" s="3310"/>
      <c r="E1" s="3310"/>
      <c r="F1" s="3310"/>
      <c r="G1" s="3310"/>
      <c r="H1" s="3310"/>
      <c r="I1" s="3311"/>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2165</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36799</v>
      </c>
      <c r="C3" s="2182" t="s">
        <v>2167</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2168</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2171</v>
      </c>
      <c r="B7" s="2194"/>
      <c r="C7" s="2192"/>
      <c r="D7" s="2193"/>
      <c r="E7" s="2436"/>
      <c r="F7" s="2437"/>
      <c r="G7" s="2437"/>
      <c r="H7" s="1615"/>
      <c r="I7" s="3149">
        <f>I6-1.5*365+70*365</f>
        <v>65660.5</v>
      </c>
      <c r="J7" s="2241"/>
      <c r="K7" s="2397"/>
      <c r="L7" s="2394"/>
      <c r="M7" s="2394"/>
      <c r="N7" s="2241"/>
      <c r="O7" s="1669"/>
      <c r="P7" s="2241"/>
      <c r="Q7" s="2241"/>
      <c r="R7" s="2241"/>
    </row>
    <row r="8" spans="1:30">
      <c r="A8" s="2195" t="s">
        <v>2172</v>
      </c>
      <c r="B8" s="2196"/>
      <c r="C8" s="2197"/>
      <c r="D8" s="3312" t="s">
        <v>2173</v>
      </c>
      <c r="E8" s="2198"/>
      <c r="F8" s="2199"/>
      <c r="G8" s="2437"/>
      <c r="H8" s="2437"/>
      <c r="I8" s="2437">
        <f>(I7-B3)/365</f>
        <v>79.072602739726022</v>
      </c>
      <c r="J8" s="2241"/>
      <c r="K8" s="2395"/>
      <c r="L8" s="2394"/>
      <c r="M8" s="2394"/>
      <c r="N8" s="2241"/>
      <c r="O8" s="1669"/>
      <c r="P8" s="2241"/>
      <c r="Q8" s="2241"/>
      <c r="R8" s="2241"/>
    </row>
    <row r="9" spans="1:30" ht="13.5" thickBot="1">
      <c r="A9" s="2200" t="s">
        <v>2174</v>
      </c>
      <c r="B9" s="2201"/>
      <c r="C9" s="2202"/>
      <c r="D9" s="3313"/>
      <c r="E9" s="2201"/>
      <c r="F9" s="2203"/>
      <c r="G9" s="2438"/>
      <c r="H9" s="2438"/>
      <c r="I9" s="2438"/>
      <c r="J9" s="2241"/>
      <c r="K9" s="2397"/>
      <c r="L9" s="2394"/>
      <c r="M9" s="2394"/>
      <c r="N9" s="2241"/>
      <c r="O9" s="1669"/>
      <c r="P9" s="2241"/>
      <c r="Q9" s="2241"/>
      <c r="R9" s="2241"/>
    </row>
    <row r="10" spans="1:30" ht="13.5" thickTop="1">
      <c r="A10" s="2204" t="s">
        <v>2175</v>
      </c>
      <c r="B10" s="2205" t="s">
        <v>3373</v>
      </c>
      <c r="C10" s="2206"/>
      <c r="D10" s="2189"/>
      <c r="E10" s="2207" t="s">
        <v>2176</v>
      </c>
      <c r="F10" s="2439"/>
      <c r="G10" s="2440"/>
      <c r="H10" s="2441"/>
      <c r="I10" s="2442"/>
      <c r="J10" s="2241"/>
      <c r="K10" s="2397"/>
      <c r="L10" s="2394"/>
      <c r="M10" s="2394"/>
      <c r="N10" s="2241"/>
      <c r="O10" s="1669"/>
      <c r="P10" s="2241"/>
      <c r="Q10" s="2241"/>
      <c r="R10" s="2241"/>
    </row>
    <row r="11" spans="1:30">
      <c r="A11" s="2208" t="s">
        <v>2177</v>
      </c>
      <c r="B11" s="2209" t="s">
        <v>3372</v>
      </c>
      <c r="C11" s="2210"/>
      <c r="D11" s="2211"/>
      <c r="E11" s="2178"/>
      <c r="F11" s="2178"/>
      <c r="G11" s="2178"/>
      <c r="H11" s="2178"/>
      <c r="I11" s="2178"/>
      <c r="J11" s="2797"/>
      <c r="K11" s="2394"/>
      <c r="L11" s="2394"/>
      <c r="M11" s="2394"/>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2573</v>
      </c>
      <c r="J12" s="2798"/>
      <c r="K12" s="2394"/>
      <c r="L12" s="2394"/>
      <c r="M12" s="2241"/>
      <c r="N12" s="1669"/>
      <c r="O12" s="2241"/>
      <c r="P12" s="2241"/>
      <c r="Q12" s="2241"/>
      <c r="AD12" s="1617"/>
    </row>
    <row r="13" spans="1:30">
      <c r="A13" s="3117" t="s">
        <v>3331</v>
      </c>
      <c r="B13" s="2214" t="s">
        <v>2186</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2187</v>
      </c>
      <c r="C14" s="2215">
        <v>70</v>
      </c>
      <c r="D14" s="2215"/>
      <c r="E14" s="2215"/>
      <c r="F14" s="2215"/>
      <c r="G14" s="2215"/>
      <c r="H14" s="2215"/>
      <c r="I14" s="2215"/>
      <c r="J14" s="2799"/>
      <c r="K14" s="2394"/>
      <c r="L14" s="2394"/>
      <c r="M14" s="2241"/>
      <c r="N14" s="1669"/>
      <c r="O14" s="2241"/>
      <c r="P14" s="2241"/>
      <c r="Q14" s="2241"/>
      <c r="AD14" s="1617"/>
    </row>
    <row r="15" spans="1:30">
      <c r="A15" s="312"/>
      <c r="B15" s="2216" t="s">
        <v>2188</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319"/>
      <c r="C16" s="3320"/>
      <c r="D16" s="3321"/>
      <c r="E16" s="2218" t="s">
        <v>2190</v>
      </c>
      <c r="F16" s="3322"/>
      <c r="G16" s="3323"/>
      <c r="H16" s="3323"/>
      <c r="I16" s="3324"/>
      <c r="J16" s="2241"/>
      <c r="K16" s="2398"/>
      <c r="L16" s="1669"/>
      <c r="M16" s="1669"/>
      <c r="N16" s="2241"/>
      <c r="O16" s="1669"/>
      <c r="P16" s="2241"/>
      <c r="Q16" s="2241"/>
      <c r="R16" s="2241"/>
    </row>
    <row r="17" spans="1:28">
      <c r="A17" s="305" t="s">
        <v>2191</v>
      </c>
      <c r="B17" s="294" t="s">
        <v>2192</v>
      </c>
      <c r="C17" s="8">
        <f>'数据-汇总表'!E3</f>
        <v>69.099999999999994</v>
      </c>
      <c r="D17" s="1255" t="s">
        <v>2193</v>
      </c>
      <c r="E17" s="3325" t="s">
        <v>2194</v>
      </c>
      <c r="F17" s="3326"/>
      <c r="G17" s="3326"/>
      <c r="H17" s="3326"/>
      <c r="I17" s="3327"/>
      <c r="J17" s="2241"/>
      <c r="K17" s="2399"/>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328" t="s">
        <v>2198</v>
      </c>
      <c r="F18" s="3329"/>
      <c r="G18" s="3329"/>
      <c r="H18" s="3329"/>
      <c r="I18" s="3330"/>
      <c r="J18" s="2241"/>
      <c r="K18" s="2399"/>
      <c r="L18" s="1669"/>
      <c r="M18" s="1669"/>
      <c r="N18" s="2241"/>
      <c r="O18" s="1669"/>
      <c r="P18" s="2241"/>
      <c r="Q18" s="2241"/>
      <c r="R18" s="2241"/>
      <c r="S18" s="2241"/>
      <c r="T18" s="2241"/>
      <c r="U18" s="2241"/>
      <c r="V18" s="2241"/>
    </row>
    <row r="19" spans="1:28" ht="37.5" thickTop="1" thickBot="1">
      <c r="A19" s="319" t="s">
        <v>1055</v>
      </c>
      <c r="B19" s="299" t="s">
        <v>2199</v>
      </c>
      <c r="C19" s="1454" t="s">
        <v>3375</v>
      </c>
      <c r="D19" s="1455" t="s">
        <v>2200</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2201</v>
      </c>
      <c r="B20" s="3315" t="s">
        <v>2202</v>
      </c>
      <c r="C20" s="3316"/>
      <c r="D20" s="3317" t="s">
        <v>2203</v>
      </c>
      <c r="E20" s="3318"/>
      <c r="F20" s="2425" t="s">
        <v>1056</v>
      </c>
      <c r="G20" s="2437"/>
      <c r="H20" s="2437"/>
      <c r="I20" s="2437"/>
      <c r="J20" s="2241"/>
      <c r="K20" s="3314"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2205</v>
      </c>
      <c r="C21" s="2291" t="s">
        <v>1057</v>
      </c>
      <c r="D21" s="1459" t="s">
        <v>2206</v>
      </c>
      <c r="E21" s="2414" t="s">
        <v>1057</v>
      </c>
      <c r="F21" s="2426"/>
      <c r="G21" s="2437"/>
      <c r="H21" s="2437"/>
      <c r="I21" s="2437"/>
      <c r="J21" s="2241"/>
      <c r="K21" s="33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2207</v>
      </c>
      <c r="C22" s="2291" t="s">
        <v>1058</v>
      </c>
      <c r="D22" s="2437"/>
      <c r="E22" s="2437"/>
      <c r="F22" s="2437"/>
      <c r="G22" s="2437"/>
      <c r="H22" s="2437"/>
      <c r="I22" s="2437"/>
      <c r="J22" s="2241"/>
      <c r="K22" s="33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2208</v>
      </c>
      <c r="B23" s="2288" t="s">
        <v>2209</v>
      </c>
      <c r="C23" s="2417"/>
      <c r="D23" s="2418" t="s">
        <v>2209</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303" t="s">
        <v>2210</v>
      </c>
      <c r="B27" s="312" t="s">
        <v>2211</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303"/>
      <c r="B28" s="294" t="s">
        <v>2212</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303"/>
      <c r="B29" s="294" t="s">
        <v>2213</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304"/>
      <c r="B30" s="294" t="s">
        <v>2214</v>
      </c>
      <c r="C30" s="3305"/>
      <c r="D30" s="3306"/>
      <c r="E30" s="2437"/>
      <c r="F30" s="2437"/>
      <c r="G30" s="2437"/>
      <c r="H30" s="2437"/>
      <c r="I30" s="2437"/>
      <c r="J30" s="2241"/>
      <c r="K30" s="2397"/>
      <c r="L30" s="2394"/>
      <c r="M30" s="2394"/>
      <c r="N30" s="2241"/>
      <c r="O30" s="1669"/>
      <c r="P30" s="2241"/>
      <c r="Q30" s="2241"/>
      <c r="R30" s="2241"/>
      <c r="S30" s="2241"/>
      <c r="T30" s="2241"/>
      <c r="U30" s="2241"/>
      <c r="V30" s="2241"/>
    </row>
    <row r="31" spans="1:28">
      <c r="A31" s="3307" t="s">
        <v>2215</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308"/>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308"/>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2216</v>
      </c>
      <c r="B34" s="1866"/>
      <c r="C34" s="1866"/>
      <c r="D34" s="1866"/>
      <c r="E34" s="1866"/>
      <c r="F34" s="1866"/>
      <c r="G34" s="1866"/>
      <c r="H34" s="1866"/>
      <c r="I34" s="2437"/>
      <c r="J34" s="2241"/>
      <c r="K34" s="8">
        <f>COUNTIF(B34:H34,"——")</f>
        <v>0</v>
      </c>
      <c r="L34" s="315" t="s">
        <v>2217</v>
      </c>
      <c r="M34" s="315" t="s">
        <v>2218</v>
      </c>
      <c r="N34" s="315" t="s">
        <v>2219</v>
      </c>
      <c r="O34" s="315" t="s">
        <v>2220</v>
      </c>
      <c r="P34" s="315" t="s">
        <v>2221</v>
      </c>
      <c r="Q34" s="315" t="s">
        <v>2222</v>
      </c>
      <c r="R34" s="315" t="s">
        <v>2223</v>
      </c>
      <c r="S34" s="3302" t="s">
        <v>2224</v>
      </c>
      <c r="T34" s="315" t="str">
        <f>NUMBERSTRING(7-K34,1)&amp;"通"</f>
        <v>七通</v>
      </c>
      <c r="U34" s="2241"/>
      <c r="V34" s="2241"/>
    </row>
    <row r="35" spans="1:30">
      <c r="A35" s="2232"/>
      <c r="B35" s="3302" t="s">
        <v>2225</v>
      </c>
      <c r="C35" s="3302"/>
      <c r="D35" s="3302"/>
      <c r="E35" s="3302"/>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2"/>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2576</v>
      </c>
      <c r="G36" s="2437"/>
      <c r="H36" s="2437"/>
      <c r="I36" s="2437"/>
      <c r="J36" s="2241"/>
      <c r="K36" s="2397"/>
      <c r="L36" s="2394"/>
      <c r="M36" s="2394"/>
      <c r="N36" s="2241"/>
      <c r="O36" s="1669"/>
      <c r="P36" s="2241"/>
      <c r="Q36" s="2241"/>
      <c r="R36" s="2241"/>
      <c r="S36" s="2241"/>
      <c r="T36" s="2241"/>
      <c r="U36" s="2241"/>
      <c r="V36" s="2241"/>
    </row>
    <row r="37" spans="1:30">
      <c r="A37" s="2410" t="s">
        <v>2226</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2227</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6" t="s">
        <v>2239</v>
      </c>
      <c r="K42" s="2407" t="s">
        <v>2240</v>
      </c>
      <c r="L42" s="2407" t="s">
        <v>2241</v>
      </c>
      <c r="M42" s="2407" t="s">
        <v>2242</v>
      </c>
      <c r="N42" s="2400" t="s">
        <v>2243</v>
      </c>
      <c r="O42" s="2400" t="s">
        <v>2244</v>
      </c>
      <c r="P42" s="2400" t="s">
        <v>2245</v>
      </c>
      <c r="Q42" s="2401" t="s">
        <v>2246</v>
      </c>
      <c r="R42" s="2401"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3375</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40" t="s">
        <v>1131</v>
      </c>
      <c r="B2" s="3340"/>
      <c r="C2" s="3340"/>
      <c r="D2" s="748" t="s">
        <v>1107</v>
      </c>
      <c r="E2" s="1522" t="s">
        <v>1108</v>
      </c>
      <c r="F2" s="2434"/>
      <c r="G2" s="2427"/>
      <c r="H2" s="2428"/>
      <c r="I2" s="2142" t="s">
        <v>1132</v>
      </c>
      <c r="J2" s="2434"/>
      <c r="K2" s="2434"/>
      <c r="L2" s="2434"/>
      <c r="M2" s="2434"/>
      <c r="N2" s="2435"/>
      <c r="O2" s="2434"/>
      <c r="P2" s="2434"/>
    </row>
    <row r="3" spans="1:16" ht="15.75" thickBot="1">
      <c r="A3" s="3341" t="s">
        <v>1105</v>
      </c>
      <c r="B3" s="3341"/>
      <c r="C3" s="3341"/>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342"/>
      <c r="B4" s="3343"/>
      <c r="C4" s="3344"/>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345" t="s">
        <v>1110</v>
      </c>
      <c r="C5" s="3345"/>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345" t="s">
        <v>1111</v>
      </c>
      <c r="C6" s="3345"/>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337"/>
      <c r="B7" s="3338"/>
      <c r="C7" s="3339"/>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334" t="s">
        <v>1135</v>
      </c>
      <c r="L16" s="3335"/>
      <c r="M16" s="3335"/>
      <c r="N16" s="3335"/>
      <c r="O16" s="3335"/>
      <c r="P16" s="3336"/>
    </row>
    <row r="17" spans="1:19" ht="15">
      <c r="A17" s="1532" t="s">
        <v>1136</v>
      </c>
      <c r="B17" s="1533" t="s">
        <v>1137</v>
      </c>
      <c r="C17" s="1534" t="s">
        <v>1138</v>
      </c>
      <c r="D17" s="1535" t="s">
        <v>1126</v>
      </c>
      <c r="E17" s="1536" t="s">
        <v>1127</v>
      </c>
      <c r="F17" s="1537"/>
      <c r="G17" s="1538"/>
      <c r="H17" s="1539" t="s">
        <v>1139</v>
      </c>
      <c r="I17" s="1540" t="s">
        <v>1124</v>
      </c>
      <c r="J17" s="1071"/>
      <c r="K17" s="3331" t="s">
        <v>1140</v>
      </c>
      <c r="L17" s="3332"/>
      <c r="M17" s="3333"/>
      <c r="N17" s="3331" t="s">
        <v>1141</v>
      </c>
      <c r="O17" s="3332"/>
      <c r="P17" s="333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3377</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3374</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228">
        <v>2000</v>
      </c>
      <c r="M6" s="64">
        <f t="shared" ref="M6:M14" si="1">ROUND(K6*L6/10000,0)</f>
        <v>14</v>
      </c>
      <c r="N6" s="3230">
        <v>0.75</v>
      </c>
      <c r="O6" s="64" t="str">
        <f>IF($N$5="成新度","——",ROUND(M6*N6,0))</f>
        <v>——</v>
      </c>
      <c r="P6" s="65" t="str">
        <f>IF($N$5="成新度","——",M6-O6)</f>
        <v>——</v>
      </c>
      <c r="Q6" s="3229">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0.75</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3382</v>
      </c>
      <c r="AO6" s="50">
        <f ca="1">SUMIF(INDIRECT("'"&amp;AN6&amp;"'"&amp;"!A:A"),"总价",INDIRECT("'"&amp;AN6&amp;"'"&amp;"!B:B"))</f>
        <v>578.75720000000001</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2299</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2297</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0</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3379</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346" t="s">
        <v>2280</v>
      </c>
      <c r="B1" s="3347"/>
      <c r="C1" s="3347"/>
      <c r="D1" s="3347"/>
      <c r="E1" s="3347"/>
      <c r="F1" s="3347"/>
      <c r="G1" s="334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2276</v>
      </c>
      <c r="D2" s="1594"/>
      <c r="E2" s="2256"/>
      <c r="F2" s="2259"/>
      <c r="G2" s="2258" t="s">
        <v>2277</v>
      </c>
      <c r="H2" s="751"/>
      <c r="I2" s="751"/>
      <c r="J2" s="751"/>
      <c r="K2" s="751"/>
      <c r="L2" s="751"/>
      <c r="M2" s="751"/>
      <c r="N2" s="751"/>
      <c r="O2" s="751"/>
      <c r="P2" s="751"/>
      <c r="Q2" s="751"/>
    </row>
    <row r="3" spans="1:29" ht="36">
      <c r="A3" s="2243" t="s">
        <v>2278</v>
      </c>
      <c r="B3" s="2260" t="s">
        <v>2248</v>
      </c>
      <c r="C3" s="3154" t="s">
        <v>3574</v>
      </c>
      <c r="D3" s="2261"/>
      <c r="E3" s="2244" t="s">
        <v>2278</v>
      </c>
      <c r="F3" s="2262" t="s">
        <v>2249</v>
      </c>
      <c r="G3" s="2263" t="s">
        <v>2279</v>
      </c>
      <c r="H3" s="751"/>
      <c r="I3" s="751"/>
      <c r="J3" s="751"/>
      <c r="K3" s="751"/>
      <c r="L3" s="751"/>
      <c r="M3" s="751"/>
      <c r="N3" s="751"/>
      <c r="O3" s="751"/>
      <c r="P3" s="751"/>
      <c r="Q3" s="751"/>
    </row>
    <row r="4" spans="1:29" ht="36.75">
      <c r="A4" s="2244"/>
      <c r="B4" s="315" t="s">
        <v>2250</v>
      </c>
      <c r="C4" s="2264" t="s">
        <v>2251</v>
      </c>
      <c r="D4" s="2261"/>
      <c r="E4" s="2265"/>
      <c r="F4" s="1280" t="s">
        <v>2252</v>
      </c>
      <c r="G4" s="2266" t="s">
        <v>2253</v>
      </c>
      <c r="H4" s="751"/>
      <c r="I4" s="751"/>
      <c r="J4" s="751"/>
      <c r="K4" s="751"/>
      <c r="L4" s="751"/>
      <c r="M4" s="751"/>
      <c r="N4" s="751"/>
      <c r="O4" s="751"/>
      <c r="P4" s="751"/>
      <c r="Q4" s="751"/>
    </row>
    <row r="5" spans="1:29" ht="36.75">
      <c r="A5" s="2244"/>
      <c r="B5" s="315" t="s">
        <v>2254</v>
      </c>
      <c r="C5" s="2264" t="s">
        <v>2255</v>
      </c>
      <c r="D5" s="2261"/>
      <c r="E5" s="2265"/>
      <c r="F5" s="315" t="s">
        <v>2256</v>
      </c>
      <c r="G5" s="2266" t="s">
        <v>2257</v>
      </c>
      <c r="H5" s="751"/>
      <c r="I5" s="751"/>
      <c r="J5" s="751"/>
      <c r="K5" s="751"/>
      <c r="L5" s="751"/>
      <c r="M5" s="751"/>
      <c r="N5" s="751"/>
      <c r="O5" s="751"/>
      <c r="P5" s="751"/>
      <c r="Q5" s="751"/>
    </row>
    <row r="6" spans="1:29" ht="36">
      <c r="A6" s="2244"/>
      <c r="B6" s="315" t="s">
        <v>2258</v>
      </c>
      <c r="C6" s="3155" t="s">
        <v>3687</v>
      </c>
      <c r="D6" s="2261"/>
      <c r="E6" s="2265"/>
      <c r="F6" s="315" t="s">
        <v>2259</v>
      </c>
      <c r="G6" s="2266" t="s">
        <v>2260</v>
      </c>
      <c r="H6" s="751"/>
      <c r="I6" s="751"/>
      <c r="J6" s="751"/>
      <c r="K6" s="751"/>
      <c r="L6" s="751"/>
      <c r="M6" s="751"/>
      <c r="N6" s="751"/>
      <c r="O6" s="751"/>
      <c r="P6" s="751"/>
      <c r="Q6" s="751"/>
    </row>
    <row r="7" spans="1:29" ht="144.75" thickBot="1">
      <c r="A7" s="2244"/>
      <c r="B7" s="315" t="s">
        <v>2256</v>
      </c>
      <c r="C7" s="3155" t="s">
        <v>3575</v>
      </c>
      <c r="D7" s="2241"/>
      <c r="E7" s="2267"/>
      <c r="F7" s="2268" t="s">
        <v>2261</v>
      </c>
      <c r="G7" s="2269" t="s">
        <v>2262</v>
      </c>
      <c r="H7" s="751"/>
      <c r="I7" s="751"/>
      <c r="J7" s="751"/>
      <c r="K7" s="751"/>
      <c r="L7" s="751"/>
      <c r="M7" s="751"/>
      <c r="N7" s="751"/>
      <c r="O7" s="751"/>
      <c r="P7" s="751"/>
      <c r="Q7" s="751"/>
    </row>
    <row r="8" spans="1:29">
      <c r="A8" s="2244"/>
      <c r="B8" s="315" t="s">
        <v>2259</v>
      </c>
      <c r="C8" s="3155" t="s">
        <v>3441</v>
      </c>
      <c r="D8" s="2241"/>
      <c r="E8" s="2241"/>
      <c r="F8" s="121"/>
      <c r="G8" s="121"/>
      <c r="H8" s="751"/>
      <c r="I8" s="751"/>
      <c r="J8" s="751"/>
      <c r="K8" s="751"/>
      <c r="L8" s="751"/>
      <c r="M8" s="751"/>
      <c r="N8" s="751"/>
      <c r="O8" s="751"/>
      <c r="P8" s="751"/>
      <c r="Q8" s="751"/>
    </row>
    <row r="9" spans="1:29" ht="60">
      <c r="A9" s="2244"/>
      <c r="B9" s="315" t="s">
        <v>2263</v>
      </c>
      <c r="C9" s="3158" t="s">
        <v>3442</v>
      </c>
      <c r="D9" s="2261"/>
      <c r="E9" s="2241"/>
      <c r="F9" s="121"/>
      <c r="G9" s="121"/>
      <c r="H9" s="751"/>
      <c r="I9" s="751"/>
      <c r="J9" s="751"/>
      <c r="K9" s="751"/>
      <c r="L9" s="751"/>
      <c r="M9" s="751"/>
      <c r="N9" s="751"/>
      <c r="O9" s="751"/>
      <c r="P9" s="751"/>
      <c r="Q9" s="751"/>
    </row>
    <row r="10" spans="1:29" ht="15" thickBot="1">
      <c r="A10" s="2245"/>
      <c r="B10" s="2270" t="s">
        <v>2264</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2281</v>
      </c>
      <c r="B13" s="2275"/>
      <c r="C13" s="2275"/>
      <c r="D13" s="2274"/>
      <c r="E13" s="2275"/>
      <c r="F13" s="2275"/>
      <c r="G13" s="2275"/>
    </row>
    <row r="14" spans="1:29" ht="15" thickBot="1">
      <c r="A14" s="2280"/>
      <c r="B14" s="2280"/>
      <c r="C14" s="2281" t="s">
        <v>2265</v>
      </c>
      <c r="D14" s="2261"/>
      <c r="E14" s="2282"/>
      <c r="F14" s="2282"/>
      <c r="G14" s="2258" t="s">
        <v>2266</v>
      </c>
    </row>
    <row r="15" spans="1:29" ht="38.25">
      <c r="A15" s="2246" t="s">
        <v>2267</v>
      </c>
      <c r="B15" s="2283" t="s">
        <v>2248</v>
      </c>
      <c r="C15" s="2284" t="str">
        <f>C3</f>
        <v>周边有三里河一区5号院、月坛西街乙2号院、月坛北小街小区等住宅小区，居住社区成熟度好。</v>
      </c>
      <c r="D15" s="2261"/>
      <c r="E15" s="2247" t="s">
        <v>2268</v>
      </c>
      <c r="F15" s="2283" t="s">
        <v>2269</v>
      </c>
      <c r="G15" s="2285" t="str">
        <f>G3</f>
        <v>估价对象位于XX开发区，园区建设成熟度XX，产业集聚程度XX</v>
      </c>
    </row>
    <row r="16" spans="1:29" ht="38.25">
      <c r="A16" s="2248"/>
      <c r="B16" s="2286" t="s">
        <v>2250</v>
      </c>
      <c r="C16" s="2287" t="str">
        <f>C4</f>
        <v>估价对象位于XX商圈，周边商业氛围成熟，人流量大，商业繁华度好</v>
      </c>
      <c r="D16" s="2261"/>
      <c r="E16" s="2249"/>
      <c r="F16" s="2288" t="s">
        <v>2252</v>
      </c>
      <c r="G16" s="2289" t="str">
        <f>G4</f>
        <v>估价对象周边道路状况、公共交通通达情况、停车便捷程度，综合评价交通便捷度较好</v>
      </c>
    </row>
    <row r="17" spans="1:17" ht="38.25">
      <c r="A17" s="2248"/>
      <c r="B17" s="2286" t="s">
        <v>2254</v>
      </c>
      <c r="C17" s="2287" t="str">
        <f>C5</f>
        <v>估价对象位于XX商圈，周边办公楼项目较多，入驻率高，办公集聚程度较好</v>
      </c>
      <c r="D17" s="2241"/>
      <c r="E17" s="2249"/>
      <c r="F17" s="2288" t="s">
        <v>2270</v>
      </c>
      <c r="G17" s="2290"/>
    </row>
    <row r="18" spans="1:17" ht="38.25">
      <c r="A18" s="2248"/>
      <c r="B18" s="2288" t="s">
        <v>2258</v>
      </c>
      <c r="C18" s="2289" t="str">
        <f>C6</f>
        <v>周边有10路、13路、21路等多条公交线路及地铁1号线南礼士路站，综合评价交通便捷度较好</v>
      </c>
      <c r="D18" s="2241"/>
      <c r="E18" s="2249"/>
      <c r="F18" s="2288" t="s">
        <v>2261</v>
      </c>
      <c r="G18" s="2289" t="str">
        <f>G7</f>
        <v>该园区内是否有污染型企业，绿化情况，卫生条件，整体环境状况判断</v>
      </c>
    </row>
    <row r="19" spans="1:17" ht="25.5">
      <c r="A19" s="2248"/>
      <c r="B19" s="2288" t="s">
        <v>2271</v>
      </c>
      <c r="C19" s="2290"/>
      <c r="D19" s="2261"/>
      <c r="E19" s="2249"/>
      <c r="F19" s="315" t="s">
        <v>2256</v>
      </c>
      <c r="G19" s="2289" t="str">
        <f>G5</f>
        <v>估价对象所在区域公共配套设施齐备情况</v>
      </c>
    </row>
    <row r="20" spans="1:17" ht="63.75">
      <c r="A20" s="2248"/>
      <c r="B20" s="2288" t="s">
        <v>2272</v>
      </c>
      <c r="C20" s="2287" t="str">
        <f>C9</f>
        <v>自然环境：月坛公园等自然水系景观；
人文环境：二七剧场等人文场所；
综合评价环境状况较好。</v>
      </c>
      <c r="D20" s="2241"/>
      <c r="E20" s="2249"/>
      <c r="F20" s="315" t="s">
        <v>2259</v>
      </c>
      <c r="G20" s="2289" t="str">
        <f>G6</f>
        <v>估价对象所在区域基础设施水平</v>
      </c>
    </row>
    <row r="21" spans="1:17" ht="153">
      <c r="A21" s="2248"/>
      <c r="B21" s="315" t="s">
        <v>2256</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2273</v>
      </c>
      <c r="G21" s="2291"/>
    </row>
    <row r="22" spans="1:17" ht="13.5" customHeight="1">
      <c r="A22" s="2248"/>
      <c r="B22" s="315" t="s">
        <v>2259</v>
      </c>
      <c r="C22" s="2289" t="str">
        <f>C8</f>
        <v>估价对象所在区域基础设施水平</v>
      </c>
      <c r="D22" s="2261"/>
      <c r="E22" s="2249"/>
      <c r="F22" s="2288" t="s">
        <v>2264</v>
      </c>
      <c r="G22" s="2290"/>
    </row>
    <row r="23" spans="1:17" s="751" customFormat="1" ht="15" thickBot="1">
      <c r="A23" s="2248"/>
      <c r="B23" s="2288" t="s">
        <v>2273</v>
      </c>
      <c r="C23" s="2291"/>
      <c r="D23" s="1613"/>
      <c r="E23" s="2250"/>
      <c r="F23" s="2292" t="s">
        <v>2274</v>
      </c>
      <c r="G23" s="2293"/>
      <c r="H23" s="2272"/>
      <c r="I23" s="2272"/>
      <c r="J23" s="2272"/>
      <c r="K23" s="2272"/>
      <c r="L23" s="2272"/>
      <c r="M23" s="2272"/>
      <c r="N23" s="2272"/>
      <c r="O23" s="2272"/>
      <c r="P23" s="2272"/>
      <c r="Q23" s="2272"/>
    </row>
    <row r="24" spans="1:17" s="751" customFormat="1" ht="15" thickBot="1">
      <c r="A24" s="2251"/>
      <c r="B24" s="2292" t="s">
        <v>2275</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44.293100000000003</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44.293100000000003</v>
      </c>
      <c r="E14" s="2301">
        <f ca="1">结果表!G20</f>
        <v>6410</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82" t="str">
        <f>项目基本情况!S2</f>
        <v>北京市房地产</v>
      </c>
      <c r="B2" s="3383"/>
      <c r="C2" s="3383"/>
      <c r="D2" s="3383"/>
      <c r="E2" s="3383"/>
      <c r="F2" s="3383"/>
      <c r="G2" s="3383"/>
      <c r="H2" s="3383"/>
      <c r="I2" s="3384"/>
    </row>
    <row r="3" spans="1:12" ht="12.75">
      <c r="A3" s="3386" t="s">
        <v>1264</v>
      </c>
      <c r="B3" s="3387"/>
      <c r="C3" s="3387"/>
      <c r="D3" s="3387"/>
      <c r="E3" s="3387"/>
      <c r="F3" s="3387"/>
      <c r="G3" s="3387"/>
      <c r="H3" s="3387"/>
      <c r="I3" s="3387"/>
    </row>
    <row r="4" spans="1:12" ht="14.25">
      <c r="A4" s="1623" t="s">
        <v>1265</v>
      </c>
      <c r="B4" s="1624" t="s">
        <v>1266</v>
      </c>
      <c r="C4" s="1625" t="s">
        <v>3387</v>
      </c>
      <c r="D4" s="1625" t="s">
        <v>3707</v>
      </c>
      <c r="E4" s="3388" t="s">
        <v>1267</v>
      </c>
      <c r="F4" s="3389"/>
      <c r="G4" s="3389"/>
      <c r="H4" s="3389"/>
      <c r="I4" s="33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62" t="s">
        <v>1268</v>
      </c>
      <c r="B5" s="3349">
        <v>25</v>
      </c>
      <c r="C5" s="3365"/>
      <c r="D5" s="3385"/>
      <c r="E5" s="123" t="s">
        <v>1269</v>
      </c>
      <c r="F5" s="1626"/>
      <c r="G5" s="1626"/>
      <c r="H5" s="1626"/>
      <c r="I5" s="1280"/>
    </row>
    <row r="6" spans="1:12" ht="12.75">
      <c r="A6" s="3362"/>
      <c r="B6" s="3349"/>
      <c r="C6" s="3366"/>
      <c r="D6" s="3385"/>
      <c r="E6" s="123" t="s">
        <v>1270</v>
      </c>
      <c r="F6" s="1626"/>
      <c r="G6" s="1626"/>
      <c r="H6" s="1626"/>
      <c r="I6" s="1280"/>
    </row>
    <row r="7" spans="1:12" ht="12.75">
      <c r="A7" s="3362"/>
      <c r="B7" s="3349"/>
      <c r="C7" s="3367"/>
      <c r="D7" s="3385"/>
      <c r="E7" s="123" t="s">
        <v>1271</v>
      </c>
      <c r="F7" s="1626"/>
      <c r="G7" s="1626"/>
      <c r="H7" s="1626"/>
      <c r="I7" s="1280"/>
    </row>
    <row r="8" spans="1:12" ht="12.75">
      <c r="A8" s="3362" t="s">
        <v>1272</v>
      </c>
      <c r="B8" s="3349">
        <v>15</v>
      </c>
      <c r="C8" s="3365"/>
      <c r="D8" s="3385"/>
      <c r="E8" s="123" t="s">
        <v>1273</v>
      </c>
      <c r="F8" s="1626"/>
      <c r="G8" s="1626"/>
      <c r="H8" s="1626"/>
      <c r="I8" s="1280"/>
    </row>
    <row r="9" spans="1:12" ht="12.75">
      <c r="A9" s="3362"/>
      <c r="B9" s="3349"/>
      <c r="C9" s="3367"/>
      <c r="D9" s="3385"/>
      <c r="E9" s="123" t="s">
        <v>1274</v>
      </c>
      <c r="F9" s="1626"/>
      <c r="G9" s="1626"/>
      <c r="H9" s="1626"/>
      <c r="I9" s="1280"/>
    </row>
    <row r="10" spans="1:12" ht="12.75">
      <c r="A10" s="3362" t="s">
        <v>1275</v>
      </c>
      <c r="B10" s="3349">
        <v>15</v>
      </c>
      <c r="C10" s="3365"/>
      <c r="D10" s="3385"/>
      <c r="E10" s="123" t="s">
        <v>1276</v>
      </c>
      <c r="F10" s="1626"/>
      <c r="G10" s="1626"/>
      <c r="H10" s="1626"/>
      <c r="I10" s="1280"/>
    </row>
    <row r="11" spans="1:12" ht="12.75">
      <c r="A11" s="3362"/>
      <c r="B11" s="3349"/>
      <c r="C11" s="3367"/>
      <c r="D11" s="3385"/>
      <c r="E11" s="123" t="s">
        <v>1277</v>
      </c>
      <c r="F11" s="1626"/>
      <c r="G11" s="1626"/>
      <c r="H11" s="1626"/>
      <c r="I11" s="1280"/>
    </row>
    <row r="12" spans="1:12" ht="12.75">
      <c r="A12" s="3362" t="s">
        <v>1278</v>
      </c>
      <c r="B12" s="3349">
        <v>15</v>
      </c>
      <c r="C12" s="3365"/>
      <c r="D12" s="3385"/>
      <c r="E12" s="123" t="s">
        <v>1279</v>
      </c>
      <c r="F12" s="1626"/>
      <c r="G12" s="1626"/>
      <c r="H12" s="1626"/>
      <c r="I12" s="1280"/>
    </row>
    <row r="13" spans="1:12" ht="12.75">
      <c r="A13" s="3362"/>
      <c r="B13" s="3349"/>
      <c r="C13" s="3367"/>
      <c r="D13" s="3385"/>
      <c r="E13" s="123" t="s">
        <v>1280</v>
      </c>
      <c r="F13" s="1626"/>
      <c r="G13" s="1626"/>
      <c r="H13" s="1626"/>
      <c r="I13" s="1280"/>
    </row>
    <row r="14" spans="1:12" ht="12.75">
      <c r="A14" s="3362" t="s">
        <v>1281</v>
      </c>
      <c r="B14" s="3349">
        <v>30</v>
      </c>
      <c r="C14" s="3365">
        <v>5</v>
      </c>
      <c r="D14" s="3385">
        <f>10-C14</f>
        <v>5</v>
      </c>
      <c r="E14" s="123" t="s">
        <v>1282</v>
      </c>
      <c r="F14" s="1626"/>
      <c r="G14" s="1626"/>
      <c r="H14" s="1626"/>
      <c r="I14" s="1280"/>
    </row>
    <row r="15" spans="1:12" ht="12.75">
      <c r="A15" s="3362"/>
      <c r="B15" s="3349"/>
      <c r="C15" s="3366"/>
      <c r="D15" s="3385"/>
      <c r="E15" s="123" t="s">
        <v>1283</v>
      </c>
      <c r="F15" s="1626"/>
      <c r="G15" s="1626"/>
      <c r="H15" s="1626"/>
      <c r="I15" s="1280"/>
    </row>
    <row r="16" spans="1:12" ht="12.75">
      <c r="A16" s="3362"/>
      <c r="B16" s="3349"/>
      <c r="C16" s="3367"/>
      <c r="D16" s="3385"/>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72" t="s">
        <v>2127</v>
      </c>
      <c r="F18" s="3373"/>
      <c r="G18" s="3373"/>
      <c r="H18" s="3373"/>
      <c r="I18" s="3373"/>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45.198300000000003</v>
      </c>
      <c r="D19" s="127">
        <f ca="1">SUMIF(INDIRECT("'"&amp;D4&amp;"'"&amp;"!A:A"),结果表!B19,INDIRECT("'"&amp;D4&amp;"'"&amp;"!B:B"))</f>
        <v>43.381799999999998</v>
      </c>
      <c r="E19" s="1629" t="s">
        <v>1292</v>
      </c>
      <c r="F19" s="1630" t="s">
        <v>1291</v>
      </c>
      <c r="G19" s="3163">
        <f ca="1">ROUND((G20*'数据-基础表'!I13)/10000,4)</f>
        <v>44.293100000000003</v>
      </c>
      <c r="H19" s="1631" t="s">
        <v>1293</v>
      </c>
      <c r="I19" s="121">
        <f ca="1">G20*69.1/10000</f>
        <v>44.293099999999995</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6541</v>
      </c>
      <c r="D20" s="130">
        <f ca="1">SUMIF(INDIRECT("'"&amp;D4&amp;"'"&amp;"!A:A"),结果表!B20,INDIRECT("'"&amp;D4&amp;"'"&amp;"!B:B"))</f>
        <v>6278</v>
      </c>
      <c r="E20" s="1632"/>
      <c r="F20" s="43" t="s">
        <v>1295</v>
      </c>
      <c r="G20" s="131">
        <f ca="1">ROUND(C20*$C$18+D20*$D$18,0)</f>
        <v>6410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4.1872398102430264E-2</v>
      </c>
      <c r="E22" s="121"/>
      <c r="F22" s="121"/>
      <c r="G22" s="121"/>
      <c r="H22" s="121"/>
      <c r="I22" s="121"/>
    </row>
    <row r="23" spans="1:36" ht="13.5" thickBot="1">
      <c r="A23" s="646"/>
      <c r="B23" s="646"/>
      <c r="C23" s="646"/>
      <c r="D23" s="646"/>
      <c r="E23" s="121"/>
      <c r="F23" s="121"/>
      <c r="G23" s="121"/>
      <c r="H23" s="121"/>
      <c r="I23" s="121"/>
    </row>
    <row r="24" spans="1:36" ht="14.25">
      <c r="A24" s="3356" t="s">
        <v>1299</v>
      </c>
      <c r="B24" s="1630" t="s">
        <v>1291</v>
      </c>
      <c r="C24" s="128">
        <f>IF(B30=0,0,D30)</f>
        <v>0</v>
      </c>
      <c r="D24" s="1636"/>
      <c r="E24" s="121"/>
      <c r="F24" s="121"/>
      <c r="G24" s="121">
        <f ca="1">系统读取表!D14</f>
        <v>44.293100000000003</v>
      </c>
      <c r="H24" s="121"/>
      <c r="I24" s="121"/>
    </row>
    <row r="25" spans="1:36" ht="14.25">
      <c r="A25" s="33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3435</v>
      </c>
      <c r="B27" s="134"/>
      <c r="C27" s="134"/>
      <c r="D27" s="135">
        <f ca="1">ROUND(G19*10000*3%,0)</f>
        <v>13288</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42.964300000000001</v>
      </c>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6410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76" t="s">
        <v>1312</v>
      </c>
      <c r="B36" s="1651" t="s">
        <v>1313</v>
      </c>
      <c r="C36" s="137"/>
      <c r="D36" s="1652"/>
      <c r="E36" s="1566"/>
      <c r="F36" s="1653"/>
      <c r="G36" s="121"/>
      <c r="H36" s="121"/>
      <c r="I36" s="121"/>
    </row>
    <row r="37" spans="1:15" ht="15.75" thickBot="1">
      <c r="A37" s="3377"/>
      <c r="B37" s="1554" t="s">
        <v>1314</v>
      </c>
      <c r="C37" s="139"/>
      <c r="D37" s="1071"/>
      <c r="E37" s="1071"/>
      <c r="F37" s="1653"/>
      <c r="G37" s="121"/>
      <c r="H37" s="121"/>
      <c r="I37" s="121"/>
    </row>
    <row r="38" spans="1:15" ht="15.75" thickBot="1">
      <c r="A38" s="337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3" t="s">
        <v>1326</v>
      </c>
      <c r="B45" s="3354"/>
      <c r="C45" s="3355"/>
      <c r="D45" s="147" t="e">
        <f ca="1">ROUND(H101*F45,0)</f>
        <v>#REF!</v>
      </c>
      <c r="E45" s="148" t="s">
        <v>1327</v>
      </c>
      <c r="F45" s="149">
        <v>1</v>
      </c>
      <c r="G45" s="150" t="s">
        <v>1328</v>
      </c>
      <c r="H45" s="121"/>
      <c r="I45" s="121"/>
      <c r="J45" s="3431" t="s">
        <v>1329</v>
      </c>
      <c r="K45" s="3431"/>
      <c r="L45" s="3431"/>
      <c r="M45" s="3431"/>
      <c r="N45" s="3431"/>
      <c r="O45" s="3431"/>
    </row>
    <row r="46" spans="1:15" ht="14.25" customHeight="1">
      <c r="A46" s="3350" t="s">
        <v>1330</v>
      </c>
      <c r="B46" s="3351"/>
      <c r="C46" s="3351"/>
      <c r="D46" s="3351"/>
      <c r="E46" s="3351"/>
      <c r="F46" s="3351"/>
      <c r="G46" s="3352"/>
      <c r="H46" s="1667"/>
      <c r="I46" s="151"/>
      <c r="J46" s="2305">
        <v>1</v>
      </c>
      <c r="K46" s="3412" t="s">
        <v>1331</v>
      </c>
      <c r="L46" s="3412"/>
      <c r="M46" s="3432"/>
      <c r="N46" s="3432"/>
      <c r="O46" s="3432"/>
    </row>
    <row r="47" spans="1:15" ht="12" customHeight="1">
      <c r="A47" s="152" t="s">
        <v>1332</v>
      </c>
      <c r="B47" s="153"/>
      <c r="C47" s="154"/>
      <c r="D47" s="1024" t="s">
        <v>1333</v>
      </c>
      <c r="E47" s="294" t="s">
        <v>1334</v>
      </c>
      <c r="F47" s="155" t="s">
        <v>1335</v>
      </c>
      <c r="G47" s="2328" t="s">
        <v>1336</v>
      </c>
      <c r="H47" s="2329"/>
      <c r="I47" s="151"/>
      <c r="J47" s="2305">
        <v>2</v>
      </c>
      <c r="K47" s="3412" t="s">
        <v>1337</v>
      </c>
      <c r="L47" s="3412"/>
      <c r="M47" s="3433">
        <f>'数据-取费表'!B2</f>
        <v>36799</v>
      </c>
      <c r="N47" s="3433"/>
      <c r="O47" s="3433"/>
    </row>
    <row r="48" spans="1:15" ht="25.5">
      <c r="A48" s="3381" t="s">
        <v>1338</v>
      </c>
      <c r="B48" s="3364"/>
      <c r="C48" s="3364"/>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412" t="s">
        <v>1340</v>
      </c>
      <c r="L48" s="3412"/>
      <c r="M48" s="3434" t="e">
        <f ca="1">H101</f>
        <v>#REF!</v>
      </c>
      <c r="N48" s="3434"/>
      <c r="O48" s="3434"/>
    </row>
    <row r="49" spans="1:35" ht="25.5" customHeight="1">
      <c r="A49" s="2148" t="s">
        <v>1341</v>
      </c>
      <c r="B49" s="3348" t="s">
        <v>1342</v>
      </c>
      <c r="C49" s="3348"/>
      <c r="D49" s="1477">
        <v>0</v>
      </c>
      <c r="E49" s="316" t="s">
        <v>1343</v>
      </c>
      <c r="F49" s="2229" t="s">
        <v>28</v>
      </c>
      <c r="G49" s="3418"/>
      <c r="H49" s="2130" t="s">
        <v>2130</v>
      </c>
      <c r="I49" s="2131"/>
      <c r="J49" s="2305">
        <v>4</v>
      </c>
      <c r="K49" s="3412" t="str">
        <f>IF(项目基本情况!E8="房地产抵押价值","房地产抵押价值","抵押担保权已注销时的房地产抵押价值")</f>
        <v>抵押担保权已注销时的房地产抵押价值</v>
      </c>
      <c r="L49" s="3412"/>
      <c r="M49" s="3434" t="str">
        <f>IF(项目基本情况!E8="房地产抵押价值",H107,H109)</f>
        <v>——</v>
      </c>
      <c r="N49" s="3434"/>
      <c r="O49" s="3434"/>
    </row>
    <row r="50" spans="1:35" ht="25.5" customHeight="1">
      <c r="A50" s="2333"/>
      <c r="B50" s="3348" t="s">
        <v>1344</v>
      </c>
      <c r="C50" s="3348"/>
      <c r="D50" s="2185"/>
      <c r="E50" s="323"/>
      <c r="F50" s="2229"/>
      <c r="G50" s="3419"/>
      <c r="H50" s="2132" t="s">
        <v>2131</v>
      </c>
      <c r="I50" s="2131"/>
      <c r="J50" s="3431" t="s">
        <v>1345</v>
      </c>
      <c r="K50" s="3431"/>
      <c r="L50" s="3431"/>
      <c r="M50" s="3431"/>
      <c r="N50" s="3431"/>
      <c r="O50" s="3431"/>
    </row>
    <row r="51" spans="1:35" ht="20.45" customHeight="1">
      <c r="A51" s="2334"/>
      <c r="B51" s="3348" t="s">
        <v>1346</v>
      </c>
      <c r="C51" s="3348"/>
      <c r="D51" s="1024"/>
      <c r="E51" s="319"/>
      <c r="F51" s="2229"/>
      <c r="G51" s="3420"/>
      <c r="H51" s="2132" t="s">
        <v>2132</v>
      </c>
      <c r="I51" s="2131"/>
      <c r="J51" s="2306" t="s">
        <v>1347</v>
      </c>
      <c r="K51" s="3412" t="s">
        <v>1348</v>
      </c>
      <c r="L51" s="3412"/>
      <c r="M51" s="2306" t="s">
        <v>1349</v>
      </c>
      <c r="N51" s="2306" t="s">
        <v>1350</v>
      </c>
      <c r="O51" s="2306" t="s">
        <v>1351</v>
      </c>
    </row>
    <row r="52" spans="1:35" ht="24" customHeight="1">
      <c r="A52" s="2149" t="s">
        <v>1352</v>
      </c>
      <c r="B52" s="3348" t="s">
        <v>1353</v>
      </c>
      <c r="C52" s="3348"/>
      <c r="D52" s="1024" t="e">
        <f ca="1">ROUND(D45*'数据-取费表'!B41/(1+'数据-取费表'!C42),0)</f>
        <v>#REF!</v>
      </c>
      <c r="E52" s="1255" t="s">
        <v>1354</v>
      </c>
      <c r="F52" s="2335">
        <f>'数据-取费表'!B41</f>
        <v>5.5000000000000007E-2</v>
      </c>
      <c r="G52" s="2336"/>
      <c r="H52" s="2326"/>
      <c r="I52" s="1668"/>
      <c r="J52" s="2305">
        <v>1</v>
      </c>
      <c r="K52" s="3413" t="s">
        <v>1355</v>
      </c>
      <c r="L52" s="3413"/>
      <c r="M52" s="2307" t="b">
        <f>D48</f>
        <v>0</v>
      </c>
      <c r="N52" s="2305" t="str">
        <f>E48</f>
        <v>销售额×税（费）率</v>
      </c>
      <c r="O52" s="2308">
        <f>F48</f>
        <v>5.5000000000000007E-2</v>
      </c>
    </row>
    <row r="53" spans="1:35" ht="12" customHeight="1">
      <c r="A53" s="2149" t="s">
        <v>1356</v>
      </c>
      <c r="B53" s="3374" t="s">
        <v>2285</v>
      </c>
      <c r="C53" s="3375"/>
      <c r="D53" s="1024" t="e">
        <f ca="1">ROUND(D45*'数据-取费表'!B41/(1+'数据-取费表'!C42),0)</f>
        <v>#REF!</v>
      </c>
      <c r="E53" s="1255" t="s">
        <v>1354</v>
      </c>
      <c r="F53" s="2335">
        <f>'数据-取费表'!B41</f>
        <v>5.5000000000000007E-2</v>
      </c>
      <c r="G53" s="2336"/>
      <c r="H53" s="2326"/>
      <c r="I53" s="1668"/>
      <c r="J53" s="2305">
        <v>2</v>
      </c>
      <c r="K53" s="3413" t="s">
        <v>1357</v>
      </c>
      <c r="L53" s="3413"/>
      <c r="M53" s="2307" t="e">
        <f t="shared" ref="M53:O54" ca="1" si="0">D55</f>
        <v>#REF!</v>
      </c>
      <c r="N53" s="2305" t="str">
        <f t="shared" si="0"/>
        <v>销售额×税（费）率</v>
      </c>
      <c r="O53" s="2308" t="str">
        <f t="shared" si="0"/>
        <v>免征</v>
      </c>
    </row>
    <row r="54" spans="1:35" ht="12" customHeight="1">
      <c r="A54" s="2149" t="s">
        <v>1358</v>
      </c>
      <c r="B54" s="3374" t="s">
        <v>2286</v>
      </c>
      <c r="C54" s="3375"/>
      <c r="D54" s="1024" t="e">
        <f ca="1">C68</f>
        <v>#REF!</v>
      </c>
      <c r="E54" s="319" t="s">
        <v>1359</v>
      </c>
      <c r="F54" s="2335">
        <f>'数据-取费表'!B41</f>
        <v>5.5000000000000007E-2</v>
      </c>
      <c r="G54" s="2336"/>
      <c r="H54" s="2337"/>
      <c r="I54" s="1668"/>
      <c r="J54" s="2305">
        <v>3</v>
      </c>
      <c r="K54" s="3413" t="s">
        <v>1360</v>
      </c>
      <c r="L54" s="3413"/>
      <c r="M54" s="2307" t="e">
        <f t="shared" ca="1" si="0"/>
        <v>#REF!</v>
      </c>
      <c r="N54" s="2305" t="str">
        <f t="shared" si="0"/>
        <v>增值额×税（费）率</v>
      </c>
      <c r="O54" s="2309" t="str">
        <f t="shared" si="0"/>
        <v>免征</v>
      </c>
    </row>
    <row r="55" spans="1:35" ht="24" customHeight="1">
      <c r="A55" s="3363" t="s">
        <v>1361</v>
      </c>
      <c r="B55" s="3364"/>
      <c r="C55" s="3364"/>
      <c r="D55" s="12" t="e">
        <f ca="1">IF(H55="个人住宅",0,ROUND(D45*I55,0))</f>
        <v>#REF!</v>
      </c>
      <c r="E55" s="1255" t="s">
        <v>1362</v>
      </c>
      <c r="F55" s="2335" t="str">
        <f>IF(H55="正常",I55,"免征")</f>
        <v>免征</v>
      </c>
      <c r="G55" s="2336"/>
      <c r="H55" s="2332"/>
      <c r="I55" s="157">
        <f>'数据-取费表'!B49</f>
        <v>5.0000000000000001E-4</v>
      </c>
      <c r="J55" s="2305">
        <f>IF(H59="非个人房产","",4)</f>
        <v>4</v>
      </c>
      <c r="K55" s="3413" t="str">
        <f>IF(H59="非个人房产","——","个人所得税")</f>
        <v>个人所得税</v>
      </c>
      <c r="L55" s="3413"/>
      <c r="M55" s="2310" t="e">
        <f ca="1">D59</f>
        <v>#REF!</v>
      </c>
      <c r="N55" s="1879" t="str">
        <f>E59</f>
        <v>差额计税</v>
      </c>
      <c r="O55" s="2311">
        <f>F59</f>
        <v>0.01</v>
      </c>
    </row>
    <row r="56" spans="1:35" ht="24.75">
      <c r="A56" s="3363" t="s">
        <v>1363</v>
      </c>
      <c r="B56" s="3364"/>
      <c r="C56" s="3364"/>
      <c r="D56" s="12" t="e">
        <f ca="1">IF(H56="个人住宅",D57,D58)</f>
        <v>#REF!</v>
      </c>
      <c r="E56" s="1255" t="s">
        <v>1364</v>
      </c>
      <c r="F56" s="2335" t="str">
        <f>IF(H56="正常",F58,"免征")</f>
        <v>免征</v>
      </c>
      <c r="G56" s="2338" t="s">
        <v>1365</v>
      </c>
      <c r="H56" s="2339"/>
      <c r="I56" s="1669"/>
      <c r="J56" s="2305" t="str">
        <f>IF(项目基本情况!K6="上海银行",IF(J55="",4,J55+1),"")</f>
        <v/>
      </c>
      <c r="K56" s="3436" t="str">
        <f>IF(项目基本情况!K6="上海银行","其他处置费用","")</f>
        <v/>
      </c>
      <c r="L56" s="3437"/>
      <c r="M56" s="2307" t="str">
        <f>IF(项目基本情况!K6="上海银行",M69,"")</f>
        <v/>
      </c>
      <c r="N56" s="3436" t="str">
        <f>IF(项目基本情况!K6="上海银行","包含处置中涉及的律师、诉讼、拍卖、评估等费用","")</f>
        <v/>
      </c>
      <c r="O56" s="3439"/>
    </row>
    <row r="57" spans="1:35" ht="12.75">
      <c r="A57" s="2149" t="s">
        <v>1341</v>
      </c>
      <c r="B57" s="3374" t="s">
        <v>1366</v>
      </c>
      <c r="C57" s="3375"/>
      <c r="D57" s="1477">
        <v>0</v>
      </c>
      <c r="E57" s="316" t="s">
        <v>1343</v>
      </c>
      <c r="F57" s="294"/>
      <c r="G57" s="2336"/>
      <c r="H57" s="2340"/>
      <c r="I57" s="1669"/>
      <c r="J57" s="3413">
        <f>IF(AND(J55="",J56=""),4,IF(项目基本情况!K6="上海银行",结果表!J56+1,结果表!J55+1))</f>
        <v>5</v>
      </c>
      <c r="K57" s="3413" t="s">
        <v>1367</v>
      </c>
      <c r="L57" s="2312" t="s">
        <v>1368</v>
      </c>
      <c r="M57" s="2313"/>
      <c r="N57" s="2314">
        <f ca="1">SUMIF(M52:M56,"&lt;9e307")</f>
        <v>0</v>
      </c>
      <c r="O57" s="2315"/>
      <c r="P57" s="2460" t="e">
        <f ca="1">N57/M49</f>
        <v>#VALUE!</v>
      </c>
    </row>
    <row r="58" spans="1:35" ht="24.75">
      <c r="A58" s="2149" t="s">
        <v>1352</v>
      </c>
      <c r="B58" s="3374" t="s">
        <v>1369</v>
      </c>
      <c r="C58" s="3348"/>
      <c r="D58" s="12" t="e">
        <f ca="1">IF(H58="转让取得",C81,C97)</f>
        <v>#REF!</v>
      </c>
      <c r="E58" s="1255" t="s">
        <v>1364</v>
      </c>
      <c r="F58" s="294" t="s">
        <v>28</v>
      </c>
      <c r="G58" s="2336"/>
      <c r="H58" s="2339"/>
      <c r="I58" s="1669"/>
      <c r="J58" s="3413"/>
      <c r="K58" s="3413"/>
      <c r="L58" s="2312" t="s">
        <v>1370</v>
      </c>
      <c r="M58" s="2316"/>
      <c r="N58" s="2317" t="str">
        <f ca="1">NUMBERSTRING(INT(N57*10000),2)&amp;"元整"</f>
        <v>零元整</v>
      </c>
      <c r="O58" s="2318"/>
    </row>
    <row r="59" spans="1:35" ht="24.75" thickBot="1">
      <c r="A59" s="3416" t="s">
        <v>1371</v>
      </c>
      <c r="B59" s="3417"/>
      <c r="C59" s="3417"/>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2133</v>
      </c>
      <c r="J59" s="3414">
        <f>J57+1</f>
        <v>6</v>
      </c>
      <c r="K59" s="3413" t="s">
        <v>1372</v>
      </c>
      <c r="L59" s="2305" t="s">
        <v>1368</v>
      </c>
      <c r="M59" s="2319"/>
      <c r="N59" s="2320" t="e">
        <f ca="1">M49-N57</f>
        <v>#VALUE!</v>
      </c>
      <c r="O59" s="2321"/>
    </row>
    <row r="60" spans="1:35" ht="12" customHeight="1">
      <c r="A60" s="1670"/>
      <c r="B60" s="646"/>
      <c r="C60" s="646"/>
      <c r="D60" s="646"/>
      <c r="E60" s="1465"/>
      <c r="F60" s="1669"/>
      <c r="G60" s="1669"/>
      <c r="H60" s="151"/>
      <c r="I60" s="121"/>
      <c r="J60" s="3415"/>
      <c r="K60" s="3413"/>
      <c r="L60" s="2312" t="s">
        <v>1370</v>
      </c>
      <c r="M60" s="2316"/>
      <c r="N60" s="2317" t="e">
        <f ca="1">NUMBERSTRING(INT(N59*10000),2)&amp;"元整"</f>
        <v>#VALUE!</v>
      </c>
      <c r="O60" s="2318"/>
    </row>
    <row r="61" spans="1:35" ht="13.5" thickBot="1">
      <c r="A61" s="3361" t="s">
        <v>1373</v>
      </c>
      <c r="B61" s="3361"/>
      <c r="C61" s="3361"/>
      <c r="D61" s="3361"/>
      <c r="E61" s="3361"/>
      <c r="F61" s="1669"/>
      <c r="G61" s="1669"/>
      <c r="H61" s="151"/>
      <c r="I61" s="121"/>
      <c r="J61" s="2305">
        <f>J59+1</f>
        <v>7</v>
      </c>
      <c r="K61" s="3413" t="s">
        <v>1374</v>
      </c>
      <c r="L61" s="3413"/>
      <c r="M61" s="2322"/>
      <c r="N61" s="2323" t="e">
        <f ca="1">ROUND(N59*10000/'数据-汇总表'!E3,0)</f>
        <v>#VALUE!</v>
      </c>
      <c r="O61" s="2324"/>
    </row>
    <row r="62" spans="1:35" ht="12.75">
      <c r="A62" s="3379" t="s">
        <v>1375</v>
      </c>
      <c r="B62" s="3380"/>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438"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43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438"/>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438"/>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43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438"/>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38"/>
      <c r="K69" s="1244" t="s">
        <v>1393</v>
      </c>
      <c r="L69" s="1244"/>
      <c r="M69" s="294" t="e">
        <f>ROUND(SUM(M63:M68),0)</f>
        <v>#VALUE!</v>
      </c>
      <c r="N69" s="2327" t="e">
        <f>M69/M49</f>
        <v>#VALUE!</v>
      </c>
      <c r="Z69" s="1622"/>
      <c r="AI69" s="1560"/>
    </row>
    <row r="70" spans="1:35" s="642" customFormat="1" ht="15" thickBot="1">
      <c r="A70" s="3400" t="s">
        <v>1394</v>
      </c>
      <c r="B70" s="3401"/>
      <c r="C70" s="3401"/>
      <c r="D70" s="3401"/>
      <c r="E70" s="3401"/>
      <c r="F70" s="3401"/>
      <c r="G70" s="3401"/>
      <c r="H70" s="34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79" t="s">
        <v>1375</v>
      </c>
      <c r="B71" s="3380"/>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374" t="s">
        <v>1402</v>
      </c>
      <c r="F76" s="3348"/>
      <c r="G76" s="3348"/>
      <c r="H76" s="33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358" t="s">
        <v>1406</v>
      </c>
      <c r="F78" s="3359"/>
      <c r="G78" s="3359"/>
      <c r="H78" s="33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00" t="s">
        <v>1410</v>
      </c>
      <c r="B83" s="3401"/>
      <c r="C83" s="3401"/>
      <c r="D83" s="3401"/>
      <c r="E83" s="3401"/>
      <c r="F83" s="3401"/>
      <c r="G83" s="3401"/>
      <c r="H83" s="34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79" t="s">
        <v>1375</v>
      </c>
      <c r="B84" s="3380"/>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440" t="s">
        <v>2125</v>
      </c>
      <c r="H90" s="3441"/>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58" t="s">
        <v>1419</v>
      </c>
      <c r="F91" s="3359"/>
      <c r="G91" s="33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58" t="s">
        <v>1422</v>
      </c>
      <c r="F92" s="3359"/>
      <c r="G92" s="3359"/>
      <c r="H92" s="3368"/>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358" t="s">
        <v>1406</v>
      </c>
      <c r="F93" s="3359"/>
      <c r="G93" s="3359"/>
      <c r="H93" s="33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369" t="s">
        <v>1426</v>
      </c>
      <c r="F94" s="3370"/>
      <c r="G94" s="3370"/>
      <c r="H94" s="33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42" t="s">
        <v>1428</v>
      </c>
      <c r="B100" s="3343"/>
      <c r="C100" s="3343"/>
      <c r="D100" s="3360"/>
      <c r="E100" s="3343" t="s">
        <v>1429</v>
      </c>
      <c r="F100" s="3343"/>
      <c r="G100" s="3343"/>
      <c r="H100" s="3360"/>
      <c r="I100" s="121"/>
    </row>
    <row r="101" spans="1:35" ht="18.75" customHeight="1">
      <c r="A101" s="3421" t="s">
        <v>1430</v>
      </c>
      <c r="B101" s="3422"/>
      <c r="C101" s="2366" t="str">
        <f>C4</f>
        <v>比较法-住宅</v>
      </c>
      <c r="D101" s="2367" t="str">
        <f>D4</f>
        <v>成本法 (元)</v>
      </c>
      <c r="E101" s="3435" t="s">
        <v>1431</v>
      </c>
      <c r="F101" s="3392"/>
      <c r="G101" s="1686" t="s">
        <v>1432</v>
      </c>
      <c r="H101" s="2376" t="e">
        <f ca="1">H118</f>
        <v>#REF!</v>
      </c>
      <c r="I101" s="121"/>
    </row>
    <row r="102" spans="1:35" ht="18.75" customHeight="1">
      <c r="A102" s="3394" t="s">
        <v>1433</v>
      </c>
      <c r="B102" s="2365" t="s">
        <v>1432</v>
      </c>
      <c r="C102" s="2366">
        <f ca="1">IF(D32="楼面单价",ROUND(C19,0),C19)</f>
        <v>45.198300000000003</v>
      </c>
      <c r="D102" s="2367">
        <f ca="1">IF(D32="楼面单价",ROUND(D19,0),D19)</f>
        <v>43.381799999999998</v>
      </c>
      <c r="E102" s="3435"/>
      <c r="F102" s="3392"/>
      <c r="G102" s="1686" t="s">
        <v>1434</v>
      </c>
      <c r="H102" s="2336" t="e">
        <f ca="1">I118</f>
        <v>#REF!</v>
      </c>
      <c r="I102" s="121"/>
    </row>
    <row r="103" spans="1:35" ht="42.75" customHeight="1">
      <c r="A103" s="3394"/>
      <c r="B103" s="2365" t="s">
        <v>1434</v>
      </c>
      <c r="C103" s="2368">
        <f ca="1">C20</f>
        <v>6541</v>
      </c>
      <c r="D103" s="2369">
        <f ca="1">D20</f>
        <v>6278</v>
      </c>
      <c r="E103" s="3429" t="s">
        <v>1435</v>
      </c>
      <c r="F103" s="3430"/>
      <c r="G103" s="1687" t="s">
        <v>1436</v>
      </c>
      <c r="H103" s="2376">
        <f>IF(D36="正常操作",H104+H105+H106,H105+H106)</f>
        <v>0</v>
      </c>
      <c r="I103" s="121"/>
    </row>
    <row r="104" spans="1:35" ht="18.75" customHeight="1">
      <c r="A104" s="3394"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95"/>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91" t="str">
        <f>IF(项目基本情况!E8="已注销","——","3.房地产抵押价值")</f>
        <v>3.房地产抵押价值</v>
      </c>
      <c r="F107" s="3392"/>
      <c r="G107" s="1686" t="s">
        <v>1432</v>
      </c>
      <c r="H107" s="2376" t="e">
        <f ca="1">IF(E107="——","——",H101-H103)</f>
        <v>#REF!</v>
      </c>
      <c r="I107" s="121"/>
    </row>
    <row r="108" spans="1:35" ht="18.75" customHeight="1">
      <c r="A108" s="121"/>
      <c r="B108" s="121"/>
      <c r="C108" s="121"/>
      <c r="D108" s="121"/>
      <c r="E108" s="3391"/>
      <c r="F108" s="3392"/>
      <c r="G108" s="1686" t="s">
        <v>1434</v>
      </c>
      <c r="H108" s="2336">
        <f ca="1">IF(H107=H101,H102,ROUND(H107*10000/'数据-汇总表'!E3,0))</f>
        <v>0</v>
      </c>
      <c r="I108" s="121"/>
    </row>
    <row r="109" spans="1:35" ht="18.75" customHeight="1">
      <c r="A109" s="121"/>
      <c r="B109" s="121"/>
      <c r="C109" s="121"/>
      <c r="D109" s="121"/>
      <c r="E109" s="3391" t="str">
        <f>IF(项目基本情况!E8="已注销及未注销","4.抵押担保权已注销时的房地产抵押价值",IF(项目基本情况!E8="已注销","3.抵押担保权已注销时的房地产抵押价值","——"))</f>
        <v>——</v>
      </c>
      <c r="F109" s="3392"/>
      <c r="G109" s="1686" t="s">
        <v>1432</v>
      </c>
      <c r="H109" s="2379" t="str">
        <f>IF(E109="——","——",H101-H105-H106)</f>
        <v>——</v>
      </c>
      <c r="I109" s="121"/>
    </row>
    <row r="110" spans="1:35" ht="18.75" customHeight="1">
      <c r="A110" s="121"/>
      <c r="B110" s="121"/>
      <c r="C110" s="121"/>
      <c r="D110" s="121"/>
      <c r="E110" s="3391"/>
      <c r="F110" s="3392"/>
      <c r="G110" s="1686" t="s">
        <v>1434</v>
      </c>
      <c r="H110" s="2336" t="str">
        <f>IF(H109="——","——",ROUND(H109*10000/'数据-汇总表'!E3,0))</f>
        <v>——</v>
      </c>
      <c r="I110" s="121"/>
    </row>
    <row r="111" spans="1:35" ht="18.75" customHeight="1">
      <c r="A111" s="121"/>
      <c r="B111" s="121"/>
      <c r="C111" s="121"/>
      <c r="D111" s="121"/>
      <c r="E111" s="3423" t="str">
        <f>IF(项目基本情况!E9="抵押净值",IF(OR(项目基本情况!E8="已注销",项目基本情况!E8="房地产抵押价值"),"4.抵押净值","5.抵押净值"),"——")</f>
        <v>——</v>
      </c>
      <c r="F111" s="3393"/>
      <c r="G111" s="1686" t="s">
        <v>1432</v>
      </c>
      <c r="H111" s="2376" t="str">
        <f>IF(E111="——","——",N59)</f>
        <v>——</v>
      </c>
      <c r="I111" s="121"/>
    </row>
    <row r="112" spans="1:35" ht="18.75" customHeight="1" thickBot="1">
      <c r="A112" s="121"/>
      <c r="B112" s="121"/>
      <c r="C112" s="121"/>
      <c r="D112" s="121"/>
      <c r="E112" s="3424"/>
      <c r="F112" s="3425"/>
      <c r="G112" s="1689" t="s">
        <v>1434</v>
      </c>
      <c r="H112" s="2380" t="str">
        <f>IF(E111="——","——",N61)</f>
        <v>——</v>
      </c>
      <c r="I112" s="121"/>
    </row>
    <row r="113" spans="1:27" ht="18.75" customHeight="1">
      <c r="A113" s="121"/>
      <c r="B113" s="121"/>
      <c r="C113" s="121"/>
      <c r="D113" s="121"/>
      <c r="E113" s="3396" t="s">
        <v>1440</v>
      </c>
      <c r="F113" s="3396"/>
      <c r="G113" s="3396"/>
      <c r="H113" s="3396"/>
      <c r="I113" s="121"/>
    </row>
    <row r="114" spans="1:27" ht="3.75" customHeight="1">
      <c r="A114" s="646"/>
      <c r="B114" s="646"/>
      <c r="C114" s="646"/>
      <c r="D114" s="646"/>
      <c r="E114" s="1670"/>
      <c r="F114" s="1670"/>
      <c r="G114" s="1670"/>
      <c r="H114" s="1670"/>
      <c r="I114" s="646"/>
    </row>
    <row r="115" spans="1:27" ht="18.75" customHeight="1">
      <c r="A115" s="3406" t="s">
        <v>1442</v>
      </c>
      <c r="B115" s="3407"/>
      <c r="C115" s="3407"/>
      <c r="D115" s="3407"/>
      <c r="E115" s="3407"/>
      <c r="F115" s="3407"/>
      <c r="G115" s="3407"/>
      <c r="H115" s="3407"/>
      <c r="I115" s="3408"/>
    </row>
    <row r="116" spans="1:27" ht="27" customHeight="1">
      <c r="A116" s="3362" t="s">
        <v>1443</v>
      </c>
      <c r="B116" s="3397" t="s">
        <v>1444</v>
      </c>
      <c r="C116" s="3397" t="s">
        <v>1445</v>
      </c>
      <c r="D116" s="3410" t="s">
        <v>1446</v>
      </c>
      <c r="E116" s="3411"/>
      <c r="F116" s="3405" t="s">
        <v>1447</v>
      </c>
      <c r="G116" s="3405"/>
      <c r="H116" s="3362" t="s">
        <v>1448</v>
      </c>
      <c r="I116" s="3362"/>
    </row>
    <row r="117" spans="1:27" ht="18.75" customHeight="1">
      <c r="A117" s="3362"/>
      <c r="B117" s="3398"/>
      <c r="C117" s="3398"/>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62" t="s">
        <v>1452</v>
      </c>
      <c r="B119" s="3362"/>
      <c r="C119" s="3362"/>
      <c r="D119" s="3402" t="e">
        <f ca="1">NUMBERSTRING(INT(D118*10000),2)&amp;"元整"</f>
        <v>#REF!</v>
      </c>
      <c r="E119" s="3404"/>
      <c r="F119" s="3402" t="e">
        <f ca="1">NUMBERSTRING(INT(F118*10000),2)&amp;"元整"</f>
        <v>#REF!</v>
      </c>
      <c r="G119" s="3404"/>
      <c r="H119" s="3402" t="e">
        <f ca="1">NUMBERSTRING(INT(H118*10000),2)&amp;"元整"</f>
        <v>#REF!</v>
      </c>
      <c r="I119" s="3404"/>
    </row>
    <row r="120" spans="1:27" ht="18.75" customHeight="1">
      <c r="A120" s="3426" t="str">
        <f>IF(项目基本情况!B9="房地产市场价值","",MID(E103,3,LEN(E103)-2))</f>
        <v>估价师知悉的法定优先受偿款</v>
      </c>
      <c r="B120" s="3427"/>
      <c r="C120" s="3428"/>
      <c r="D120" s="3426">
        <f>H103</f>
        <v>0</v>
      </c>
      <c r="E120" s="3427"/>
      <c r="F120" s="3427"/>
      <c r="G120" s="3427"/>
      <c r="H120" s="3427"/>
      <c r="I120" s="34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402" t="s">
        <v>1452</v>
      </c>
      <c r="B121" s="3403"/>
      <c r="C121" s="3404"/>
      <c r="D121" s="3402" t="str">
        <f>IF(D120=0,"零元整",NUMBERSTRING(INT(D120*10000),2)&amp;"元整")</f>
        <v>零元整</v>
      </c>
      <c r="E121" s="3403"/>
      <c r="F121" s="3403"/>
      <c r="G121" s="3403"/>
      <c r="H121" s="3403"/>
      <c r="I121" s="3404"/>
      <c r="AA121" s="684"/>
    </row>
    <row r="122" spans="1:27" ht="18.75" customHeight="1">
      <c r="A122" s="3393" t="str">
        <f>IF(项目基本情况!B9="房地产市场价值","",MID(E107,3,LEN(E107)-2))</f>
        <v>房地产抵押价值</v>
      </c>
      <c r="B122" s="3393"/>
      <c r="C122" s="3393"/>
      <c r="D122" s="3426" t="e">
        <f ca="1">H107</f>
        <v>#REF!</v>
      </c>
      <c r="E122" s="3427"/>
      <c r="F122" s="3427"/>
      <c r="G122" s="3427"/>
      <c r="H122" s="3427"/>
      <c r="I122" s="3428"/>
      <c r="AA122" s="684"/>
    </row>
    <row r="123" spans="1:27" ht="18.75" customHeight="1">
      <c r="A123" s="3362" t="s">
        <v>1452</v>
      </c>
      <c r="B123" s="3362"/>
      <c r="C123" s="3362"/>
      <c r="D123" s="3402" t="e">
        <f ca="1">NUMBERSTRING(INT(D122*10000),2)&amp;"元整"</f>
        <v>#REF!</v>
      </c>
      <c r="E123" s="3403"/>
      <c r="F123" s="3403"/>
      <c r="G123" s="3403"/>
      <c r="H123" s="3403"/>
      <c r="I123" s="3404"/>
      <c r="AA123" s="684"/>
    </row>
    <row r="124" spans="1:27" ht="18.75" customHeight="1">
      <c r="A124" s="3393" t="str">
        <f>IF(项目基本情况!B9="房地产市场价值","",MID(E109,3,LEN(E109)-2))</f>
        <v/>
      </c>
      <c r="B124" s="3393"/>
      <c r="C124" s="3393"/>
      <c r="D124" s="3426" t="str">
        <f>H109</f>
        <v>——</v>
      </c>
      <c r="E124" s="3427"/>
      <c r="F124" s="3427"/>
      <c r="G124" s="3427"/>
      <c r="H124" s="3427"/>
      <c r="I124" s="3428"/>
      <c r="AA124" s="684"/>
    </row>
    <row r="125" spans="1:27" ht="18.75" customHeight="1">
      <c r="A125" s="3362" t="s">
        <v>1452</v>
      </c>
      <c r="B125" s="3362"/>
      <c r="C125" s="3362"/>
      <c r="D125" s="3402" t="e">
        <f>NUMBERSTRING(INT(D124*10000),2)&amp;"元整"</f>
        <v>#VALUE!</v>
      </c>
      <c r="E125" s="3403"/>
      <c r="F125" s="3403"/>
      <c r="G125" s="3403"/>
      <c r="H125" s="3403"/>
      <c r="I125" s="3404"/>
      <c r="AA125" s="684"/>
    </row>
    <row r="126" spans="1:27" ht="18.75" customHeight="1">
      <c r="A126" s="3393" t="str">
        <f>IF(项目基本情况!B9="房地产市场价值","",MID(E111,3,LEN(E111)-2))</f>
        <v/>
      </c>
      <c r="B126" s="3393"/>
      <c r="C126" s="3393"/>
      <c r="D126" s="3426" t="str">
        <f>H111</f>
        <v>——</v>
      </c>
      <c r="E126" s="3427"/>
      <c r="F126" s="3427"/>
      <c r="G126" s="3427"/>
      <c r="H126" s="3427"/>
      <c r="I126" s="3428"/>
      <c r="AA126" s="684"/>
    </row>
    <row r="127" spans="1:27" ht="18.75" customHeight="1">
      <c r="A127" s="3362" t="s">
        <v>1452</v>
      </c>
      <c r="B127" s="3362"/>
      <c r="C127" s="3362"/>
      <c r="D127" s="3402" t="e">
        <f>NUMBERSTRING(INT(D126*10000),2)&amp;"元整"</f>
        <v>#VALUE!</v>
      </c>
      <c r="E127" s="3403"/>
      <c r="F127" s="3403"/>
      <c r="G127" s="3403"/>
      <c r="H127" s="3403"/>
      <c r="I127" s="3404"/>
      <c r="AA127" s="684"/>
    </row>
    <row r="128" spans="1:27" ht="21.75" customHeight="1">
      <c r="A128" s="3409" t="s">
        <v>1453</v>
      </c>
      <c r="B128" s="3409"/>
      <c r="C128" s="3409"/>
      <c r="D128" s="3409"/>
      <c r="E128" s="3409"/>
      <c r="F128" s="3409"/>
      <c r="G128" s="3409"/>
      <c r="H128" s="3409"/>
      <c r="I128" s="340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69.099999999999994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42" t="s">
        <v>1544</v>
      </c>
    </row>
    <row r="43" spans="1:7" ht="13.5" customHeight="1">
      <c r="A43" s="734" t="s">
        <v>347</v>
      </c>
      <c r="B43" s="207" t="s">
        <v>1545</v>
      </c>
      <c r="C43" s="230">
        <f ca="1">ROUND(IF('数据-取费表'!B22&lt;=1,C39*F22*'数据-取费表'!B21/2,C39*(POWER((1+F22),'数据-取费表'!B21/2)-1)),0)</f>
        <v>0</v>
      </c>
      <c r="D43" s="230"/>
      <c r="E43" s="230"/>
      <c r="F43" s="231"/>
      <c r="G43" s="3443"/>
    </row>
    <row r="44" spans="1:7" ht="13.5" customHeight="1">
      <c r="A44" s="734" t="s">
        <v>348</v>
      </c>
      <c r="B44" s="207" t="s">
        <v>1546</v>
      </c>
      <c r="C44" s="230">
        <f ca="1">ROUND(IF('数据-取费表'!B22&lt;=1,C40*F22*'数据-取费表'!B21/2,C40*(POWER((1+F22),'数据-取费表'!B21/2)-1)),4)</f>
        <v>4.0000000000000002E-4</v>
      </c>
      <c r="D44" s="230"/>
      <c r="E44" s="230"/>
      <c r="F44" s="231"/>
      <c r="G44" s="3444"/>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0" t="str">
        <f>项目基本情况!B1</f>
        <v>北京市预评估</v>
      </c>
      <c r="C37" s="3260"/>
      <c r="D37" s="3260"/>
      <c r="E37" s="3260"/>
      <c r="F37" s="3260"/>
      <c r="G37" s="3260"/>
      <c r="H37" s="3260"/>
      <c r="I37" s="326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69.099999999999994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47" t="s">
        <v>694</v>
      </c>
      <c r="C6" s="1011">
        <f ca="1">ROUND(F6*F8*F7*(1-F9)/10000,0)</f>
        <v>0</v>
      </c>
      <c r="D6" s="147" t="s">
        <v>2105</v>
      </c>
      <c r="E6" s="294" t="s">
        <v>696</v>
      </c>
      <c r="F6" s="295">
        <f ca="1">INDIRECT("'数据-取费表'!u"&amp;$G$1)</f>
        <v>0</v>
      </c>
      <c r="G6" s="1291"/>
      <c r="H6" s="1006" t="s">
        <v>398</v>
      </c>
      <c r="I6" s="3447" t="s">
        <v>694</v>
      </c>
      <c r="J6" s="293">
        <f ca="1">ROUND(M6*M8*M7*(1-M9)/10000,0)</f>
        <v>0</v>
      </c>
      <c r="K6" s="147" t="s">
        <v>2104</v>
      </c>
      <c r="L6" s="294" t="s">
        <v>696</v>
      </c>
      <c r="M6" s="295">
        <f ca="1">INDIRECT("'数据-取费表'!z"&amp;$G$1)</f>
        <v>0</v>
      </c>
    </row>
    <row r="7" spans="1:37" ht="18" customHeight="1">
      <c r="A7" s="1010"/>
      <c r="B7" s="3448"/>
      <c r="C7" s="1012"/>
      <c r="D7" s="299"/>
      <c r="E7" s="1013" t="s">
        <v>697</v>
      </c>
      <c r="F7" s="295">
        <f ca="1">IF(INDIRECT("'数据-取费表'!ah"&amp;$G$1)="",INDIRECT("'数据-取费表'!k"&amp;$G$1),INDIRECT("'数据-取费表'!ah"&amp;$G$1))</f>
        <v>0</v>
      </c>
      <c r="G7" s="1291"/>
      <c r="H7" s="296"/>
      <c r="I7" s="3448"/>
      <c r="J7" s="298"/>
      <c r="K7" s="299"/>
      <c r="L7" s="294" t="s">
        <v>697</v>
      </c>
      <c r="M7" s="295">
        <f ca="1">F7</f>
        <v>0</v>
      </c>
    </row>
    <row r="8" spans="1:37" ht="18" customHeight="1">
      <c r="A8" s="296"/>
      <c r="B8" s="3448"/>
      <c r="C8" s="298"/>
      <c r="D8" s="299"/>
      <c r="E8" s="294" t="s">
        <v>698</v>
      </c>
      <c r="F8" s="295">
        <f ca="1">INDIRECT("'数据-取费表'!ai"&amp;$G$1)</f>
        <v>0</v>
      </c>
      <c r="G8" s="1291"/>
      <c r="H8" s="296"/>
      <c r="I8" s="3448"/>
      <c r="J8" s="298"/>
      <c r="K8" s="299"/>
      <c r="L8" s="294" t="s">
        <v>698</v>
      </c>
      <c r="M8" s="295">
        <f ca="1">INDIRECT("'数据-取费表'!ai"&amp;$G$1)</f>
        <v>0</v>
      </c>
    </row>
    <row r="9" spans="1:37" ht="18" customHeight="1">
      <c r="A9" s="296"/>
      <c r="B9" s="3449"/>
      <c r="C9" s="298"/>
      <c r="D9" s="299"/>
      <c r="E9" s="294" t="s">
        <v>699</v>
      </c>
      <c r="F9" s="304">
        <f ca="1">INDIRECT("'数据-取费表'!w"&amp;$G$1)</f>
        <v>0</v>
      </c>
      <c r="G9" s="1291"/>
      <c r="H9" s="296"/>
      <c r="I9" s="344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2304</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2">
        <f ca="1">IF(M47="住宅",IF(D1="——",MAX(J51,L48),MAX(J51,L48-'数据-取费表'!B24)),IF(D1="——",MIN(J51,L48),MIN(J51,L48-'数据-取费表'!B24)))</f>
        <v>0</v>
      </c>
      <c r="K53" s="3445" t="s">
        <v>837</v>
      </c>
      <c r="L53" s="344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3374</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578.75720000000001</v>
      </c>
      <c r="C2" s="1288" t="s">
        <v>879</v>
      </c>
      <c r="D2" s="1374">
        <f ca="1">C40+J29+L46</f>
        <v>5787572</v>
      </c>
      <c r="E2" s="1294" t="s">
        <v>880</v>
      </c>
      <c r="F2" s="1295"/>
      <c r="G2" s="2474"/>
      <c r="H2" s="2464"/>
      <c r="I2" s="2464"/>
      <c r="J2" s="2464"/>
      <c r="K2" s="2465"/>
      <c r="L2" s="2464"/>
      <c r="M2" s="2464"/>
    </row>
    <row r="3" spans="1:37" ht="18" customHeight="1" thickBot="1">
      <c r="A3" s="1296" t="s">
        <v>881</v>
      </c>
      <c r="B3" s="1297">
        <f ca="1">IF(ISERROR(D2/F43),0,ROUND(D2/F43,0))</f>
        <v>83756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447" t="s">
        <v>694</v>
      </c>
      <c r="C6" s="1011">
        <f ca="1">ROUND(F6*F8*F7*(1-F9),0)</f>
        <v>125400</v>
      </c>
      <c r="D6" s="147" t="s">
        <v>2102</v>
      </c>
      <c r="E6" s="294" t="s">
        <v>696</v>
      </c>
      <c r="F6" s="295">
        <f ca="1">INDIRECT("'数据-取费表'!u"&amp;$G$1)</f>
        <v>11000</v>
      </c>
      <c r="G6" s="1291"/>
      <c r="H6" s="1006" t="s">
        <v>398</v>
      </c>
      <c r="I6" s="3447" t="s">
        <v>694</v>
      </c>
      <c r="J6" s="293">
        <f ca="1">ROUND(M6*M8*M7*(1-M9),0)</f>
        <v>0</v>
      </c>
      <c r="K6" s="1283" t="s">
        <v>2103</v>
      </c>
      <c r="L6" s="294" t="s">
        <v>696</v>
      </c>
      <c r="M6" s="295">
        <f ca="1">INDIRECT("'数据-取费表'!z"&amp;$G$1)</f>
        <v>0</v>
      </c>
    </row>
    <row r="7" spans="1:37" ht="18" customHeight="1">
      <c r="A7" s="1010"/>
      <c r="B7" s="3448"/>
      <c r="C7" s="1012"/>
      <c r="D7" s="299"/>
      <c r="E7" s="1013" t="s">
        <v>697</v>
      </c>
      <c r="F7" s="295">
        <f ca="1">IF(INDIRECT("'数据-取费表'!ah"&amp;$G$1)="",INDIRECT("'数据-取费表'!k"&amp;$G$1),INDIRECT("'数据-取费表'!ah"&amp;$G$1))</f>
        <v>1</v>
      </c>
      <c r="G7" s="1291"/>
      <c r="H7" s="296"/>
      <c r="I7" s="3448"/>
      <c r="J7" s="298"/>
      <c r="K7" s="299"/>
      <c r="L7" s="294" t="s">
        <v>697</v>
      </c>
      <c r="M7" s="295">
        <f ca="1">F7</f>
        <v>1</v>
      </c>
    </row>
    <row r="8" spans="1:37" ht="18" customHeight="1">
      <c r="A8" s="296"/>
      <c r="B8" s="3448"/>
      <c r="C8" s="298"/>
      <c r="D8" s="299"/>
      <c r="E8" s="294" t="s">
        <v>698</v>
      </c>
      <c r="F8" s="295">
        <f ca="1">INDIRECT("'数据-取费表'!ai"&amp;$G$1)</f>
        <v>12</v>
      </c>
      <c r="G8" s="1291"/>
      <c r="H8" s="296"/>
      <c r="I8" s="3448"/>
      <c r="J8" s="298"/>
      <c r="K8" s="299"/>
      <c r="L8" s="294" t="s">
        <v>698</v>
      </c>
      <c r="M8" s="295">
        <f ca="1">INDIRECT("'数据-取费表'!ai"&amp;$G$1)</f>
        <v>12</v>
      </c>
    </row>
    <row r="9" spans="1:37" ht="18" customHeight="1">
      <c r="A9" s="296"/>
      <c r="B9" s="3449"/>
      <c r="C9" s="298"/>
      <c r="D9" s="299"/>
      <c r="E9" s="294" t="s">
        <v>699</v>
      </c>
      <c r="F9" s="304">
        <f ca="1">INDIRECT("'数据-取费表'!w"&amp;$G$1)</f>
        <v>0.05</v>
      </c>
      <c r="G9" s="1291"/>
      <c r="H9" s="296"/>
      <c r="I9" s="3449"/>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2112</v>
      </c>
      <c r="E10" s="305" t="s">
        <v>701</v>
      </c>
      <c r="F10" s="1053" t="s">
        <v>3383</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144093</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7489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2304</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216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5787572</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83756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3351</v>
      </c>
      <c r="B45" s="1306"/>
      <c r="C45" s="1375">
        <f ca="1">ROUND((C68-C40)/10000,4)</f>
        <v>-585.32560000000001</v>
      </c>
      <c r="D45" s="3126" t="s">
        <v>3352</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5787572</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2022423</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2">
        <f ca="1">IF(M47="住宅",IF(D1="——",MAX(J51,L48),MAX(J51,L48-'数据-取费表'!B24)),IF(D1="——",MIN(J51,L48),MIN(J51,L48-'数据-取费表'!B24)))</f>
        <v>70</v>
      </c>
      <c r="K53" s="3445" t="s">
        <v>837</v>
      </c>
      <c r="L53" s="3446"/>
      <c r="O53" s="1324" t="s">
        <v>409</v>
      </c>
      <c r="P53" s="1325" t="s">
        <v>838</v>
      </c>
      <c r="Q53" s="1326">
        <f ca="1">Q47+Q48</f>
        <v>5787572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144093</v>
      </c>
      <c r="D56" s="1351"/>
      <c r="E56" s="1352"/>
      <c r="F56" s="1344"/>
      <c r="I56" s="1353" t="s">
        <v>842</v>
      </c>
      <c r="J56" s="1354" t="s">
        <v>3386</v>
      </c>
      <c r="K56" s="1327" t="s">
        <v>843</v>
      </c>
      <c r="L56" s="1330">
        <f ca="1">IF(L48&lt;J51,"——",L48-J51)</f>
        <v>31</v>
      </c>
      <c r="O56" s="1324" t="s">
        <v>403</v>
      </c>
      <c r="P56" s="1325" t="s">
        <v>817</v>
      </c>
      <c r="Q56" s="1326">
        <f ca="1">C40+J29</f>
        <v>5787572</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2022423</v>
      </c>
      <c r="O57" s="1324" t="s">
        <v>404</v>
      </c>
      <c r="P57" s="1325" t="s">
        <v>893</v>
      </c>
      <c r="Q57" s="1326">
        <f ca="1">L60</f>
        <v>0</v>
      </c>
      <c r="R57" s="1326" t="s">
        <v>894</v>
      </c>
    </row>
    <row r="58" spans="1:18" s="1291" customFormat="1" ht="24.75" thickBot="1">
      <c r="A58" s="307" t="s">
        <v>393</v>
      </c>
      <c r="B58" s="904" t="s">
        <v>714</v>
      </c>
      <c r="C58" s="308">
        <f ca="1">ROUND(C59+C64+C65+C66,0)</f>
        <v>3098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5787572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216</v>
      </c>
      <c r="D65" s="910" t="s">
        <v>743</v>
      </c>
      <c r="E65" s="896" t="s">
        <v>744</v>
      </c>
      <c r="F65" s="321">
        <f t="shared" ca="1" si="0"/>
        <v>1.5E-3</v>
      </c>
      <c r="I65" s="1366" t="s">
        <v>867</v>
      </c>
      <c r="J65" s="610">
        <v>40</v>
      </c>
      <c r="K65" s="610">
        <v>30</v>
      </c>
      <c r="L65" s="610">
        <v>50</v>
      </c>
      <c r="M65" s="1368">
        <v>0.02</v>
      </c>
      <c r="O65" s="1324" t="s">
        <v>403</v>
      </c>
      <c r="P65" s="1325" t="s">
        <v>868</v>
      </c>
      <c r="Q65" s="1326">
        <f ca="1">C40+J29</f>
        <v>5787572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-3098</v>
      </c>
      <c r="D67" s="909" t="s">
        <v>753</v>
      </c>
      <c r="E67" s="914"/>
      <c r="F67" s="915"/>
      <c r="O67" s="1333" t="s">
        <v>405</v>
      </c>
      <c r="P67" s="1325" t="s">
        <v>850</v>
      </c>
      <c r="Q67" s="1369">
        <f ca="1">L51</f>
        <v>2022423</v>
      </c>
      <c r="R67" s="1326" t="s">
        <v>870</v>
      </c>
    </row>
    <row r="68" spans="1:18" s="1291" customFormat="1" ht="16.5" thickBot="1">
      <c r="A68" s="893" t="s">
        <v>395</v>
      </c>
      <c r="B68" s="894" t="s">
        <v>774</v>
      </c>
      <c r="C68" s="293">
        <f ca="1">ROUND(C67*(1-((1+F70)/(1+F68))^F69)/(F68-F70),0)</f>
        <v>-65684</v>
      </c>
      <c r="D68" s="911" t="s">
        <v>758</v>
      </c>
      <c r="E68" s="896" t="s">
        <v>759</v>
      </c>
      <c r="F68" s="304">
        <f ca="1">F40</f>
        <v>4.4999999999999998E-2</v>
      </c>
      <c r="O68" s="1333" t="s">
        <v>406</v>
      </c>
      <c r="P68" s="1370" t="s">
        <v>871</v>
      </c>
      <c r="Q68" s="1326">
        <f ca="1">ROUND(Q69-Q70*Q71,0)</f>
        <v>110941</v>
      </c>
      <c r="R68" s="1326" t="s">
        <v>414</v>
      </c>
    </row>
    <row r="69" spans="1:18" s="1291" customFormat="1" ht="13.5" thickBot="1">
      <c r="A69" s="897"/>
      <c r="B69" s="898"/>
      <c r="C69" s="298"/>
      <c r="D69" s="916" t="s">
        <v>762</v>
      </c>
      <c r="E69" s="896" t="s">
        <v>763</v>
      </c>
      <c r="F69" s="324">
        <f ca="1">F41</f>
        <v>70</v>
      </c>
      <c r="O69" s="1333" t="s">
        <v>411</v>
      </c>
      <c r="P69" s="1370" t="s">
        <v>872</v>
      </c>
      <c r="Q69" s="1326">
        <f ca="1">C39</f>
        <v>118146</v>
      </c>
      <c r="R69" s="1326" t="s">
        <v>818</v>
      </c>
    </row>
    <row r="70" spans="1:18" s="1291" customFormat="1" ht="13.5" thickBot="1">
      <c r="A70" s="900"/>
      <c r="B70" s="901"/>
      <c r="C70" s="302"/>
      <c r="D70" s="912"/>
      <c r="E70" s="896" t="s">
        <v>766</v>
      </c>
      <c r="F70" s="991"/>
      <c r="O70" s="1333" t="s">
        <v>412</v>
      </c>
      <c r="P70" s="1370" t="s">
        <v>873</v>
      </c>
      <c r="Q70" s="1326">
        <f ca="1">C13</f>
        <v>144093</v>
      </c>
      <c r="R70" s="1326" t="s">
        <v>818</v>
      </c>
    </row>
    <row r="71" spans="1:18" s="1291" customFormat="1" ht="13.5" thickBot="1">
      <c r="A71" s="917" t="s">
        <v>396</v>
      </c>
      <c r="B71" s="918" t="s">
        <v>776</v>
      </c>
      <c r="C71" s="327">
        <f ca="1">ROUND(C68/F71,0)</f>
        <v>-951</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7205</v>
      </c>
      <c r="D75" s="1291"/>
      <c r="E75" s="1291"/>
      <c r="F75" s="1291"/>
      <c r="K75" s="1308"/>
      <c r="L75" s="1291"/>
      <c r="O75" s="1324" t="s">
        <v>409</v>
      </c>
      <c r="P75" s="1325" t="s">
        <v>838</v>
      </c>
      <c r="Q75" s="1326">
        <f ca="1">Q65+Q66</f>
        <v>5787572</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0.97499999999999998</v>
      </c>
    </row>
    <row r="83" spans="2:3">
      <c r="B83" s="265" t="s">
        <v>803</v>
      </c>
      <c r="C83" s="266">
        <f ca="1">ROUND(C13/C40,3)</f>
        <v>2.5000000000000001E-2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2" t="s">
        <v>2312</v>
      </c>
      <c r="B2" s="2590" t="e">
        <f>IF(D2="——",C40,C40+E2)</f>
        <v>#DIV/0!</v>
      </c>
      <c r="C2" s="2591" t="s">
        <v>2313</v>
      </c>
      <c r="D2" s="3134" t="s">
        <v>3358</v>
      </c>
      <c r="E2" s="3135"/>
      <c r="F2" s="2593"/>
      <c r="G2" s="2594"/>
      <c r="H2" s="2595"/>
      <c r="I2" s="2596"/>
      <c r="J2" s="3456" t="s">
        <v>2314</v>
      </c>
      <c r="K2" s="3457"/>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58" t="s">
        <v>2324</v>
      </c>
      <c r="K3" s="3459"/>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58" t="s">
        <v>2326</v>
      </c>
      <c r="K4" s="3459"/>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64" t="s">
        <v>2330</v>
      </c>
      <c r="B6" s="3465"/>
      <c r="C6" s="3466"/>
      <c r="D6" s="2617"/>
      <c r="E6" s="2618"/>
      <c r="F6" s="2619"/>
      <c r="G6" s="2620"/>
      <c r="H6" s="2595"/>
      <c r="I6" s="2596"/>
      <c r="J6" s="3450">
        <v>1</v>
      </c>
      <c r="K6" s="3451"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0"/>
      <c r="K7" s="3452"/>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67" t="s">
        <v>2344</v>
      </c>
      <c r="C8" s="3468"/>
      <c r="D8" s="2636" t="s">
        <v>2345</v>
      </c>
      <c r="E8" s="2637" t="s">
        <v>2346</v>
      </c>
      <c r="F8" s="2638" t="s">
        <v>2347</v>
      </c>
      <c r="G8" s="2639"/>
      <c r="H8" s="2595"/>
      <c r="I8" s="2596"/>
      <c r="J8" s="3450"/>
      <c r="K8" s="3452"/>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67" t="s">
        <v>2350</v>
      </c>
      <c r="C9" s="3468"/>
      <c r="D9" s="2636">
        <f>ROUND(D6*E9,0)</f>
        <v>0</v>
      </c>
      <c r="E9" s="2640"/>
      <c r="F9" s="2641" t="s">
        <v>2351</v>
      </c>
      <c r="G9" s="2620"/>
      <c r="H9" s="2595"/>
      <c r="I9" s="2596"/>
      <c r="J9" s="3450"/>
      <c r="K9" s="3452"/>
      <c r="L9" s="2630" t="s">
        <v>2352</v>
      </c>
      <c r="M9" s="2631"/>
      <c r="N9" s="2607"/>
      <c r="O9" s="2632"/>
      <c r="P9" s="2632"/>
      <c r="Q9" s="2633">
        <v>365</v>
      </c>
      <c r="R9" s="2634">
        <f t="shared" si="0"/>
        <v>0</v>
      </c>
      <c r="S9" s="2588"/>
      <c r="T9" s="2588"/>
      <c r="U9" s="2588"/>
      <c r="V9" s="2596"/>
    </row>
    <row r="10" spans="1:22" s="2600" customFormat="1" ht="13.15" customHeight="1">
      <c r="A10" s="2635">
        <v>2</v>
      </c>
      <c r="B10" s="3467" t="s">
        <v>2353</v>
      </c>
      <c r="C10" s="3468"/>
      <c r="D10" s="2636">
        <f>ROUND(D6*E10,0)</f>
        <v>0</v>
      </c>
      <c r="E10" s="2640"/>
      <c r="F10" s="2641" t="s">
        <v>2354</v>
      </c>
      <c r="G10" s="2620"/>
      <c r="H10" s="2595"/>
      <c r="I10" s="2596"/>
      <c r="J10" s="3450"/>
      <c r="K10" s="3452"/>
      <c r="L10" s="2630" t="s">
        <v>2355</v>
      </c>
      <c r="M10" s="2631"/>
      <c r="N10" s="2607"/>
      <c r="O10" s="2632"/>
      <c r="P10" s="2632"/>
      <c r="Q10" s="2633">
        <v>365</v>
      </c>
      <c r="R10" s="2634">
        <f t="shared" si="0"/>
        <v>0</v>
      </c>
      <c r="S10" s="2588"/>
      <c r="T10" s="2588"/>
      <c r="U10" s="2588"/>
      <c r="V10" s="2596"/>
    </row>
    <row r="11" spans="1:22" s="2600" customFormat="1" ht="13.15" customHeight="1">
      <c r="A11" s="2635">
        <v>3</v>
      </c>
      <c r="B11" s="3467" t="s">
        <v>2356</v>
      </c>
      <c r="C11" s="3468"/>
      <c r="D11" s="2636">
        <f>D12+D14+D15+D16</f>
        <v>0</v>
      </c>
      <c r="E11" s="2642" t="e">
        <f>D11/D6</f>
        <v>#DIV/0!</v>
      </c>
      <c r="F11" s="2638"/>
      <c r="G11" s="2639"/>
      <c r="H11" s="2595"/>
      <c r="I11" s="2596"/>
      <c r="J11" s="3450"/>
      <c r="K11" s="3452"/>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0" t="s">
        <v>2359</v>
      </c>
      <c r="C12" s="3461"/>
      <c r="D12" s="2644">
        <f>ROUND(D13*1.2%*(1-30%),0)</f>
        <v>0</v>
      </c>
      <c r="E12" s="2645">
        <v>1.2E-2</v>
      </c>
      <c r="F12" s="2638" t="s">
        <v>2360</v>
      </c>
      <c r="G12" s="2639"/>
      <c r="H12" s="2595"/>
      <c r="I12" s="2596"/>
      <c r="J12" s="3450"/>
      <c r="K12" s="3452"/>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0"/>
      <c r="K13" s="3452"/>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0" t="s">
        <v>2365</v>
      </c>
      <c r="C14" s="3461"/>
      <c r="D14" s="2644">
        <f>ROUND(E14*B5/10000,0)</f>
        <v>0</v>
      </c>
      <c r="E14" s="2633"/>
      <c r="F14" s="2638" t="s">
        <v>2366</v>
      </c>
      <c r="G14" s="2639"/>
      <c r="H14" s="2595"/>
      <c r="I14" s="2596"/>
      <c r="J14" s="3450"/>
      <c r="K14" s="3453"/>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0" t="s">
        <v>2369</v>
      </c>
      <c r="C15" s="3461"/>
      <c r="D15" s="2644">
        <f>ROUND(D6*E15,0)</f>
        <v>0</v>
      </c>
      <c r="E15" s="2645">
        <v>5.5E-2</v>
      </c>
      <c r="F15" s="2638" t="s">
        <v>2370</v>
      </c>
      <c r="G15" s="2620"/>
      <c r="H15" s="2595"/>
      <c r="I15" s="2596"/>
      <c r="J15" s="3450">
        <v>2</v>
      </c>
      <c r="K15" s="3451"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0" t="s">
        <v>2378</v>
      </c>
      <c r="C16" s="3461"/>
      <c r="D16" s="2655">
        <f>D6*E16</f>
        <v>0</v>
      </c>
      <c r="E16" s="2656"/>
      <c r="F16" s="2641" t="s">
        <v>2379</v>
      </c>
      <c r="G16" s="2620"/>
      <c r="H16" s="2595"/>
      <c r="I16" s="2596"/>
      <c r="J16" s="3450"/>
      <c r="K16" s="3452"/>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2" t="s">
        <v>2381</v>
      </c>
      <c r="C17" s="3463"/>
      <c r="D17" s="2658">
        <f>ROUND(D6*E17,0)</f>
        <v>0</v>
      </c>
      <c r="E17" s="2659"/>
      <c r="F17" s="2660" t="s">
        <v>2382</v>
      </c>
      <c r="G17" s="2620"/>
      <c r="H17" s="2595"/>
      <c r="I17" s="2596"/>
      <c r="J17" s="3450"/>
      <c r="K17" s="3452"/>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0"/>
      <c r="K18" s="3452"/>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0"/>
      <c r="K19" s="3453"/>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0">
        <v>3</v>
      </c>
      <c r="K20" s="3451"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0"/>
      <c r="K21" s="3452"/>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0"/>
      <c r="K22" s="3452"/>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0"/>
      <c r="K23" s="3452"/>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0"/>
      <c r="K24" s="3453"/>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54">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55"/>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56" t="s">
        <v>2314</v>
      </c>
      <c r="K32" s="3457"/>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58" t="s">
        <v>2324</v>
      </c>
      <c r="K33" s="3459"/>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58" t="s">
        <v>2326</v>
      </c>
      <c r="K34" s="3459"/>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0">
        <v>1</v>
      </c>
      <c r="K36" s="3451"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0"/>
      <c r="K37" s="3452"/>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0"/>
      <c r="K38" s="3452"/>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0"/>
      <c r="K39" s="3452"/>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0"/>
      <c r="K40" s="3453"/>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54">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55"/>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578.75720000000001</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83756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69" t="s">
        <v>1654</v>
      </c>
      <c r="C5" s="3470"/>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578.75720000000001</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H17" sqref="H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3374</v>
      </c>
      <c r="E1" s="3120" t="s">
        <v>3388</v>
      </c>
      <c r="F1" s="1734" t="s">
        <v>3381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45.198300000000003</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6541</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89" t="s">
        <v>1667</v>
      </c>
      <c r="D4" s="3490"/>
      <c r="E4" s="3491" t="s">
        <v>1668</v>
      </c>
      <c r="F4" s="3492"/>
      <c r="G4" s="3489" t="s">
        <v>1669</v>
      </c>
      <c r="H4" s="3490"/>
      <c r="I4" s="3489" t="s">
        <v>1670</v>
      </c>
      <c r="J4" s="3490"/>
      <c r="K4" s="1743" t="s">
        <v>1671</v>
      </c>
      <c r="L4" s="2482"/>
      <c r="M4" s="2483"/>
      <c r="N4" s="2483"/>
      <c r="O4" s="2483"/>
      <c r="P4" s="3493" t="s">
        <v>1672</v>
      </c>
      <c r="Q4" s="3494"/>
      <c r="R4" s="3499" t="s">
        <v>1668</v>
      </c>
      <c r="S4" s="3500"/>
      <c r="T4" s="3499" t="s">
        <v>1669</v>
      </c>
      <c r="U4" s="3500"/>
      <c r="V4" s="3475" t="s">
        <v>1670</v>
      </c>
      <c r="W4" s="3475"/>
      <c r="X4" s="1264"/>
      <c r="Y4" s="3499" t="s">
        <v>1672</v>
      </c>
      <c r="Z4" s="3500"/>
      <c r="AA4" s="3486" t="s">
        <v>1668</v>
      </c>
      <c r="AB4" s="3486" t="s">
        <v>1669</v>
      </c>
      <c r="AC4" s="3486" t="s">
        <v>1670</v>
      </c>
    </row>
    <row r="5" spans="1:29" ht="15">
      <c r="A5" s="348"/>
      <c r="B5" s="349"/>
      <c r="C5" s="3507" t="s">
        <v>3443</v>
      </c>
      <c r="D5" s="3508"/>
      <c r="E5" s="3514" t="s">
        <v>3571</v>
      </c>
      <c r="F5" s="3515"/>
      <c r="G5" s="3507" t="s">
        <v>3731</v>
      </c>
      <c r="H5" s="3508"/>
      <c r="I5" s="3507" t="s">
        <v>3713</v>
      </c>
      <c r="J5" s="3508"/>
      <c r="K5" s="1744"/>
      <c r="L5" s="2482"/>
      <c r="M5" s="2483"/>
      <c r="N5" s="2483"/>
      <c r="O5" s="2483"/>
      <c r="P5" s="3495"/>
      <c r="Q5" s="3496"/>
      <c r="R5" s="3501"/>
      <c r="S5" s="3502"/>
      <c r="T5" s="3501"/>
      <c r="U5" s="3502"/>
      <c r="V5" s="3475"/>
      <c r="W5" s="3475"/>
      <c r="X5" s="1264"/>
      <c r="Y5" s="3501"/>
      <c r="Z5" s="3502"/>
      <c r="AA5" s="3487"/>
      <c r="AB5" s="3487"/>
      <c r="AC5" s="3487"/>
    </row>
    <row r="6" spans="1:29" ht="15.75" thickBot="1">
      <c r="A6" s="350"/>
      <c r="B6" s="351"/>
      <c r="C6" s="3505" t="s">
        <v>1677</v>
      </c>
      <c r="D6" s="3506"/>
      <c r="E6" s="3512" t="s">
        <v>1677</v>
      </c>
      <c r="F6" s="3513"/>
      <c r="G6" s="3505" t="s">
        <v>1677</v>
      </c>
      <c r="H6" s="3506"/>
      <c r="I6" s="3505" t="s">
        <v>1677</v>
      </c>
      <c r="J6" s="3506"/>
      <c r="K6" s="1744" t="s">
        <v>1678</v>
      </c>
      <c r="L6" s="2482"/>
      <c r="M6" s="2483"/>
      <c r="N6" s="2483"/>
      <c r="O6" s="2483"/>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f>案例!BG3</f>
        <v>36237</v>
      </c>
      <c r="F7" s="357">
        <f>SUMIF(58:58,YEAR(E7)&amp;"-"&amp;MONTH(E7),59:59)</f>
        <v>91</v>
      </c>
      <c r="G7" s="356">
        <v>36691</v>
      </c>
      <c r="H7" s="355">
        <f>SUMIF(58:58,YEAR(G7)&amp;"-"&amp;MONTH(G7),59:59)</f>
        <v>98.5</v>
      </c>
      <c r="I7" s="356">
        <f>案例!BG5</f>
        <v>36739</v>
      </c>
      <c r="J7" s="355">
        <f>SUMIF(58:58,YEAR(I7)&amp;"-"&amp;MONTH(I7),59:59)</f>
        <v>99.5</v>
      </c>
      <c r="K7" s="3180"/>
      <c r="L7" s="2484"/>
      <c r="M7" s="2435"/>
      <c r="N7" s="2435"/>
      <c r="O7" s="2435"/>
      <c r="P7" s="3509" t="s">
        <v>1680</v>
      </c>
      <c r="Q7" s="3511"/>
      <c r="R7" s="664" t="s">
        <v>20</v>
      </c>
      <c r="S7" s="665">
        <f t="shared" ref="S7:S15" si="0">F7</f>
        <v>91</v>
      </c>
      <c r="T7" s="664" t="s">
        <v>20</v>
      </c>
      <c r="U7" s="665">
        <f t="shared" ref="U7:U15" si="1">H7</f>
        <v>98.5</v>
      </c>
      <c r="V7" s="664" t="s">
        <v>20</v>
      </c>
      <c r="W7" s="665">
        <f t="shared" ref="W7:W15" si="2">J7</f>
        <v>99.5</v>
      </c>
      <c r="X7" s="666"/>
      <c r="Y7" s="3509" t="s">
        <v>1680</v>
      </c>
      <c r="Z7" s="3510"/>
      <c r="AA7" s="50">
        <f>D7/F7</f>
        <v>1.098901098901099</v>
      </c>
      <c r="AB7" s="50">
        <f>D7/H7</f>
        <v>1.015228426395939</v>
      </c>
      <c r="AC7" s="50">
        <f>D7/J7</f>
        <v>1.0050251256281406</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509" t="s">
        <v>1683</v>
      </c>
      <c r="Q8" s="3510"/>
      <c r="R8" s="664" t="s">
        <v>20</v>
      </c>
      <c r="S8" s="665">
        <f t="shared" si="0"/>
        <v>100</v>
      </c>
      <c r="T8" s="664" t="s">
        <v>20</v>
      </c>
      <c r="U8" s="665">
        <f t="shared" si="1"/>
        <v>100</v>
      </c>
      <c r="V8" s="664" t="s">
        <v>20</v>
      </c>
      <c r="W8" s="665">
        <f t="shared" si="2"/>
        <v>100</v>
      </c>
      <c r="X8" s="666"/>
      <c r="Y8" s="3509" t="s">
        <v>1683</v>
      </c>
      <c r="Z8" s="3510"/>
      <c r="AA8" s="50">
        <f t="shared" ref="AA8:AA19" si="3">D8/F8</f>
        <v>1</v>
      </c>
      <c r="AB8" s="50">
        <f t="shared" ref="AB8:AB19" si="4">D8/H8</f>
        <v>1</v>
      </c>
      <c r="AC8" s="50">
        <f t="shared" ref="AC8:AC19" si="5">D8/J8</f>
        <v>1</v>
      </c>
    </row>
    <row r="9" spans="1:29" s="102" customFormat="1">
      <c r="A9" s="359" t="s">
        <v>1684</v>
      </c>
      <c r="B9" s="60" t="s">
        <v>1685</v>
      </c>
      <c r="C9" s="3153" t="s">
        <v>3412</v>
      </c>
      <c r="D9" s="59">
        <v>100</v>
      </c>
      <c r="E9" s="361" t="s">
        <v>3374</v>
      </c>
      <c r="F9" s="60">
        <f>SUMIF(63:63,E9,64:64)-SUMIF(63:63,C9,64:64)+100</f>
        <v>100</v>
      </c>
      <c r="G9" s="362" t="s">
        <v>3374</v>
      </c>
      <c r="H9" s="59">
        <f>SUMIF(63:63,G9,64:64)-SUMIF(63:63,C9,64:64)+100</f>
        <v>100</v>
      </c>
      <c r="I9" s="362" t="s">
        <v>3374</v>
      </c>
      <c r="J9" s="59">
        <f>SUMIF(63:63,I9,64:64)-SUMIF(63:63,C9,64:64)+100</f>
        <v>100</v>
      </c>
      <c r="K9" s="1745"/>
      <c r="L9" s="2484"/>
      <c r="M9" s="2435"/>
      <c r="N9" s="2435"/>
      <c r="O9" s="2435"/>
      <c r="P9" s="3485"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85"/>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85"/>
      <c r="Q11" s="530" t="str">
        <f t="shared" si="6"/>
        <v>容积率</v>
      </c>
      <c r="R11" s="664" t="s">
        <v>18</v>
      </c>
      <c r="S11" s="665">
        <f t="shared" si="0"/>
        <v>100</v>
      </c>
      <c r="T11" s="664" t="s">
        <v>18</v>
      </c>
      <c r="U11" s="665">
        <f t="shared" si="1"/>
        <v>100</v>
      </c>
      <c r="V11" s="664" t="s">
        <v>18</v>
      </c>
      <c r="W11" s="665">
        <f t="shared" si="2"/>
        <v>100</v>
      </c>
      <c r="X11" s="666"/>
      <c r="Y11" s="3349"/>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85"/>
      <c r="Q12" s="530">
        <f t="shared" si="6"/>
        <v>111</v>
      </c>
      <c r="R12" s="664" t="s">
        <v>18</v>
      </c>
      <c r="S12" s="665">
        <f t="shared" si="0"/>
        <v>100</v>
      </c>
      <c r="T12" s="664" t="s">
        <v>18</v>
      </c>
      <c r="U12" s="665">
        <f t="shared" si="1"/>
        <v>100</v>
      </c>
      <c r="V12" s="664" t="s">
        <v>18</v>
      </c>
      <c r="W12" s="665">
        <f t="shared" si="2"/>
        <v>100</v>
      </c>
      <c r="X12" s="666"/>
      <c r="Y12" s="334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85"/>
      <c r="Q13" s="530">
        <f t="shared" si="6"/>
        <v>111</v>
      </c>
      <c r="R13" s="664" t="s">
        <v>18</v>
      </c>
      <c r="S13" s="665">
        <f t="shared" si="0"/>
        <v>100</v>
      </c>
      <c r="T13" s="664" t="s">
        <v>18</v>
      </c>
      <c r="U13" s="665">
        <f t="shared" si="1"/>
        <v>100</v>
      </c>
      <c r="V13" s="664" t="s">
        <v>18</v>
      </c>
      <c r="W13" s="665">
        <f t="shared" si="2"/>
        <v>100</v>
      </c>
      <c r="X13" s="666"/>
      <c r="Y13" s="3349"/>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85"/>
      <c r="Q14" s="530">
        <f t="shared" si="6"/>
        <v>111</v>
      </c>
      <c r="R14" s="664" t="s">
        <v>18</v>
      </c>
      <c r="S14" s="665">
        <f t="shared" si="0"/>
        <v>100</v>
      </c>
      <c r="T14" s="664" t="s">
        <v>18</v>
      </c>
      <c r="U14" s="665">
        <f t="shared" si="1"/>
        <v>100</v>
      </c>
      <c r="V14" s="664" t="s">
        <v>18</v>
      </c>
      <c r="W14" s="665">
        <f t="shared" si="2"/>
        <v>100</v>
      </c>
      <c r="X14" s="666"/>
      <c r="Y14" s="3349"/>
      <c r="Z14" s="50">
        <f t="shared" si="7"/>
        <v>111</v>
      </c>
      <c r="AA14" s="50">
        <f t="shared" si="3"/>
        <v>1</v>
      </c>
      <c r="AB14" s="50">
        <f t="shared" si="4"/>
        <v>1</v>
      </c>
      <c r="AC14" s="50">
        <f t="shared" si="5"/>
        <v>1</v>
      </c>
    </row>
    <row r="15" spans="1:29" ht="41.25" customHeight="1">
      <c r="A15" s="379" t="s">
        <v>1690</v>
      </c>
      <c r="B15" s="58" t="s">
        <v>1257</v>
      </c>
      <c r="C15" s="1748" t="str">
        <f>估价对象房地状况!C3</f>
        <v>周边有三里河一区5号院、月坛西街乙2号院、月坛北小街小区等住宅小区，居住社区成熟度好。</v>
      </c>
      <c r="D15" s="380">
        <v>100</v>
      </c>
      <c r="E15" s="3156" t="str">
        <f>估价对象房地状况!C3</f>
        <v>周边有三里河一区5号院、月坛西街乙2号院、月坛北小街小区等住宅小区，居住社区成熟度好。</v>
      </c>
      <c r="F15" s="380">
        <f>SUMIF(76:76,E16,77:77)-SUMIF(76:76,C16,77:77)+100</f>
        <v>100</v>
      </c>
      <c r="G15" s="3164" t="s">
        <v>3732</v>
      </c>
      <c r="H15" s="380">
        <f>SUMIF(76:76,G16,77:77)-SUMIF(76:76,C16,77:77)+100</f>
        <v>100</v>
      </c>
      <c r="I15" s="3164" t="s">
        <v>3715</v>
      </c>
      <c r="J15" s="380">
        <f>SUMIF(76:76,I16,77:77)-SUMIF(76:76,C16,77:77)+100</f>
        <v>100</v>
      </c>
      <c r="K15" s="384"/>
      <c r="L15" s="2488"/>
      <c r="M15" s="2483"/>
      <c r="N15" s="2483"/>
      <c r="O15" s="2483"/>
      <c r="P15" s="3483" t="s">
        <v>1691</v>
      </c>
      <c r="Q15" s="1262" t="str">
        <f t="shared" si="6"/>
        <v>居住社区成熟度</v>
      </c>
      <c r="R15" s="667" t="s">
        <v>18</v>
      </c>
      <c r="S15" s="668">
        <f t="shared" si="0"/>
        <v>100</v>
      </c>
      <c r="T15" s="667" t="s">
        <v>18</v>
      </c>
      <c r="U15" s="668">
        <f t="shared" si="1"/>
        <v>100</v>
      </c>
      <c r="V15" s="667" t="s">
        <v>18</v>
      </c>
      <c r="W15" s="668">
        <f t="shared" si="2"/>
        <v>100</v>
      </c>
      <c r="X15" s="1264"/>
      <c r="Y15" s="3476" t="s">
        <v>1691</v>
      </c>
      <c r="Z15" s="1263" t="str">
        <f t="shared" si="7"/>
        <v>居住社区成熟度</v>
      </c>
      <c r="AA15" s="1263">
        <f t="shared" si="3"/>
        <v>1</v>
      </c>
      <c r="AB15" s="1263">
        <f t="shared" si="4"/>
        <v>1</v>
      </c>
      <c r="AC15" s="1263">
        <f t="shared" si="5"/>
        <v>1</v>
      </c>
    </row>
    <row r="16" spans="1:29" ht="15">
      <c r="A16" s="367"/>
      <c r="B16" s="385"/>
      <c r="C16" s="386" t="s">
        <v>3396</v>
      </c>
      <c r="D16" s="387"/>
      <c r="E16" s="386" t="s">
        <v>3396</v>
      </c>
      <c r="F16" s="387"/>
      <c r="G16" s="386" t="s">
        <v>3396</v>
      </c>
      <c r="H16" s="389"/>
      <c r="I16" s="386" t="s">
        <v>3396</v>
      </c>
      <c r="J16" s="387"/>
      <c r="K16" s="1751"/>
      <c r="L16" s="2488"/>
      <c r="M16" s="2483"/>
      <c r="N16" s="2483"/>
      <c r="O16" s="2483"/>
      <c r="P16" s="3484"/>
      <c r="Q16" s="1262"/>
      <c r="R16" s="667"/>
      <c r="S16" s="668"/>
      <c r="T16" s="667"/>
      <c r="U16" s="668"/>
      <c r="V16" s="667"/>
      <c r="W16" s="668"/>
      <c r="X16" s="1264"/>
      <c r="Y16" s="3477"/>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3" t="str">
        <f>C17</f>
        <v>周边有10路、13路、21路等多条公交线路及地铁1号线南礼士路站，综合评价交通便捷度较好</v>
      </c>
      <c r="F17" s="389">
        <f>SUMIF(78:78,E18,79:79)-SUMIF(78:78,C18,79:79)+100</f>
        <v>100</v>
      </c>
      <c r="G17" s="3173" t="s">
        <v>3756</v>
      </c>
      <c r="H17" s="394">
        <f>SUMIF(78:78,G18,79:79)-SUMIF(78:78,C18,79:79)+100</f>
        <v>97</v>
      </c>
      <c r="I17" s="3173" t="s">
        <v>3716</v>
      </c>
      <c r="J17" s="394">
        <f>SUMIF(78:78,I18,79:79)-SUMIF(78:78,C18,79:79)+100</f>
        <v>100</v>
      </c>
      <c r="K17" s="384">
        <v>3</v>
      </c>
      <c r="L17" s="2488"/>
      <c r="M17" s="2483"/>
      <c r="N17" s="2483"/>
      <c r="O17" s="2483"/>
      <c r="P17" s="3484"/>
      <c r="Q17" s="1262" t="str">
        <f>B17</f>
        <v>交通便捷度</v>
      </c>
      <c r="R17" s="667" t="s">
        <v>18</v>
      </c>
      <c r="S17" s="668">
        <f>F17</f>
        <v>100</v>
      </c>
      <c r="T17" s="667" t="s">
        <v>18</v>
      </c>
      <c r="U17" s="668">
        <f>H17</f>
        <v>97</v>
      </c>
      <c r="V17" s="667" t="s">
        <v>18</v>
      </c>
      <c r="W17" s="668">
        <f>J17</f>
        <v>100</v>
      </c>
      <c r="X17" s="1264"/>
      <c r="Y17" s="3477"/>
      <c r="Z17" s="1263" t="str">
        <f>Q17</f>
        <v>交通便捷度</v>
      </c>
      <c r="AA17" s="1263">
        <f t="shared" si="3"/>
        <v>1</v>
      </c>
      <c r="AB17" s="1263">
        <f t="shared" si="4"/>
        <v>1.0309278350515463</v>
      </c>
      <c r="AC17" s="1263">
        <f t="shared" si="5"/>
        <v>1</v>
      </c>
    </row>
    <row r="18" spans="1:29" ht="15">
      <c r="A18" s="367"/>
      <c r="B18" s="395"/>
      <c r="C18" s="1753" t="s">
        <v>3394</v>
      </c>
      <c r="D18" s="389"/>
      <c r="E18" s="386" t="s">
        <v>3394</v>
      </c>
      <c r="F18" s="389"/>
      <c r="G18" s="386" t="s">
        <v>3395</v>
      </c>
      <c r="H18" s="387"/>
      <c r="I18" s="386" t="s">
        <v>3394</v>
      </c>
      <c r="J18" s="387"/>
      <c r="K18" s="1751"/>
      <c r="L18" s="2488"/>
      <c r="M18" s="2483"/>
      <c r="N18" s="2483"/>
      <c r="O18" s="2483"/>
      <c r="P18" s="3484"/>
      <c r="Q18" s="1262"/>
      <c r="R18" s="667"/>
      <c r="S18" s="668"/>
      <c r="T18" s="667"/>
      <c r="U18" s="668"/>
      <c r="V18" s="667"/>
      <c r="W18" s="668"/>
      <c r="X18" s="1264"/>
      <c r="Y18" s="3477"/>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6"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5" t="s">
        <v>3757</v>
      </c>
      <c r="H19" s="389">
        <f>SUMIF(80:80,G20,81:81)-SUMIF(80:80,C20,81:81)+100</f>
        <v>98</v>
      </c>
      <c r="I19" s="3175" t="s">
        <v>3717</v>
      </c>
      <c r="J19" s="389">
        <f>SUMIF(80:80,I20,81:81)-SUMIF(80:80,C20,81:81)+100</f>
        <v>100</v>
      </c>
      <c r="K19" s="384">
        <v>2</v>
      </c>
      <c r="L19" s="2488"/>
      <c r="M19" s="2483"/>
      <c r="N19" s="2483"/>
      <c r="O19" s="2483"/>
      <c r="P19" s="3484"/>
      <c r="Q19" s="1262" t="str">
        <f>B19</f>
        <v>公共配套设施</v>
      </c>
      <c r="R19" s="667" t="s">
        <v>18</v>
      </c>
      <c r="S19" s="668">
        <f>F19</f>
        <v>100</v>
      </c>
      <c r="T19" s="667" t="s">
        <v>18</v>
      </c>
      <c r="U19" s="668">
        <f>H19</f>
        <v>98</v>
      </c>
      <c r="V19" s="667" t="s">
        <v>18</v>
      </c>
      <c r="W19" s="668">
        <f>J19</f>
        <v>100</v>
      </c>
      <c r="X19" s="1264"/>
      <c r="Y19" s="3477"/>
      <c r="Z19" s="1263" t="str">
        <f>Q19</f>
        <v>公共配套设施</v>
      </c>
      <c r="AA19" s="1263">
        <f t="shared" si="3"/>
        <v>1</v>
      </c>
      <c r="AB19" s="1263">
        <f t="shared" si="4"/>
        <v>1.0204081632653061</v>
      </c>
      <c r="AC19" s="1263">
        <f t="shared" si="5"/>
        <v>1</v>
      </c>
    </row>
    <row r="20" spans="1:29" ht="15">
      <c r="A20" s="367"/>
      <c r="B20" s="395"/>
      <c r="C20" s="386" t="s">
        <v>3396</v>
      </c>
      <c r="D20" s="387"/>
      <c r="E20" s="3165" t="s">
        <v>3396</v>
      </c>
      <c r="F20" s="387"/>
      <c r="G20" s="386" t="s">
        <v>3394</v>
      </c>
      <c r="H20" s="387"/>
      <c r="I20" s="386" t="s">
        <v>3396</v>
      </c>
      <c r="J20" s="387"/>
      <c r="K20" s="1751"/>
      <c r="L20" s="2488"/>
      <c r="M20" s="2483"/>
      <c r="N20" s="2483"/>
      <c r="O20" s="2483"/>
      <c r="P20" s="3484"/>
      <c r="Q20" s="1262"/>
      <c r="R20" s="667"/>
      <c r="S20" s="668"/>
      <c r="T20" s="667"/>
      <c r="U20" s="668"/>
      <c r="V20" s="667"/>
      <c r="W20" s="668"/>
      <c r="X20" s="1264"/>
      <c r="Y20" s="3477"/>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D21/F21</f>
        <v>1</v>
      </c>
      <c r="AB21" s="1263">
        <f>D21/H21</f>
        <v>1</v>
      </c>
      <c r="AC21" s="1263">
        <f>D21/J21</f>
        <v>1</v>
      </c>
    </row>
    <row r="22" spans="1:29" ht="15">
      <c r="A22" s="367"/>
      <c r="B22" s="586"/>
      <c r="C22" s="1753" t="s">
        <v>3400</v>
      </c>
      <c r="D22" s="387"/>
      <c r="E22" s="3166" t="s">
        <v>3400</v>
      </c>
      <c r="F22" s="387"/>
      <c r="G22" s="1753" t="s">
        <v>3400</v>
      </c>
      <c r="H22" s="387"/>
      <c r="I22" s="1753" t="s">
        <v>3400</v>
      </c>
      <c r="J22" s="387"/>
      <c r="K22" s="1757"/>
      <c r="L22" s="2488"/>
      <c r="M22" s="2483"/>
      <c r="N22" s="2483"/>
      <c r="O22" s="2483"/>
      <c r="P22" s="3484"/>
      <c r="Q22" s="1262"/>
      <c r="R22" s="667"/>
      <c r="S22" s="668"/>
      <c r="T22" s="667"/>
      <c r="U22" s="668"/>
      <c r="V22" s="667"/>
      <c r="W22" s="668"/>
      <c r="X22" s="1264"/>
      <c r="Y22" s="3477"/>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3" t="str">
        <f>C23</f>
        <v>自然环境：月坛公园等自然水系景观；
人文环境：二七剧场等人文场所；
综合评价环境状况较好。</v>
      </c>
      <c r="F23" s="389">
        <f>SUMIF(84:84,E24,85:85)-SUMIF(84:84,C24,85:85)+100</f>
        <v>100</v>
      </c>
      <c r="G23" s="3174" t="s">
        <v>3759</v>
      </c>
      <c r="H23" s="389">
        <f>SUMIF(84:84,G24,85:85)-SUMIF(84:84,C24,85:85)+100</f>
        <v>100</v>
      </c>
      <c r="I23" s="3174" t="s">
        <v>3758</v>
      </c>
      <c r="J23" s="389">
        <f>SUMIF(84:84,I24,85:85)-SUMIF(84:84,C24,85:85)+100</f>
        <v>100</v>
      </c>
      <c r="K23" s="384"/>
      <c r="L23" s="2488"/>
      <c r="M23" s="2483"/>
      <c r="N23" s="2483"/>
      <c r="O23" s="2483"/>
      <c r="P23" s="3484"/>
      <c r="Q23" s="1262" t="str">
        <f>B23</f>
        <v>自然及人文环境</v>
      </c>
      <c r="R23" s="667" t="s">
        <v>18</v>
      </c>
      <c r="S23" s="668">
        <f>F23</f>
        <v>100</v>
      </c>
      <c r="T23" s="667" t="s">
        <v>18</v>
      </c>
      <c r="U23" s="668">
        <f>H23</f>
        <v>100</v>
      </c>
      <c r="V23" s="667" t="s">
        <v>18</v>
      </c>
      <c r="W23" s="668">
        <f>J23</f>
        <v>100</v>
      </c>
      <c r="X23" s="1264"/>
      <c r="Y23" s="3477"/>
      <c r="Z23" s="1263" t="str">
        <f>Q23</f>
        <v>自然及人文环境</v>
      </c>
      <c r="AA23" s="1263">
        <f>D23/F23</f>
        <v>1</v>
      </c>
      <c r="AB23" s="1263">
        <f>D23/H23</f>
        <v>1</v>
      </c>
      <c r="AC23" s="1263">
        <f>D23/J23</f>
        <v>1</v>
      </c>
    </row>
    <row r="24" spans="1:29" ht="15">
      <c r="A24" s="367"/>
      <c r="B24" s="395"/>
      <c r="C24" s="386" t="s">
        <v>3394</v>
      </c>
      <c r="D24" s="387"/>
      <c r="E24" s="386" t="s">
        <v>3394</v>
      </c>
      <c r="F24" s="387"/>
      <c r="G24" s="386" t="s">
        <v>3394</v>
      </c>
      <c r="H24" s="387"/>
      <c r="I24" s="386" t="s">
        <v>3394</v>
      </c>
      <c r="J24" s="387"/>
      <c r="K24" s="1751"/>
      <c r="L24" s="2488"/>
      <c r="M24" s="2483"/>
      <c r="N24" s="2483"/>
      <c r="O24" s="2483"/>
      <c r="P24" s="3484"/>
      <c r="Q24" s="1262"/>
      <c r="R24" s="667"/>
      <c r="S24" s="668"/>
      <c r="T24" s="667"/>
      <c r="U24" s="668"/>
      <c r="V24" s="667"/>
      <c r="W24" s="668"/>
      <c r="X24" s="1264"/>
      <c r="Y24" s="3477"/>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84"/>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477"/>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3664</v>
      </c>
      <c r="D26" s="374">
        <v>100</v>
      </c>
      <c r="E26" s="1758" t="s">
        <v>3664</v>
      </c>
      <c r="F26" s="374">
        <f>SUMIF(88:88,E26,89:89)-SUMIF(88:88,C26,89:89)+100</f>
        <v>100</v>
      </c>
      <c r="G26" s="1759" t="s">
        <v>3664</v>
      </c>
      <c r="H26" s="374">
        <f>SUMIF(88:88,G26,89:89)-SUMIF(88:88,C26,89:89)+100</f>
        <v>100</v>
      </c>
      <c r="I26" s="1759" t="s">
        <v>3664</v>
      </c>
      <c r="J26" s="374">
        <f>SUMIF(88:88,I26,89:89)-SUMIF(88:88,C26,89:89)+100</f>
        <v>100</v>
      </c>
      <c r="K26" s="365">
        <v>0.5</v>
      </c>
      <c r="L26" s="2488"/>
      <c r="M26" s="2483"/>
      <c r="N26" s="2483"/>
      <c r="O26" s="2483"/>
      <c r="P26" s="3484"/>
      <c r="Q26" s="1262" t="str">
        <f t="shared" si="8"/>
        <v>朝向</v>
      </c>
      <c r="R26" s="667" t="s">
        <v>18</v>
      </c>
      <c r="S26" s="668">
        <f t="shared" si="9"/>
        <v>100</v>
      </c>
      <c r="T26" s="667" t="s">
        <v>18</v>
      </c>
      <c r="U26" s="668">
        <f t="shared" si="10"/>
        <v>100</v>
      </c>
      <c r="V26" s="667" t="s">
        <v>18</v>
      </c>
      <c r="W26" s="668">
        <f t="shared" si="11"/>
        <v>100</v>
      </c>
      <c r="X26" s="1264"/>
      <c r="Y26" s="3477"/>
      <c r="Z26" s="1263" t="str">
        <f>Q26</f>
        <v>朝向</v>
      </c>
      <c r="AA26" s="1263">
        <f t="shared" si="12"/>
        <v>1</v>
      </c>
      <c r="AB26" s="1263">
        <f t="shared" si="13"/>
        <v>1</v>
      </c>
      <c r="AC26" s="1263">
        <f t="shared" si="14"/>
        <v>1</v>
      </c>
    </row>
    <row r="27" spans="1:29" s="102" customFormat="1" ht="15">
      <c r="A27" s="370"/>
      <c r="B27" s="3143" t="s">
        <v>3380</v>
      </c>
      <c r="C27" s="3177" t="s">
        <v>3445</v>
      </c>
      <c r="D27" s="401">
        <v>100</v>
      </c>
      <c r="E27" s="3177" t="s">
        <v>3665</v>
      </c>
      <c r="F27" s="401">
        <f>SUMIF(90:90,E27,91:91)-SUMIF(90:90,C27,91:91)+100</f>
        <v>101</v>
      </c>
      <c r="G27" s="3177" t="s">
        <v>3760</v>
      </c>
      <c r="H27" s="401">
        <f>SUMIF(90:90,G27,91:91)-SUMIF(90:90,C27,91:91)+100</f>
        <v>101</v>
      </c>
      <c r="I27" s="3177" t="s">
        <v>3718</v>
      </c>
      <c r="J27" s="401">
        <f>SUMIF(90:90,I27,91:91)-SUMIF(90:90,C27,91:91)+100</f>
        <v>99</v>
      </c>
      <c r="K27" s="1746"/>
      <c r="L27" s="2484"/>
      <c r="M27" s="2435"/>
      <c r="N27" s="2435"/>
      <c r="O27" s="2435"/>
      <c r="P27" s="3484"/>
      <c r="Q27" s="530" t="str">
        <f t="shared" si="8"/>
        <v>楼层</v>
      </c>
      <c r="R27" s="664" t="s">
        <v>18</v>
      </c>
      <c r="S27" s="665">
        <f t="shared" si="9"/>
        <v>101</v>
      </c>
      <c r="T27" s="664" t="s">
        <v>18</v>
      </c>
      <c r="U27" s="665">
        <f t="shared" si="10"/>
        <v>101</v>
      </c>
      <c r="V27" s="664" t="s">
        <v>18</v>
      </c>
      <c r="W27" s="665">
        <f t="shared" si="11"/>
        <v>99</v>
      </c>
      <c r="X27" s="666"/>
      <c r="Y27" s="3477"/>
      <c r="Z27" s="50" t="str">
        <f>Q27</f>
        <v>楼层</v>
      </c>
      <c r="AA27" s="1263">
        <f t="shared" si="12"/>
        <v>0.99009900990099009</v>
      </c>
      <c r="AB27" s="1263">
        <f t="shared" si="13"/>
        <v>0.99009900990099009</v>
      </c>
      <c r="AC27" s="1263">
        <f t="shared" si="14"/>
        <v>1.0101010101010102</v>
      </c>
    </row>
    <row r="28" spans="1:29" ht="15" hidden="1">
      <c r="A28" s="367"/>
      <c r="B28" s="3143" t="s">
        <v>3427</v>
      </c>
      <c r="C28" s="3145" t="s">
        <v>3430</v>
      </c>
      <c r="D28" s="374">
        <v>100</v>
      </c>
      <c r="E28" s="3145" t="s">
        <v>3430</v>
      </c>
      <c r="F28" s="374">
        <f>SUMIF(92:92,E28,93:93)-SUMIF(92:92,C28,93:93)+100</f>
        <v>100</v>
      </c>
      <c r="G28" s="3145" t="s">
        <v>3430</v>
      </c>
      <c r="H28" s="374">
        <f>SUMIF(92:92,G28,93:93)-SUMIF(92:92,C28,93:93)+100</f>
        <v>100</v>
      </c>
      <c r="I28" s="3145" t="s">
        <v>3430</v>
      </c>
      <c r="J28" s="374">
        <f>SUMIF(92:92,I28,93:93)-SUMIF(92:92,C28,93:93)+100</f>
        <v>100</v>
      </c>
      <c r="K28" s="1746"/>
      <c r="L28" s="2488"/>
      <c r="M28" s="2483"/>
      <c r="N28" s="2483"/>
      <c r="O28" s="2483"/>
      <c r="P28" s="3484"/>
      <c r="Q28" s="1262" t="str">
        <f t="shared" si="8"/>
        <v>道路级别</v>
      </c>
      <c r="R28" s="667" t="s">
        <v>18</v>
      </c>
      <c r="S28" s="668">
        <f t="shared" si="9"/>
        <v>100</v>
      </c>
      <c r="T28" s="667" t="s">
        <v>18</v>
      </c>
      <c r="U28" s="668">
        <f t="shared" si="10"/>
        <v>100</v>
      </c>
      <c r="V28" s="667" t="s">
        <v>18</v>
      </c>
      <c r="W28" s="668">
        <f t="shared" si="11"/>
        <v>100</v>
      </c>
      <c r="X28" s="1264"/>
      <c r="Y28" s="3477"/>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84"/>
      <c r="Q29" s="1262">
        <f t="shared" si="8"/>
        <v>111</v>
      </c>
      <c r="R29" s="667" t="s">
        <v>18</v>
      </c>
      <c r="S29" s="668">
        <f t="shared" si="9"/>
        <v>100</v>
      </c>
      <c r="T29" s="667" t="s">
        <v>18</v>
      </c>
      <c r="U29" s="668">
        <f t="shared" si="10"/>
        <v>100</v>
      </c>
      <c r="V29" s="667" t="s">
        <v>18</v>
      </c>
      <c r="W29" s="668">
        <f t="shared" si="11"/>
        <v>100</v>
      </c>
      <c r="X29" s="1264"/>
      <c r="Y29" s="3477"/>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84"/>
      <c r="Q30" s="1262">
        <f t="shared" si="8"/>
        <v>111</v>
      </c>
      <c r="R30" s="667" t="s">
        <v>18</v>
      </c>
      <c r="S30" s="668">
        <f t="shared" si="9"/>
        <v>100</v>
      </c>
      <c r="T30" s="667" t="s">
        <v>18</v>
      </c>
      <c r="U30" s="668">
        <f t="shared" si="10"/>
        <v>100</v>
      </c>
      <c r="V30" s="667" t="s">
        <v>18</v>
      </c>
      <c r="W30" s="668">
        <f t="shared" si="11"/>
        <v>100</v>
      </c>
      <c r="X30" s="1264"/>
      <c r="Y30" s="3477"/>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84"/>
      <c r="Q31" s="1262">
        <f t="shared" si="8"/>
        <v>111</v>
      </c>
      <c r="R31" s="667" t="s">
        <v>18</v>
      </c>
      <c r="S31" s="668">
        <f t="shared" si="9"/>
        <v>100</v>
      </c>
      <c r="T31" s="667" t="s">
        <v>18</v>
      </c>
      <c r="U31" s="668">
        <f t="shared" si="10"/>
        <v>100</v>
      </c>
      <c r="V31" s="667" t="s">
        <v>18</v>
      </c>
      <c r="W31" s="668">
        <f t="shared" si="11"/>
        <v>100</v>
      </c>
      <c r="X31" s="1264"/>
      <c r="Y31" s="3477"/>
      <c r="Z31" s="1263">
        <f t="shared" si="15"/>
        <v>111</v>
      </c>
      <c r="AA31" s="1263">
        <f t="shared" si="12"/>
        <v>1</v>
      </c>
      <c r="AB31" s="1263">
        <f t="shared" si="13"/>
        <v>1</v>
      </c>
      <c r="AC31" s="1263">
        <f t="shared" si="14"/>
        <v>1</v>
      </c>
    </row>
    <row r="32" spans="1:29" ht="15">
      <c r="A32" s="379" t="s">
        <v>1694</v>
      </c>
      <c r="B32" s="364" t="s">
        <v>1695</v>
      </c>
      <c r="C32" s="3172" t="s">
        <v>3440</v>
      </c>
      <c r="D32" s="405">
        <v>100</v>
      </c>
      <c r="E32" s="3172" t="s">
        <v>3666</v>
      </c>
      <c r="F32" s="400">
        <f>SUMIF(100:100,E32,101:101)-SUMIF(100:100,C32,101:101)+100</f>
        <v>98</v>
      </c>
      <c r="G32" s="1762" t="s">
        <v>3666</v>
      </c>
      <c r="H32" s="405">
        <f>SUMIF(100:100,G32,101:101)-SUMIF(100:100,C32,101:101)+100</f>
        <v>98</v>
      </c>
      <c r="I32" s="1762" t="s">
        <v>3719</v>
      </c>
      <c r="J32" s="374">
        <f>SUMIF(100:100,I32,101:101)-SUMIF(100:100,C32,101:101)+100</f>
        <v>100</v>
      </c>
      <c r="K32" s="365">
        <v>1</v>
      </c>
      <c r="L32" s="2488"/>
      <c r="M32" s="2483"/>
      <c r="N32" s="2483"/>
      <c r="O32" s="2483"/>
      <c r="P32" s="3478" t="s">
        <v>1696</v>
      </c>
      <c r="Q32" s="1262" t="str">
        <f t="shared" si="8"/>
        <v>建筑类型</v>
      </c>
      <c r="R32" s="667" t="s">
        <v>18</v>
      </c>
      <c r="S32" s="668">
        <f t="shared" si="9"/>
        <v>98</v>
      </c>
      <c r="T32" s="667" t="s">
        <v>18</v>
      </c>
      <c r="U32" s="668">
        <f t="shared" si="10"/>
        <v>98</v>
      </c>
      <c r="V32" s="667" t="s">
        <v>18</v>
      </c>
      <c r="W32" s="668">
        <f t="shared" si="11"/>
        <v>100</v>
      </c>
      <c r="X32" s="1264"/>
      <c r="Y32" s="3481" t="s">
        <v>1696</v>
      </c>
      <c r="Z32" s="1263" t="str">
        <f t="shared" si="15"/>
        <v>建筑类型</v>
      </c>
      <c r="AA32" s="1263">
        <f t="shared" si="12"/>
        <v>1.0204081632653061</v>
      </c>
      <c r="AB32" s="1263">
        <f t="shared" si="13"/>
        <v>1.0204081632653061</v>
      </c>
      <c r="AC32" s="1263">
        <f t="shared" si="14"/>
        <v>1</v>
      </c>
    </row>
    <row r="33" spans="1:29" s="408" customFormat="1" ht="15">
      <c r="A33" s="406"/>
      <c r="B33" s="364" t="s">
        <v>1697</v>
      </c>
      <c r="C33" s="3129">
        <f>'数据-取费表'!K6</f>
        <v>69.099999999999994</v>
      </c>
      <c r="D33" s="119">
        <v>100</v>
      </c>
      <c r="E33" s="3129">
        <f>案例!L3</f>
        <v>95.56</v>
      </c>
      <c r="F33" s="3169">
        <f>E104</f>
        <v>104</v>
      </c>
      <c r="G33" s="3129">
        <f>案例!L4</f>
        <v>162.80000000000001</v>
      </c>
      <c r="H33" s="119">
        <f>G104</f>
        <v>112</v>
      </c>
      <c r="I33" s="3129">
        <f>案例!L5</f>
        <v>112.26</v>
      </c>
      <c r="J33" s="3170">
        <f>E104</f>
        <v>104</v>
      </c>
      <c r="K33" s="1746"/>
      <c r="L33" s="2487"/>
      <c r="M33" s="2489"/>
      <c r="N33" s="2489"/>
      <c r="O33" s="2489"/>
      <c r="P33" s="3479"/>
      <c r="Q33" s="531" t="str">
        <f t="shared" si="8"/>
        <v>项目建筑规模</v>
      </c>
      <c r="R33" s="669" t="s">
        <v>18</v>
      </c>
      <c r="S33" s="670">
        <f t="shared" si="9"/>
        <v>104</v>
      </c>
      <c r="T33" s="669" t="s">
        <v>18</v>
      </c>
      <c r="U33" s="670">
        <f t="shared" si="10"/>
        <v>112</v>
      </c>
      <c r="V33" s="669" t="s">
        <v>18</v>
      </c>
      <c r="W33" s="670">
        <f t="shared" si="11"/>
        <v>104</v>
      </c>
      <c r="X33" s="671"/>
      <c r="Y33" s="3481"/>
      <c r="Z33" s="672" t="str">
        <f t="shared" si="15"/>
        <v>项目建筑规模</v>
      </c>
      <c r="AA33" s="1263">
        <f t="shared" si="12"/>
        <v>0.96153846153846156</v>
      </c>
      <c r="AB33" s="1263">
        <f t="shared" si="13"/>
        <v>0.8928571428571429</v>
      </c>
      <c r="AC33" s="1263">
        <f t="shared" si="14"/>
        <v>0.96153846153846156</v>
      </c>
    </row>
    <row r="34" spans="1:29" ht="15">
      <c r="A34" s="409"/>
      <c r="B34" s="364" t="s">
        <v>1698</v>
      </c>
      <c r="C34" s="399" t="s">
        <v>3433</v>
      </c>
      <c r="D34" s="374">
        <v>100</v>
      </c>
      <c r="E34" s="399" t="s">
        <v>3384</v>
      </c>
      <c r="F34" s="400">
        <f>SUMIF(105:105,E34,106:106)-SUMIF(105:105,C34,106:106)+100</f>
        <v>100.5</v>
      </c>
      <c r="G34" s="399" t="s">
        <v>3384</v>
      </c>
      <c r="H34" s="374">
        <f>SUMIF(105:105,G34,106:106)-SUMIF(105:105,C34,106:106)+100</f>
        <v>100.5</v>
      </c>
      <c r="I34" s="399" t="s">
        <v>3433</v>
      </c>
      <c r="J34" s="374">
        <f>SUMIF(105:105,I34,106:106)-SUMIF(105:105,C34,106:106)+100</f>
        <v>100</v>
      </c>
      <c r="K34" s="365">
        <v>0.5</v>
      </c>
      <c r="L34" s="2488"/>
      <c r="M34" s="2483"/>
      <c r="N34" s="2483"/>
      <c r="O34" s="2483"/>
      <c r="P34" s="3479"/>
      <c r="Q34" s="1262" t="str">
        <f t="shared" si="8"/>
        <v>建筑结构</v>
      </c>
      <c r="R34" s="667" t="s">
        <v>18</v>
      </c>
      <c r="S34" s="668">
        <f t="shared" si="9"/>
        <v>100.5</v>
      </c>
      <c r="T34" s="667" t="s">
        <v>18</v>
      </c>
      <c r="U34" s="668">
        <f t="shared" si="10"/>
        <v>100.5</v>
      </c>
      <c r="V34" s="667" t="s">
        <v>18</v>
      </c>
      <c r="W34" s="668">
        <f t="shared" si="11"/>
        <v>100</v>
      </c>
      <c r="X34" s="1264"/>
      <c r="Y34" s="3481"/>
      <c r="Z34" s="1263" t="str">
        <f t="shared" si="15"/>
        <v>建筑结构</v>
      </c>
      <c r="AA34" s="1263">
        <f t="shared" si="12"/>
        <v>0.99502487562189057</v>
      </c>
      <c r="AB34" s="1263">
        <f t="shared" si="13"/>
        <v>0.99502487562189057</v>
      </c>
      <c r="AC34" s="1263">
        <f t="shared" si="14"/>
        <v>1</v>
      </c>
    </row>
    <row r="35" spans="1:29" ht="15" hidden="1">
      <c r="A35" s="409"/>
      <c r="B35" s="364" t="s">
        <v>3439</v>
      </c>
      <c r="C35" s="1758" t="s">
        <v>3394</v>
      </c>
      <c r="D35" s="374">
        <v>100</v>
      </c>
      <c r="E35" s="1758" t="s">
        <v>3394</v>
      </c>
      <c r="F35" s="400">
        <f>SUMIF(107:107,E35,108:108)-SUMIF(107:107,C35,108:108)+100</f>
        <v>100</v>
      </c>
      <c r="G35" s="1758" t="s">
        <v>3394</v>
      </c>
      <c r="H35" s="374">
        <f>SUMIF(107:107,G35,108:108)-SUMIF(107:107,C35,108:108)+100</f>
        <v>100</v>
      </c>
      <c r="I35" s="1758" t="s">
        <v>3394</v>
      </c>
      <c r="J35" s="374">
        <f>SUMIF(107:107,I35,108:108)-SUMIF(107:107,C35,108:108)+100</f>
        <v>100</v>
      </c>
      <c r="K35" s="365">
        <v>3</v>
      </c>
      <c r="L35" s="2488"/>
      <c r="M35" s="2483"/>
      <c r="N35" s="2483"/>
      <c r="O35" s="2483"/>
      <c r="P35" s="3479"/>
      <c r="Q35" s="1262" t="str">
        <f t="shared" si="8"/>
        <v>噪音污染</v>
      </c>
      <c r="R35" s="667" t="s">
        <v>18</v>
      </c>
      <c r="S35" s="668">
        <f t="shared" si="9"/>
        <v>100</v>
      </c>
      <c r="T35" s="667" t="s">
        <v>18</v>
      </c>
      <c r="U35" s="668">
        <f t="shared" si="10"/>
        <v>100</v>
      </c>
      <c r="V35" s="667" t="s">
        <v>18</v>
      </c>
      <c r="W35" s="668">
        <f t="shared" si="11"/>
        <v>100</v>
      </c>
      <c r="X35" s="1264"/>
      <c r="Y35" s="3481"/>
      <c r="Z35" s="1263" t="str">
        <f t="shared" si="15"/>
        <v>噪音污染</v>
      </c>
      <c r="AA35" s="1263">
        <f t="shared" si="12"/>
        <v>1</v>
      </c>
      <c r="AB35" s="1263">
        <f t="shared" si="13"/>
        <v>1</v>
      </c>
      <c r="AC35" s="1263">
        <f t="shared" si="14"/>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479"/>
      <c r="Q36" s="1262" t="str">
        <f t="shared" si="8"/>
        <v>公共部分装修</v>
      </c>
      <c r="R36" s="667" t="s">
        <v>18</v>
      </c>
      <c r="S36" s="668">
        <f t="shared" si="9"/>
        <v>100</v>
      </c>
      <c r="T36" s="667" t="s">
        <v>18</v>
      </c>
      <c r="U36" s="668">
        <f t="shared" si="10"/>
        <v>100</v>
      </c>
      <c r="V36" s="667" t="s">
        <v>18</v>
      </c>
      <c r="W36" s="668">
        <f t="shared" si="11"/>
        <v>100</v>
      </c>
      <c r="X36" s="1264"/>
      <c r="Y36" s="3481"/>
      <c r="Z36" s="1263" t="str">
        <f t="shared" si="15"/>
        <v>公共部分装修</v>
      </c>
      <c r="AA36" s="1263">
        <f t="shared" si="12"/>
        <v>1</v>
      </c>
      <c r="AB36" s="1263">
        <f t="shared" si="13"/>
        <v>1</v>
      </c>
      <c r="AC36" s="1263">
        <f t="shared" si="14"/>
        <v>1</v>
      </c>
    </row>
    <row r="37" spans="1:29" s="102" customFormat="1" ht="15">
      <c r="A37" s="410"/>
      <c r="B37" s="3178" t="s">
        <v>3447</v>
      </c>
      <c r="C37" s="3179">
        <v>1954</v>
      </c>
      <c r="D37" s="119">
        <v>100</v>
      </c>
      <c r="E37" s="3179">
        <v>2000</v>
      </c>
      <c r="F37" s="364">
        <f>H127</f>
        <v>105</v>
      </c>
      <c r="G37" s="3179">
        <v>1999</v>
      </c>
      <c r="H37" s="119">
        <f>G127</f>
        <v>104</v>
      </c>
      <c r="I37" s="3179">
        <v>1989</v>
      </c>
      <c r="J37" s="119">
        <f>F127</f>
        <v>103</v>
      </c>
      <c r="K37" s="365">
        <v>1</v>
      </c>
      <c r="L37" s="2484"/>
      <c r="M37" s="2435"/>
      <c r="N37" s="2435"/>
      <c r="O37" s="2435"/>
      <c r="P37" s="3479"/>
      <c r="Q37" s="530" t="str">
        <f t="shared" si="8"/>
        <v>建成年代</v>
      </c>
      <c r="R37" s="664" t="s">
        <v>18</v>
      </c>
      <c r="S37" s="665">
        <f t="shared" si="9"/>
        <v>105</v>
      </c>
      <c r="T37" s="664" t="s">
        <v>18</v>
      </c>
      <c r="U37" s="665">
        <f t="shared" si="10"/>
        <v>104</v>
      </c>
      <c r="V37" s="664" t="s">
        <v>18</v>
      </c>
      <c r="W37" s="665">
        <f t="shared" si="11"/>
        <v>103</v>
      </c>
      <c r="X37" s="666"/>
      <c r="Y37" s="3481"/>
      <c r="Z37" s="50" t="str">
        <f t="shared" si="15"/>
        <v>建成年代</v>
      </c>
      <c r="AA37" s="50">
        <f t="shared" si="12"/>
        <v>0.95238095238095233</v>
      </c>
      <c r="AB37" s="50">
        <f t="shared" si="13"/>
        <v>0.96153846153846156</v>
      </c>
      <c r="AC37" s="50">
        <f t="shared" si="14"/>
        <v>0.970873786407767</v>
      </c>
    </row>
    <row r="38" spans="1:29" ht="15">
      <c r="A38" s="409"/>
      <c r="B38" s="364" t="s">
        <v>1700</v>
      </c>
      <c r="C38" s="1758" t="s">
        <v>3446</v>
      </c>
      <c r="D38" s="374">
        <v>100</v>
      </c>
      <c r="E38" s="1758" t="s">
        <v>3446</v>
      </c>
      <c r="F38" s="400">
        <f>SUMIF(114:114,E38,115:115)-SUMIF(114:114,C38,115:115)+100</f>
        <v>100</v>
      </c>
      <c r="G38" s="1758" t="s">
        <v>3446</v>
      </c>
      <c r="H38" s="374">
        <f>SUMIF(114:114,G38,115:115)-SUMIF(114:114,C38,115:115)+100</f>
        <v>100</v>
      </c>
      <c r="I38" s="1758" t="s">
        <v>3446</v>
      </c>
      <c r="J38" s="374">
        <f>SUMIF(114:114,I38,115:115)-SUMIF(114:114,C38,115:115)+100</f>
        <v>100</v>
      </c>
      <c r="K38" s="365">
        <v>1</v>
      </c>
      <c r="L38" s="2488"/>
      <c r="M38" s="2483"/>
      <c r="N38" s="2483"/>
      <c r="O38" s="2483"/>
      <c r="P38" s="3479" t="s">
        <v>1696</v>
      </c>
      <c r="Q38" s="1262" t="str">
        <f t="shared" si="8"/>
        <v>物业管理</v>
      </c>
      <c r="R38" s="667" t="s">
        <v>18</v>
      </c>
      <c r="S38" s="668">
        <f t="shared" si="9"/>
        <v>100</v>
      </c>
      <c r="T38" s="667" t="s">
        <v>18</v>
      </c>
      <c r="U38" s="668">
        <f t="shared" si="10"/>
        <v>100</v>
      </c>
      <c r="V38" s="667" t="s">
        <v>18</v>
      </c>
      <c r="W38" s="668">
        <f t="shared" si="11"/>
        <v>100</v>
      </c>
      <c r="X38" s="1264"/>
      <c r="Y38" s="3481" t="s">
        <v>1696</v>
      </c>
      <c r="Z38" s="1263" t="str">
        <f t="shared" si="15"/>
        <v>物业管理</v>
      </c>
      <c r="AA38" s="1263">
        <f t="shared" si="12"/>
        <v>1</v>
      </c>
      <c r="AB38" s="1263">
        <f t="shared" si="13"/>
        <v>1</v>
      </c>
      <c r="AC38" s="1263">
        <f t="shared" si="14"/>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479"/>
      <c r="Q39" s="1262" t="str">
        <f t="shared" si="8"/>
        <v>市政基础设施</v>
      </c>
      <c r="R39" s="667" t="s">
        <v>18</v>
      </c>
      <c r="S39" s="668">
        <f t="shared" si="9"/>
        <v>100</v>
      </c>
      <c r="T39" s="667" t="s">
        <v>18</v>
      </c>
      <c r="U39" s="668">
        <f t="shared" si="10"/>
        <v>100</v>
      </c>
      <c r="V39" s="667" t="s">
        <v>18</v>
      </c>
      <c r="W39" s="668">
        <f t="shared" si="11"/>
        <v>100</v>
      </c>
      <c r="X39" s="1264"/>
      <c r="Y39" s="3481"/>
      <c r="Z39" s="1263" t="str">
        <f t="shared" si="15"/>
        <v>市政基础设施</v>
      </c>
      <c r="AA39" s="1263">
        <f t="shared" si="12"/>
        <v>1</v>
      </c>
      <c r="AB39" s="1263">
        <f t="shared" si="13"/>
        <v>1</v>
      </c>
      <c r="AC39" s="1263">
        <f t="shared" si="14"/>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479"/>
      <c r="Q40" s="1262" t="str">
        <f t="shared" si="8"/>
        <v>房型</v>
      </c>
      <c r="R40" s="667" t="s">
        <v>18</v>
      </c>
      <c r="S40" s="668">
        <f t="shared" si="9"/>
        <v>100</v>
      </c>
      <c r="T40" s="667" t="s">
        <v>18</v>
      </c>
      <c r="U40" s="668">
        <f t="shared" si="10"/>
        <v>100</v>
      </c>
      <c r="V40" s="667" t="s">
        <v>18</v>
      </c>
      <c r="W40" s="668">
        <f t="shared" si="11"/>
        <v>100</v>
      </c>
      <c r="X40" s="1264"/>
      <c r="Y40" s="3481"/>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79"/>
      <c r="Q41" s="531" t="str">
        <f t="shared" si="8"/>
        <v>单套/主力户型建筑面积</v>
      </c>
      <c r="R41" s="669" t="s">
        <v>18</v>
      </c>
      <c r="S41" s="670">
        <f t="shared" si="9"/>
        <v>100</v>
      </c>
      <c r="T41" s="669" t="s">
        <v>18</v>
      </c>
      <c r="U41" s="670">
        <f t="shared" si="10"/>
        <v>100</v>
      </c>
      <c r="V41" s="669" t="s">
        <v>18</v>
      </c>
      <c r="W41" s="670">
        <f t="shared" si="11"/>
        <v>100</v>
      </c>
      <c r="X41" s="671"/>
      <c r="Y41" s="3481"/>
      <c r="Z41" s="672" t="str">
        <f t="shared" si="15"/>
        <v>单套/主力户型建筑面积</v>
      </c>
      <c r="AA41" s="1263">
        <f t="shared" si="12"/>
        <v>1</v>
      </c>
      <c r="AB41" s="1263">
        <f t="shared" si="13"/>
        <v>1</v>
      </c>
      <c r="AC41" s="1263">
        <f t="shared" si="14"/>
        <v>1</v>
      </c>
    </row>
    <row r="42" spans="1:29" ht="15">
      <c r="A42" s="409"/>
      <c r="B42" s="364" t="s">
        <v>1704</v>
      </c>
      <c r="C42" s="1758" t="s">
        <v>3448</v>
      </c>
      <c r="D42" s="374">
        <v>100</v>
      </c>
      <c r="E42" s="1758" t="s">
        <v>3667</v>
      </c>
      <c r="F42" s="400">
        <f>SUMIF(122:122,E42,123:123)-SUMIF(122:122,C42,123:123)+100</f>
        <v>99</v>
      </c>
      <c r="G42" s="1758" t="s">
        <v>3667</v>
      </c>
      <c r="H42" s="374">
        <f>SUMIF(122:122,G42,123:123)-SUMIF(122:122,C42,123:123)+100</f>
        <v>99</v>
      </c>
      <c r="I42" s="1758" t="s">
        <v>3667</v>
      </c>
      <c r="J42" s="374">
        <f>SUMIF(122:122,I42,123:123)-SUMIF(122:122,C42,123:123)+100</f>
        <v>99</v>
      </c>
      <c r="K42" s="365">
        <v>1</v>
      </c>
      <c r="L42" s="2488"/>
      <c r="M42" s="2483"/>
      <c r="N42" s="2483"/>
      <c r="O42" s="2483"/>
      <c r="P42" s="3479"/>
      <c r="Q42" s="1262" t="str">
        <f t="shared" si="8"/>
        <v>内部装修</v>
      </c>
      <c r="R42" s="667" t="s">
        <v>18</v>
      </c>
      <c r="S42" s="668">
        <f t="shared" si="9"/>
        <v>99</v>
      </c>
      <c r="T42" s="667" t="s">
        <v>18</v>
      </c>
      <c r="U42" s="668">
        <f t="shared" si="10"/>
        <v>99</v>
      </c>
      <c r="V42" s="667" t="s">
        <v>18</v>
      </c>
      <c r="W42" s="668">
        <f t="shared" si="11"/>
        <v>99</v>
      </c>
      <c r="X42" s="1264"/>
      <c r="Y42" s="3481"/>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479"/>
      <c r="Q43" s="1262" t="str">
        <f t="shared" si="8"/>
        <v>内部装修维护情况</v>
      </c>
      <c r="R43" s="667" t="s">
        <v>18</v>
      </c>
      <c r="S43" s="668">
        <f t="shared" si="9"/>
        <v>100</v>
      </c>
      <c r="T43" s="667" t="s">
        <v>18</v>
      </c>
      <c r="U43" s="668">
        <f t="shared" si="10"/>
        <v>100</v>
      </c>
      <c r="V43" s="667" t="s">
        <v>18</v>
      </c>
      <c r="W43" s="668">
        <f t="shared" si="11"/>
        <v>100</v>
      </c>
      <c r="X43" s="1264"/>
      <c r="Y43" s="3481"/>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479"/>
      <c r="Q44" s="530">
        <f t="shared" si="8"/>
        <v>111</v>
      </c>
      <c r="R44" s="664" t="s">
        <v>18</v>
      </c>
      <c r="S44" s="665">
        <f t="shared" si="9"/>
        <v>100</v>
      </c>
      <c r="T44" s="664" t="s">
        <v>18</v>
      </c>
      <c r="U44" s="665">
        <f t="shared" si="10"/>
        <v>100</v>
      </c>
      <c r="V44" s="664" t="s">
        <v>18</v>
      </c>
      <c r="W44" s="665">
        <f t="shared" si="11"/>
        <v>100</v>
      </c>
      <c r="X44" s="666"/>
      <c r="Y44" s="3481"/>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79"/>
      <c r="Q45" s="1262">
        <f t="shared" si="8"/>
        <v>111</v>
      </c>
      <c r="R45" s="667" t="s">
        <v>18</v>
      </c>
      <c r="S45" s="668">
        <f t="shared" si="9"/>
        <v>100</v>
      </c>
      <c r="T45" s="667" t="s">
        <v>18</v>
      </c>
      <c r="U45" s="668">
        <f t="shared" si="10"/>
        <v>100</v>
      </c>
      <c r="V45" s="667" t="s">
        <v>18</v>
      </c>
      <c r="W45" s="668">
        <f t="shared" si="11"/>
        <v>100</v>
      </c>
      <c r="X45" s="1264"/>
      <c r="Y45" s="3481"/>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80"/>
      <c r="Q46" s="1262">
        <f t="shared" si="8"/>
        <v>111</v>
      </c>
      <c r="R46" s="667" t="s">
        <v>17</v>
      </c>
      <c r="S46" s="668">
        <f t="shared" si="9"/>
        <v>100</v>
      </c>
      <c r="T46" s="667" t="s">
        <v>17</v>
      </c>
      <c r="U46" s="668">
        <f t="shared" si="10"/>
        <v>100</v>
      </c>
      <c r="V46" s="667" t="s">
        <v>17</v>
      </c>
      <c r="W46" s="668">
        <f t="shared" si="11"/>
        <v>100</v>
      </c>
      <c r="X46" s="1264"/>
      <c r="Y46" s="3482"/>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v>6500</v>
      </c>
      <c r="H47" s="422"/>
      <c r="I47" s="419">
        <f>案例!R5</f>
        <v>7580</v>
      </c>
      <c r="J47" s="422"/>
      <c r="K47" s="1763"/>
      <c r="L47" s="2490"/>
      <c r="M47" s="2483"/>
      <c r="N47" s="2483"/>
      <c r="O47" s="2483"/>
      <c r="P47" s="3474" t="str">
        <f>A47</f>
        <v>成交单价（元/平方米）</v>
      </c>
      <c r="Q47" s="3474"/>
      <c r="R47" s="3475">
        <f>E47</f>
        <v>6179</v>
      </c>
      <c r="S47" s="3475"/>
      <c r="T47" s="3475">
        <f>G47</f>
        <v>6500</v>
      </c>
      <c r="U47" s="3475"/>
      <c r="V47" s="3475">
        <f>I47</f>
        <v>7580</v>
      </c>
      <c r="W47" s="3475"/>
      <c r="X47" s="385"/>
      <c r="Y47" s="673"/>
      <c r="Z47" s="385"/>
      <c r="AA47" s="385"/>
      <c r="AB47" s="385"/>
      <c r="AC47" s="385"/>
    </row>
    <row r="48" spans="1:29" ht="15.75" thickBot="1">
      <c r="A48" s="423" t="s">
        <v>1707</v>
      </c>
      <c r="B48" s="424"/>
      <c r="C48" s="1082">
        <f>R49</f>
        <v>6541</v>
      </c>
      <c r="D48" s="2137" t="s">
        <v>2134</v>
      </c>
      <c r="E48" s="1083">
        <f>R48</f>
        <v>6314</v>
      </c>
      <c r="F48" s="2138"/>
      <c r="G48" s="1082">
        <f>T48</f>
        <v>6052</v>
      </c>
      <c r="H48" s="2138"/>
      <c r="I48" s="1083">
        <f>V48</f>
        <v>7256</v>
      </c>
      <c r="J48" s="2138"/>
      <c r="K48" s="2139">
        <f>F48+H48+J48</f>
        <v>0</v>
      </c>
      <c r="L48" s="2490"/>
      <c r="M48" s="2483"/>
      <c r="N48" s="2483"/>
      <c r="O48" s="2483"/>
      <c r="P48" s="3474" t="str">
        <f>A48</f>
        <v>比较价值（元/平方米）</v>
      </c>
      <c r="Q48" s="3474"/>
      <c r="R48" s="3475">
        <f>IF(F1="售价",ROUND(PRODUCT(R47,AA7:AA46),0),ROUND(PRODUCT(R47,AA7:AA46),1))</f>
        <v>6314</v>
      </c>
      <c r="S48" s="3475"/>
      <c r="T48" s="3475">
        <f>IF(F1="售价",ROUND(PRODUCT(T47,AB7:AB46),0),ROUND(PRODUCT(T47,AB7:AB46),1))</f>
        <v>6052</v>
      </c>
      <c r="U48" s="3475"/>
      <c r="V48" s="3475">
        <f>IF(F1="售价",ROUND(PRODUCT(V47,AC7:AC46),0),ROUND(PRODUCT(V47,AC7:AC46),1))</f>
        <v>7256</v>
      </c>
      <c r="W48" s="3475"/>
      <c r="X48" s="385"/>
      <c r="Y48" s="385"/>
      <c r="Z48" s="385"/>
      <c r="AA48" s="385"/>
      <c r="AB48" s="385"/>
      <c r="AC48" s="385"/>
    </row>
    <row r="49" spans="1:29" ht="15.75" thickBot="1">
      <c r="A49" s="427" t="s">
        <v>1708</v>
      </c>
      <c r="B49" s="428"/>
      <c r="C49" s="1084">
        <f>R49</f>
        <v>6541</v>
      </c>
      <c r="D49" s="351"/>
      <c r="E49" s="351"/>
      <c r="F49" s="351"/>
      <c r="G49" s="351"/>
      <c r="H49" s="351"/>
      <c r="I49" s="351"/>
      <c r="J49" s="351"/>
      <c r="K49" s="1764"/>
      <c r="L49" s="2490"/>
      <c r="M49" s="2483"/>
      <c r="N49" s="2483"/>
      <c r="O49" s="2483"/>
      <c r="P49" s="3471" t="str">
        <f>A49</f>
        <v>估价对象XX用房的比较价值（楼面单价，元/平方米）</v>
      </c>
      <c r="Q49" s="3472"/>
      <c r="R49" s="3473">
        <f>IF(F1="售价",ROUND(IF(D48="简单平均",AVERAGE(R48:V48),R48*F48+T48*H48+V48*J48),0),ROUND(IF(D48="简单平均",AVERAGE(R48:V48),R48*F48+T48*H48+V48*J48),1))</f>
        <v>6541</v>
      </c>
      <c r="S49" s="3473"/>
      <c r="T49" s="3473"/>
      <c r="U49" s="3473"/>
      <c r="V49" s="3473"/>
      <c r="W49" s="347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2.1848195500890011E-2</v>
      </c>
      <c r="F52" s="435" t="str">
        <f>IF(OR(E52&gt;=0.3,E52&lt;=-0.3),"超过30%","")</f>
        <v/>
      </c>
      <c r="G52" s="434">
        <f>IF(G47&lt;G48,G48/G47-1,G47/G48-1)</f>
        <v>7.4025115664243302E-2</v>
      </c>
      <c r="H52" s="435" t="str">
        <f>IF(OR(G52&gt;=0.3,G52&lt;=-0.3),"超过30%","")</f>
        <v/>
      </c>
      <c r="I52" s="434">
        <f>IF(I47&lt;I48,I48/I47-1,I47/I48-1)</f>
        <v>4.4652701212789525E-2</v>
      </c>
      <c r="J52" s="435" t="str">
        <f>IF(OR(I52&gt;=0.3,I52&lt;=-0.3),"超过30%","")</f>
        <v/>
      </c>
      <c r="K52" s="2495"/>
      <c r="L52" s="2491"/>
      <c r="M52" s="2483"/>
      <c r="N52" s="2483"/>
      <c r="O52" s="2483"/>
    </row>
    <row r="53" spans="1:29" ht="13.5" customHeight="1">
      <c r="A53" s="2483"/>
      <c r="B53" s="2483"/>
      <c r="C53" s="432" t="s">
        <v>1710</v>
      </c>
      <c r="D53" s="436"/>
      <c r="E53" s="434">
        <f>IF(E48&lt;G48,G48/E48-1,E48/G48-1)</f>
        <v>4.3291473892927979E-2</v>
      </c>
      <c r="F53" s="435" t="str">
        <f>IF(OR(E53&gt;=0.2,E53&lt;=-0.2),"超过20%","")</f>
        <v/>
      </c>
      <c r="G53" s="434">
        <f>IF(G48&lt;I48,I48/G48-1,G48/I48-1)</f>
        <v>0.19894249834765376</v>
      </c>
      <c r="H53" s="435" t="str">
        <f>IF(OR(G53&gt;=0.2,G53&lt;=-0.2),"超过20%","")</f>
        <v/>
      </c>
      <c r="I53" s="434">
        <f>IF(I48&lt;E48,E48/I48-1,I48/E48-1)</f>
        <v>0.14919227114349076</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5.1950153746560979E-2</v>
      </c>
      <c r="F54" s="435" t="str">
        <f>IF(OR(E54&gt;=0.3,E54&lt;=-0.3),"超过30%","")</f>
        <v/>
      </c>
      <c r="G54" s="434">
        <f>IF(G47&lt;I47,I47/G47-1,G47/I47-1)</f>
        <v>0.1661538461538461</v>
      </c>
      <c r="H54" s="435" t="str">
        <f>IF(OR(G54&gt;=0.3,G54&lt;=-0.3),"超过30%","")</f>
        <v/>
      </c>
      <c r="I54" s="434">
        <f>IF(I47&lt;E47,E47/I47-1,I47/E47-1)</f>
        <v>0.22673571775368173</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99.5</v>
      </c>
      <c r="E59" s="445">
        <f t="shared" ref="E59:Y59" si="18">D59-$C$60</f>
        <v>99</v>
      </c>
      <c r="F59" s="445">
        <f t="shared" si="18"/>
        <v>98.5</v>
      </c>
      <c r="G59" s="445">
        <f t="shared" si="18"/>
        <v>98</v>
      </c>
      <c r="H59" s="445">
        <f t="shared" si="18"/>
        <v>97.5</v>
      </c>
      <c r="I59" s="445">
        <f t="shared" si="18"/>
        <v>97</v>
      </c>
      <c r="J59" s="445">
        <f t="shared" si="18"/>
        <v>96.5</v>
      </c>
      <c r="K59" s="445">
        <f t="shared" si="18"/>
        <v>96</v>
      </c>
      <c r="L59" s="445">
        <f t="shared" si="18"/>
        <v>95.5</v>
      </c>
      <c r="M59" s="445">
        <f t="shared" si="18"/>
        <v>95</v>
      </c>
      <c r="N59" s="445">
        <f t="shared" si="18"/>
        <v>94.5</v>
      </c>
      <c r="O59" s="445">
        <f t="shared" si="18"/>
        <v>94</v>
      </c>
      <c r="P59" s="445">
        <f t="shared" si="18"/>
        <v>93.5</v>
      </c>
      <c r="Q59" s="445">
        <f t="shared" si="18"/>
        <v>93</v>
      </c>
      <c r="R59" s="445">
        <f t="shared" si="18"/>
        <v>92.5</v>
      </c>
      <c r="S59" s="445">
        <f t="shared" si="18"/>
        <v>92</v>
      </c>
      <c r="T59" s="445">
        <f t="shared" si="18"/>
        <v>91.5</v>
      </c>
      <c r="U59" s="445">
        <f t="shared" si="18"/>
        <v>91</v>
      </c>
      <c r="V59" s="445">
        <f t="shared" si="18"/>
        <v>90.5</v>
      </c>
      <c r="W59" s="445">
        <f t="shared" si="18"/>
        <v>90</v>
      </c>
      <c r="X59" s="445">
        <f t="shared" si="18"/>
        <v>89.5</v>
      </c>
      <c r="Y59" s="445">
        <f t="shared" si="18"/>
        <v>89</v>
      </c>
      <c r="Z59" s="102">
        <f>Y59</f>
        <v>89</v>
      </c>
      <c r="AA59" s="102">
        <f>Y59</f>
        <v>89</v>
      </c>
      <c r="AB59" s="102">
        <f>AA59-C60</f>
        <v>88.5</v>
      </c>
    </row>
    <row r="60" spans="1:29" s="102" customFormat="1" ht="15.75" thickBot="1">
      <c r="A60" s="449" t="s">
        <v>1714</v>
      </c>
      <c r="B60" s="450"/>
      <c r="C60" s="451">
        <v>0.5</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3416</v>
      </c>
      <c r="D88" s="3148" t="s">
        <v>3417</v>
      </c>
      <c r="E88" s="3148" t="s">
        <v>3418</v>
      </c>
      <c r="F88" s="3148" t="s">
        <v>3419</v>
      </c>
      <c r="G88" s="3148" t="s">
        <v>3444</v>
      </c>
      <c r="H88" s="3148" t="s">
        <v>3420</v>
      </c>
      <c r="I88" s="3148" t="s">
        <v>3421</v>
      </c>
      <c r="J88" s="3160" t="s">
        <v>3422</v>
      </c>
      <c r="K88" s="3160" t="s">
        <v>3423</v>
      </c>
      <c r="L88" s="3148" t="s">
        <v>3424</v>
      </c>
      <c r="M88" s="3148" t="s">
        <v>3425</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7" t="s">
        <v>3445</v>
      </c>
      <c r="D90" s="3177" t="s">
        <v>3665</v>
      </c>
      <c r="E90" s="3177" t="s">
        <v>3760</v>
      </c>
      <c r="F90" s="3177" t="s">
        <v>3718</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100</v>
      </c>
      <c r="G91" s="491"/>
      <c r="H91" s="493"/>
      <c r="I91" s="493"/>
      <c r="J91" s="493"/>
      <c r="K91" s="493"/>
      <c r="L91" s="493"/>
      <c r="M91" s="494"/>
      <c r="N91" s="881"/>
      <c r="O91" s="881"/>
      <c r="P91" s="1772"/>
      <c r="Q91" s="490"/>
    </row>
    <row r="92" spans="1:17" ht="15.75" thickTop="1">
      <c r="A92" s="367"/>
      <c r="B92" s="469" t="str">
        <f>B28</f>
        <v>道路级别</v>
      </c>
      <c r="C92" s="3142" t="s">
        <v>3429</v>
      </c>
      <c r="D92" s="3142" t="s">
        <v>3428</v>
      </c>
      <c r="E92" s="3142" t="s">
        <v>3431</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3436</v>
      </c>
      <c r="D100" s="3147" t="s">
        <v>3437</v>
      </c>
      <c r="E100" s="3147"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v>
      </c>
      <c r="E101" s="475">
        <f t="shared" si="23"/>
        <v>98</v>
      </c>
      <c r="F101" s="475">
        <f t="shared" si="23"/>
        <v>97</v>
      </c>
      <c r="G101" s="475">
        <f t="shared" si="23"/>
        <v>96</v>
      </c>
      <c r="H101" s="475">
        <f t="shared" si="23"/>
        <v>95</v>
      </c>
      <c r="I101" s="475">
        <f t="shared" si="23"/>
        <v>94</v>
      </c>
      <c r="J101" s="475">
        <f t="shared" si="23"/>
        <v>93</v>
      </c>
      <c r="K101" s="475">
        <f t="shared" si="23"/>
        <v>92</v>
      </c>
      <c r="L101" s="475">
        <f t="shared" si="23"/>
        <v>91</v>
      </c>
      <c r="M101" s="475">
        <f t="shared" si="23"/>
        <v>90</v>
      </c>
      <c r="N101" s="880"/>
      <c r="O101" s="880"/>
      <c r="P101" s="1771"/>
      <c r="Q101" s="439"/>
    </row>
    <row r="102" spans="1:17" ht="15.75" thickTop="1">
      <c r="A102" s="367"/>
      <c r="B102" s="469" t="s">
        <v>1735</v>
      </c>
      <c r="C102" s="509" t="str">
        <f>C103&amp;"(含)"&amp;"-"&amp;D103</f>
        <v>0(含)-60</v>
      </c>
      <c r="D102" s="509" t="str">
        <f t="shared" ref="D102:J102" si="24">D103&amp;"(含)"&amp;"-"&amp;E103</f>
        <v>60(含)-90</v>
      </c>
      <c r="E102" s="509" t="str">
        <f t="shared" si="24"/>
        <v>90(含)-120</v>
      </c>
      <c r="F102" s="509" t="str">
        <f t="shared" si="24"/>
        <v>120(含)-150</v>
      </c>
      <c r="G102" s="509" t="str">
        <f t="shared" si="24"/>
        <v>150(含)-180</v>
      </c>
      <c r="H102" s="509" t="str">
        <f t="shared" si="24"/>
        <v>180(含)-210</v>
      </c>
      <c r="I102" s="509" t="str">
        <f t="shared" si="24"/>
        <v>210(含)-</v>
      </c>
      <c r="J102" s="509" t="str">
        <f t="shared" si="24"/>
        <v>(含)-</v>
      </c>
      <c r="K102" s="509" t="str">
        <f t="shared" ref="K102" si="25">K103&amp;"(含)"&amp;"-"&amp;L103</f>
        <v>(含)-</v>
      </c>
      <c r="L102" s="509" t="str">
        <f t="shared" ref="L102" si="26">L103&amp;"(含)"&amp;"-"&amp;M103</f>
        <v>(含)-</v>
      </c>
      <c r="M102" s="509" t="str">
        <f t="shared" ref="M102" si="27">M103&amp;"(含)"&amp;"-"&amp;N103</f>
        <v>(含)-4</v>
      </c>
      <c r="N102" s="878"/>
      <c r="O102" s="878"/>
      <c r="P102" s="1771"/>
      <c r="Q102" s="439"/>
    </row>
    <row r="103" spans="1:17" s="408" customFormat="1">
      <c r="A103" s="406"/>
      <c r="B103" s="523"/>
      <c r="C103" s="6">
        <v>0</v>
      </c>
      <c r="D103" s="6">
        <v>60</v>
      </c>
      <c r="E103" s="6">
        <v>90</v>
      </c>
      <c r="F103" s="6">
        <v>120</v>
      </c>
      <c r="G103" s="6">
        <v>150</v>
      </c>
      <c r="H103" s="6">
        <v>180</v>
      </c>
      <c r="I103" s="6">
        <v>210</v>
      </c>
      <c r="J103" s="524"/>
      <c r="K103" s="524"/>
      <c r="M103" s="526"/>
      <c r="N103" s="524">
        <v>4</v>
      </c>
      <c r="O103" s="881"/>
      <c r="P103" s="1772"/>
      <c r="Q103" s="490"/>
    </row>
    <row r="104" spans="1:17" s="408" customFormat="1" ht="15.75" thickBot="1">
      <c r="A104" s="484"/>
      <c r="B104" s="474"/>
      <c r="C104" s="467">
        <f>D104+$N$103</f>
        <v>104</v>
      </c>
      <c r="D104" s="467">
        <v>100</v>
      </c>
      <c r="E104" s="467">
        <f>D104+$N$103</f>
        <v>104</v>
      </c>
      <c r="F104" s="467">
        <f t="shared" ref="F104:I104" si="28">E104+$N$103</f>
        <v>108</v>
      </c>
      <c r="G104" s="467">
        <f t="shared" si="28"/>
        <v>112</v>
      </c>
      <c r="H104" s="467">
        <f t="shared" si="28"/>
        <v>116</v>
      </c>
      <c r="I104" s="467">
        <f t="shared" si="28"/>
        <v>120</v>
      </c>
      <c r="J104" s="467"/>
      <c r="K104" s="467"/>
      <c r="L104" s="467"/>
      <c r="M104" s="467"/>
      <c r="N104" s="880"/>
      <c r="O104" s="880"/>
      <c r="P104" s="1772"/>
      <c r="Q104" s="490"/>
    </row>
    <row r="105" spans="1:17" ht="15" thickTop="1">
      <c r="A105" s="409"/>
      <c r="B105" s="469" t="s">
        <v>1736</v>
      </c>
      <c r="C105" s="3142" t="s">
        <v>3401</v>
      </c>
      <c r="D105" s="3142" t="s">
        <v>3434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71" t="s">
        <v>3438</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3402</v>
      </c>
      <c r="D109" s="3142" t="s">
        <v>3449</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2"/>
      <c r="Q113" s="490"/>
    </row>
    <row r="114" spans="1:17" ht="15" thickTop="1">
      <c r="A114" s="409"/>
      <c r="B114" s="469" t="s">
        <v>1738</v>
      </c>
      <c r="C114" s="3142" t="s">
        <v>3403</v>
      </c>
      <c r="D114" s="3142" t="s">
        <v>3432</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3404</v>
      </c>
      <c r="D116" s="3142"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3408</v>
      </c>
      <c r="D122" s="3142" t="s">
        <v>3409</v>
      </c>
      <c r="E122" s="3142" t="s">
        <v>3449</v>
      </c>
      <c r="F122" s="3148" t="s">
        <v>3668</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71" t="s">
        <v>3670</v>
      </c>
      <c r="C126" s="3142" t="s">
        <v>3671</v>
      </c>
      <c r="D126" s="3142" t="s">
        <v>3672</v>
      </c>
      <c r="E126" s="485" t="s">
        <v>3673</v>
      </c>
      <c r="F126" s="485" t="s">
        <v>3674</v>
      </c>
      <c r="G126" s="485" t="s">
        <v>3675</v>
      </c>
      <c r="H126" s="486" t="s">
        <v>3676</v>
      </c>
      <c r="I126" s="486"/>
      <c r="J126" s="486"/>
      <c r="K126" s="486"/>
      <c r="L126" s="487"/>
      <c r="M126" s="488"/>
      <c r="N126" s="881"/>
      <c r="O126" s="881"/>
      <c r="P126" s="1772"/>
      <c r="Q126" s="490"/>
    </row>
    <row r="127" spans="1:17" s="408" customFormat="1" ht="15.75" thickBot="1">
      <c r="A127" s="484"/>
      <c r="B127" s="474"/>
      <c r="C127" s="491">
        <v>100</v>
      </c>
      <c r="D127" s="467">
        <f>C127+$K$37</f>
        <v>101</v>
      </c>
      <c r="E127" s="467">
        <f t="shared" ref="E127:H127" si="35">D127+$K$37</f>
        <v>102</v>
      </c>
      <c r="F127" s="467">
        <f t="shared" si="35"/>
        <v>103</v>
      </c>
      <c r="G127" s="467">
        <f t="shared" si="35"/>
        <v>104</v>
      </c>
      <c r="H127" s="467">
        <f t="shared" si="35"/>
        <v>105</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493" t="s">
        <v>1772</v>
      </c>
      <c r="Q4" s="3494"/>
      <c r="R4" s="3499" t="s">
        <v>1768</v>
      </c>
      <c r="S4" s="3500"/>
      <c r="T4" s="3499" t="s">
        <v>1769</v>
      </c>
      <c r="U4" s="3500"/>
      <c r="V4" s="3475" t="s">
        <v>1770</v>
      </c>
      <c r="W4" s="3475"/>
      <c r="X4" s="1264"/>
      <c r="Y4" s="3499" t="s">
        <v>1772</v>
      </c>
      <c r="Z4" s="3500"/>
      <c r="AA4" s="3486" t="s">
        <v>1768</v>
      </c>
      <c r="AB4" s="3475" t="s">
        <v>1769</v>
      </c>
      <c r="AC4" s="3486" t="s">
        <v>1770</v>
      </c>
    </row>
    <row r="5" spans="1:29" ht="15">
      <c r="A5" s="348"/>
      <c r="B5" s="349"/>
      <c r="C5" s="3516" t="s">
        <v>1673</v>
      </c>
      <c r="D5" s="3508"/>
      <c r="E5" s="3517" t="s">
        <v>1674</v>
      </c>
      <c r="F5" s="3515"/>
      <c r="G5" s="3516" t="s">
        <v>1675</v>
      </c>
      <c r="H5" s="3508"/>
      <c r="I5" s="3516" t="s">
        <v>1676</v>
      </c>
      <c r="J5" s="3508"/>
      <c r="K5" s="537"/>
      <c r="L5" s="2482"/>
      <c r="M5" s="2483"/>
      <c r="N5" s="2483"/>
      <c r="O5" s="2483"/>
      <c r="P5" s="3495"/>
      <c r="Q5" s="3496"/>
      <c r="R5" s="3501"/>
      <c r="S5" s="3502"/>
      <c r="T5" s="3501"/>
      <c r="U5" s="3502"/>
      <c r="V5" s="3475"/>
      <c r="W5" s="3475"/>
      <c r="X5" s="1264"/>
      <c r="Y5" s="3501"/>
      <c r="Z5" s="3502"/>
      <c r="AA5" s="3487"/>
      <c r="AB5" s="3475"/>
      <c r="AC5" s="3487"/>
    </row>
    <row r="6" spans="1:29" ht="15.75" thickBot="1">
      <c r="A6" s="350"/>
      <c r="B6" s="351"/>
      <c r="C6" s="3505" t="s">
        <v>1677</v>
      </c>
      <c r="D6" s="3506"/>
      <c r="E6" s="3512" t="s">
        <v>1677</v>
      </c>
      <c r="F6" s="3513"/>
      <c r="G6" s="3505" t="s">
        <v>1677</v>
      </c>
      <c r="H6" s="3506"/>
      <c r="I6" s="3505" t="s">
        <v>1677</v>
      </c>
      <c r="J6" s="3506"/>
      <c r="K6" s="537" t="s">
        <v>1678</v>
      </c>
      <c r="L6" s="2482"/>
      <c r="M6" s="2483"/>
      <c r="N6" s="2483"/>
      <c r="O6" s="2483"/>
      <c r="P6" s="3497"/>
      <c r="Q6" s="3498"/>
      <c r="R6" s="3501"/>
      <c r="S6" s="3502"/>
      <c r="T6" s="3503"/>
      <c r="U6" s="3504"/>
      <c r="V6" s="3475"/>
      <c r="W6" s="3475"/>
      <c r="X6" s="1264"/>
      <c r="Y6" s="3503"/>
      <c r="Z6" s="3504"/>
      <c r="AA6" s="3488"/>
      <c r="AB6" s="3475"/>
      <c r="AC6" s="3488"/>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509" t="s">
        <v>1680</v>
      </c>
      <c r="Q7" s="3511"/>
      <c r="R7" s="664" t="s">
        <v>14</v>
      </c>
      <c r="S7" s="665">
        <f t="shared" ref="S7:S15" si="0">F7</f>
        <v>0</v>
      </c>
      <c r="T7" s="664" t="s">
        <v>14</v>
      </c>
      <c r="U7" s="665">
        <f t="shared" ref="U7:U15" si="1">H7</f>
        <v>0</v>
      </c>
      <c r="V7" s="664" t="s">
        <v>14</v>
      </c>
      <c r="W7" s="665">
        <f t="shared" ref="W7:W15" si="2">J7</f>
        <v>0</v>
      </c>
      <c r="X7" s="666"/>
      <c r="Y7" s="3509" t="s">
        <v>1680</v>
      </c>
      <c r="Z7" s="351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509" t="s">
        <v>1683</v>
      </c>
      <c r="Q8" s="3510"/>
      <c r="R8" s="664" t="s">
        <v>14</v>
      </c>
      <c r="S8" s="665">
        <f t="shared" si="0"/>
        <v>100</v>
      </c>
      <c r="T8" s="664" t="s">
        <v>14</v>
      </c>
      <c r="U8" s="665">
        <f t="shared" si="1"/>
        <v>100</v>
      </c>
      <c r="V8" s="664" t="s">
        <v>14</v>
      </c>
      <c r="W8" s="665">
        <f t="shared" si="2"/>
        <v>100</v>
      </c>
      <c r="X8" s="666"/>
      <c r="Y8" s="3509" t="s">
        <v>1683</v>
      </c>
      <c r="Z8" s="351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85"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85"/>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85"/>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85"/>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85"/>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85"/>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83" t="s">
        <v>1691</v>
      </c>
      <c r="Q15" s="1262" t="str">
        <f t="shared" si="6"/>
        <v>商业繁华度</v>
      </c>
      <c r="R15" s="667" t="s">
        <v>14</v>
      </c>
      <c r="S15" s="668">
        <f t="shared" si="0"/>
        <v>100</v>
      </c>
      <c r="T15" s="667" t="s">
        <v>14</v>
      </c>
      <c r="U15" s="668">
        <f t="shared" si="1"/>
        <v>100</v>
      </c>
      <c r="V15" s="667" t="s">
        <v>14</v>
      </c>
      <c r="W15" s="668">
        <f t="shared" si="2"/>
        <v>100</v>
      </c>
      <c r="X15" s="1264"/>
      <c r="Y15" s="347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84"/>
      <c r="Q16" s="1262"/>
      <c r="R16" s="667"/>
      <c r="S16" s="668"/>
      <c r="T16" s="667"/>
      <c r="U16" s="668"/>
      <c r="V16" s="667"/>
      <c r="W16" s="668"/>
      <c r="X16" s="1264"/>
      <c r="Y16" s="3477"/>
      <c r="Z16" s="1263"/>
      <c r="AA16" s="1263">
        <v>1</v>
      </c>
      <c r="AB16" s="1263">
        <v>1</v>
      </c>
      <c r="AC16" s="1263">
        <v>1</v>
      </c>
    </row>
    <row r="17" spans="1:29" ht="85.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84"/>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84"/>
      <c r="Q18" s="1262"/>
      <c r="R18" s="667"/>
      <c r="S18" s="668"/>
      <c r="T18" s="667"/>
      <c r="U18" s="668"/>
      <c r="V18" s="667"/>
      <c r="W18" s="668"/>
      <c r="X18" s="1264"/>
      <c r="Y18" s="3477"/>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84"/>
      <c r="Q19" s="1262" t="str">
        <f>B19</f>
        <v>公共配套设施</v>
      </c>
      <c r="R19" s="667" t="s">
        <v>14</v>
      </c>
      <c r="S19" s="668">
        <f>F19</f>
        <v>100</v>
      </c>
      <c r="T19" s="667" t="s">
        <v>14</v>
      </c>
      <c r="U19" s="668">
        <f>H19</f>
        <v>100</v>
      </c>
      <c r="V19" s="667" t="s">
        <v>14</v>
      </c>
      <c r="W19" s="668">
        <f>J19</f>
        <v>100</v>
      </c>
      <c r="X19" s="1264"/>
      <c r="Y19" s="347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84"/>
      <c r="Q20" s="1262"/>
      <c r="R20" s="667"/>
      <c r="S20" s="668"/>
      <c r="T20" s="667"/>
      <c r="U20" s="668"/>
      <c r="V20" s="667"/>
      <c r="W20" s="668"/>
      <c r="X20" s="1264"/>
      <c r="Y20" s="3477"/>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484"/>
      <c r="Q22" s="1262"/>
      <c r="R22" s="667"/>
      <c r="S22" s="668"/>
      <c r="T22" s="667"/>
      <c r="U22" s="668"/>
      <c r="V22" s="667"/>
      <c r="W22" s="668"/>
      <c r="X22" s="1264"/>
      <c r="Y22" s="3477"/>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84"/>
      <c r="Q23" s="1262" t="str">
        <f>B23</f>
        <v>自然及人文环境</v>
      </c>
      <c r="R23" s="667" t="s">
        <v>14</v>
      </c>
      <c r="S23" s="668">
        <f>F23</f>
        <v>100</v>
      </c>
      <c r="T23" s="667" t="s">
        <v>14</v>
      </c>
      <c r="U23" s="668">
        <f>H23</f>
        <v>100</v>
      </c>
      <c r="V23" s="667" t="s">
        <v>14</v>
      </c>
      <c r="W23" s="668">
        <f>J23</f>
        <v>100</v>
      </c>
      <c r="X23" s="1264"/>
      <c r="Y23" s="3477"/>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84"/>
      <c r="Q24" s="1262"/>
      <c r="R24" s="667"/>
      <c r="S24" s="668"/>
      <c r="T24" s="667"/>
      <c r="U24" s="668"/>
      <c r="V24" s="667"/>
      <c r="W24" s="668"/>
      <c r="X24" s="1264"/>
      <c r="Y24" s="3477"/>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84"/>
      <c r="Q25" s="1262" t="str">
        <f t="shared" ref="Q25:Q46" si="8">B25</f>
        <v>临街状况</v>
      </c>
      <c r="R25" s="667" t="s">
        <v>14</v>
      </c>
      <c r="S25" s="668">
        <f>F25</f>
        <v>100</v>
      </c>
      <c r="T25" s="667" t="s">
        <v>14</v>
      </c>
      <c r="U25" s="668">
        <f>H25</f>
        <v>100</v>
      </c>
      <c r="V25" s="667" t="s">
        <v>14</v>
      </c>
      <c r="W25" s="668">
        <f>J25</f>
        <v>100</v>
      </c>
      <c r="X25" s="1264"/>
      <c r="Y25" s="3477"/>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84"/>
      <c r="Q26" s="1262" t="str">
        <f t="shared" si="8"/>
        <v>平面位置/可视性</v>
      </c>
      <c r="R26" s="667" t="s">
        <v>14</v>
      </c>
      <c r="S26" s="668">
        <f>F26</f>
        <v>100</v>
      </c>
      <c r="T26" s="667" t="s">
        <v>14</v>
      </c>
      <c r="U26" s="668">
        <f>H26</f>
        <v>100</v>
      </c>
      <c r="V26" s="667" t="s">
        <v>14</v>
      </c>
      <c r="W26" s="668">
        <f>J26</f>
        <v>100</v>
      </c>
      <c r="X26" s="1264"/>
      <c r="Y26" s="3477"/>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84"/>
      <c r="Q27" s="530" t="str">
        <f t="shared" si="8"/>
        <v>人流量</v>
      </c>
      <c r="R27" s="664" t="s">
        <v>14</v>
      </c>
      <c r="S27" s="665">
        <f>F27</f>
        <v>100</v>
      </c>
      <c r="T27" s="664" t="s">
        <v>14</v>
      </c>
      <c r="U27" s="665">
        <f>H27</f>
        <v>100</v>
      </c>
      <c r="V27" s="664" t="s">
        <v>14</v>
      </c>
      <c r="W27" s="665">
        <f>J27</f>
        <v>100</v>
      </c>
      <c r="X27" s="666"/>
      <c r="Y27" s="3477"/>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84"/>
      <c r="Q28" s="1262" t="str">
        <f t="shared" si="8"/>
        <v>楼层</v>
      </c>
      <c r="R28" s="667" t="s">
        <v>14</v>
      </c>
      <c r="S28" s="668">
        <f t="shared" ref="S28:S46" si="9">F28</f>
        <v>100</v>
      </c>
      <c r="T28" s="667" t="s">
        <v>14</v>
      </c>
      <c r="U28" s="668">
        <f t="shared" ref="U28:U46" si="10">H28</f>
        <v>100</v>
      </c>
      <c r="V28" s="667" t="s">
        <v>14</v>
      </c>
      <c r="W28" s="668">
        <f t="shared" ref="W28:W46" si="11">J28</f>
        <v>100</v>
      </c>
      <c r="X28" s="1264"/>
      <c r="Y28" s="3477"/>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84"/>
      <c r="Q29" s="1262">
        <f t="shared" si="8"/>
        <v>111</v>
      </c>
      <c r="R29" s="667" t="s">
        <v>14</v>
      </c>
      <c r="S29" s="668">
        <f t="shared" si="9"/>
        <v>100</v>
      </c>
      <c r="T29" s="667" t="s">
        <v>14</v>
      </c>
      <c r="U29" s="668">
        <f t="shared" si="10"/>
        <v>100</v>
      </c>
      <c r="V29" s="667" t="s">
        <v>14</v>
      </c>
      <c r="W29" s="668">
        <f t="shared" si="11"/>
        <v>100</v>
      </c>
      <c r="X29" s="1264"/>
      <c r="Y29" s="3477"/>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84"/>
      <c r="Q30" s="1262">
        <f t="shared" si="8"/>
        <v>111</v>
      </c>
      <c r="R30" s="667" t="s">
        <v>14</v>
      </c>
      <c r="S30" s="668">
        <f t="shared" si="9"/>
        <v>100</v>
      </c>
      <c r="T30" s="667" t="s">
        <v>14</v>
      </c>
      <c r="U30" s="668">
        <f t="shared" si="10"/>
        <v>100</v>
      </c>
      <c r="V30" s="667" t="s">
        <v>14</v>
      </c>
      <c r="W30" s="668">
        <f t="shared" si="11"/>
        <v>100</v>
      </c>
      <c r="X30" s="1264"/>
      <c r="Y30" s="3477"/>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84"/>
      <c r="Q31" s="1262">
        <f t="shared" si="8"/>
        <v>111</v>
      </c>
      <c r="R31" s="667" t="s">
        <v>14</v>
      </c>
      <c r="S31" s="668">
        <f t="shared" si="9"/>
        <v>100</v>
      </c>
      <c r="T31" s="667" t="s">
        <v>14</v>
      </c>
      <c r="U31" s="668">
        <f t="shared" si="10"/>
        <v>100</v>
      </c>
      <c r="V31" s="667" t="s">
        <v>14</v>
      </c>
      <c r="W31" s="668">
        <f t="shared" si="11"/>
        <v>100</v>
      </c>
      <c r="X31" s="1264"/>
      <c r="Y31" s="3477"/>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478" t="s">
        <v>1696</v>
      </c>
      <c r="Q32" s="1262" t="str">
        <f t="shared" si="8"/>
        <v>商业类型</v>
      </c>
      <c r="R32" s="667" t="s">
        <v>14</v>
      </c>
      <c r="S32" s="668">
        <f t="shared" si="9"/>
        <v>100</v>
      </c>
      <c r="T32" s="667" t="s">
        <v>14</v>
      </c>
      <c r="U32" s="668">
        <f t="shared" si="10"/>
        <v>100</v>
      </c>
      <c r="V32" s="667" t="s">
        <v>14</v>
      </c>
      <c r="W32" s="668">
        <f t="shared" si="11"/>
        <v>100</v>
      </c>
      <c r="X32" s="1264"/>
      <c r="Y32" s="3481"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79"/>
      <c r="Q33" s="531" t="str">
        <f t="shared" si="8"/>
        <v>项目建筑规模</v>
      </c>
      <c r="R33" s="669" t="s">
        <v>14</v>
      </c>
      <c r="S33" s="670" t="e">
        <f t="shared" si="9"/>
        <v>#N/A</v>
      </c>
      <c r="T33" s="669" t="s">
        <v>14</v>
      </c>
      <c r="U33" s="670" t="e">
        <f t="shared" si="10"/>
        <v>#N/A</v>
      </c>
      <c r="V33" s="669" t="s">
        <v>14</v>
      </c>
      <c r="W33" s="670" t="e">
        <f t="shared" si="11"/>
        <v>#N/A</v>
      </c>
      <c r="X33" s="671"/>
      <c r="Y33" s="3481"/>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79"/>
      <c r="Q34" s="1262" t="str">
        <f t="shared" si="8"/>
        <v>建筑结构</v>
      </c>
      <c r="R34" s="667" t="s">
        <v>14</v>
      </c>
      <c r="S34" s="668">
        <f t="shared" si="9"/>
        <v>100</v>
      </c>
      <c r="T34" s="667" t="s">
        <v>14</v>
      </c>
      <c r="U34" s="668">
        <f t="shared" si="10"/>
        <v>100</v>
      </c>
      <c r="V34" s="667" t="s">
        <v>14</v>
      </c>
      <c r="W34" s="668">
        <f t="shared" si="11"/>
        <v>100</v>
      </c>
      <c r="X34" s="1264"/>
      <c r="Y34" s="3481"/>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79"/>
      <c r="Q35" s="1262" t="str">
        <f t="shared" si="8"/>
        <v>公共部分装修</v>
      </c>
      <c r="R35" s="667" t="s">
        <v>14</v>
      </c>
      <c r="S35" s="668">
        <f t="shared" si="9"/>
        <v>100</v>
      </c>
      <c r="T35" s="667" t="s">
        <v>14</v>
      </c>
      <c r="U35" s="668">
        <f t="shared" si="10"/>
        <v>100</v>
      </c>
      <c r="V35" s="667" t="s">
        <v>14</v>
      </c>
      <c r="W35" s="668">
        <f t="shared" si="11"/>
        <v>100</v>
      </c>
      <c r="X35" s="1264"/>
      <c r="Y35" s="3481"/>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79"/>
      <c r="Q36" s="1262" t="str">
        <f t="shared" si="8"/>
        <v>成新度</v>
      </c>
      <c r="R36" s="667" t="s">
        <v>14</v>
      </c>
      <c r="S36" s="668" t="e">
        <f t="shared" si="9"/>
        <v>#N/A</v>
      </c>
      <c r="T36" s="667" t="s">
        <v>14</v>
      </c>
      <c r="U36" s="668" t="e">
        <f t="shared" si="10"/>
        <v>#N/A</v>
      </c>
      <c r="V36" s="667" t="s">
        <v>14</v>
      </c>
      <c r="W36" s="668" t="e">
        <f t="shared" si="11"/>
        <v>#N/A</v>
      </c>
      <c r="X36" s="1264"/>
      <c r="Y36" s="3481"/>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479"/>
      <c r="Q37" s="530" t="str">
        <f t="shared" si="8"/>
        <v>市政基础设施</v>
      </c>
      <c r="R37" s="664" t="s">
        <v>14</v>
      </c>
      <c r="S37" s="665">
        <f t="shared" si="9"/>
        <v>100</v>
      </c>
      <c r="T37" s="664" t="s">
        <v>14</v>
      </c>
      <c r="U37" s="665">
        <f t="shared" si="10"/>
        <v>100</v>
      </c>
      <c r="V37" s="664" t="s">
        <v>14</v>
      </c>
      <c r="W37" s="665">
        <f t="shared" si="11"/>
        <v>100</v>
      </c>
      <c r="X37" s="666"/>
      <c r="Y37" s="3481"/>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79" t="s">
        <v>1696</v>
      </c>
      <c r="Q38" s="1262" t="str">
        <f t="shared" si="8"/>
        <v>业态</v>
      </c>
      <c r="R38" s="667" t="s">
        <v>14</v>
      </c>
      <c r="S38" s="668">
        <f t="shared" si="9"/>
        <v>100</v>
      </c>
      <c r="T38" s="667" t="s">
        <v>14</v>
      </c>
      <c r="U38" s="668">
        <f t="shared" si="10"/>
        <v>100</v>
      </c>
      <c r="V38" s="667" t="s">
        <v>14</v>
      </c>
      <c r="W38" s="668">
        <f t="shared" si="11"/>
        <v>100</v>
      </c>
      <c r="X38" s="1264"/>
      <c r="Y38" s="3481"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79"/>
      <c r="Q39" s="1262" t="str">
        <f t="shared" si="8"/>
        <v>层高</v>
      </c>
      <c r="R39" s="667" t="s">
        <v>14</v>
      </c>
      <c r="S39" s="668">
        <f t="shared" si="9"/>
        <v>100</v>
      </c>
      <c r="T39" s="667" t="s">
        <v>14</v>
      </c>
      <c r="U39" s="668">
        <f t="shared" si="10"/>
        <v>100</v>
      </c>
      <c r="V39" s="667" t="s">
        <v>14</v>
      </c>
      <c r="W39" s="668">
        <f t="shared" si="11"/>
        <v>100</v>
      </c>
      <c r="X39" s="1264"/>
      <c r="Y39" s="3481"/>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79"/>
      <c r="Q40" s="1262" t="str">
        <f t="shared" si="8"/>
        <v>单套建筑面积</v>
      </c>
      <c r="R40" s="667" t="s">
        <v>14</v>
      </c>
      <c r="S40" s="668">
        <f t="shared" si="9"/>
        <v>100</v>
      </c>
      <c r="T40" s="667" t="s">
        <v>14</v>
      </c>
      <c r="U40" s="668">
        <f t="shared" si="10"/>
        <v>100</v>
      </c>
      <c r="V40" s="667" t="s">
        <v>14</v>
      </c>
      <c r="W40" s="668">
        <f t="shared" si="11"/>
        <v>100</v>
      </c>
      <c r="X40" s="1264"/>
      <c r="Y40" s="3481"/>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79"/>
      <c r="Q41" s="531" t="str">
        <f t="shared" si="8"/>
        <v>进深比</v>
      </c>
      <c r="R41" s="669" t="s">
        <v>14</v>
      </c>
      <c r="S41" s="670">
        <f t="shared" si="9"/>
        <v>100</v>
      </c>
      <c r="T41" s="669" t="s">
        <v>14</v>
      </c>
      <c r="U41" s="670">
        <f t="shared" si="10"/>
        <v>100</v>
      </c>
      <c r="V41" s="669" t="s">
        <v>14</v>
      </c>
      <c r="W41" s="670">
        <f t="shared" si="11"/>
        <v>100</v>
      </c>
      <c r="X41" s="671"/>
      <c r="Y41" s="3481"/>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79"/>
      <c r="Q42" s="1262" t="str">
        <f t="shared" si="8"/>
        <v>内部装修</v>
      </c>
      <c r="R42" s="667" t="s">
        <v>14</v>
      </c>
      <c r="S42" s="668">
        <f t="shared" si="9"/>
        <v>100</v>
      </c>
      <c r="T42" s="667" t="s">
        <v>14</v>
      </c>
      <c r="U42" s="668">
        <f t="shared" si="10"/>
        <v>100</v>
      </c>
      <c r="V42" s="667" t="s">
        <v>14</v>
      </c>
      <c r="W42" s="668">
        <f t="shared" si="11"/>
        <v>100</v>
      </c>
      <c r="X42" s="1264"/>
      <c r="Y42" s="3481"/>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79"/>
      <c r="Q43" s="1262" t="str">
        <f t="shared" si="8"/>
        <v>内部装修维护情况</v>
      </c>
      <c r="R43" s="667" t="s">
        <v>14</v>
      </c>
      <c r="S43" s="668">
        <f t="shared" si="9"/>
        <v>100</v>
      </c>
      <c r="T43" s="667" t="s">
        <v>14</v>
      </c>
      <c r="U43" s="668">
        <f t="shared" si="10"/>
        <v>100</v>
      </c>
      <c r="V43" s="667" t="s">
        <v>14</v>
      </c>
      <c r="W43" s="668">
        <f t="shared" si="11"/>
        <v>100</v>
      </c>
      <c r="X43" s="1264"/>
      <c r="Y43" s="3481"/>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79"/>
      <c r="Q44" s="530">
        <f t="shared" si="8"/>
        <v>111</v>
      </c>
      <c r="R44" s="664" t="s">
        <v>14</v>
      </c>
      <c r="S44" s="665">
        <f t="shared" si="9"/>
        <v>100</v>
      </c>
      <c r="T44" s="664" t="s">
        <v>14</v>
      </c>
      <c r="U44" s="665">
        <f t="shared" si="10"/>
        <v>100</v>
      </c>
      <c r="V44" s="664" t="s">
        <v>14</v>
      </c>
      <c r="W44" s="665">
        <f t="shared" si="11"/>
        <v>100</v>
      </c>
      <c r="X44" s="666"/>
      <c r="Y44" s="3481"/>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79"/>
      <c r="Q45" s="1262">
        <f t="shared" si="8"/>
        <v>111</v>
      </c>
      <c r="R45" s="667" t="s">
        <v>14</v>
      </c>
      <c r="S45" s="668">
        <f t="shared" si="9"/>
        <v>100</v>
      </c>
      <c r="T45" s="667" t="s">
        <v>14</v>
      </c>
      <c r="U45" s="668">
        <f t="shared" si="10"/>
        <v>100</v>
      </c>
      <c r="V45" s="667" t="s">
        <v>14</v>
      </c>
      <c r="W45" s="668">
        <f t="shared" si="11"/>
        <v>100</v>
      </c>
      <c r="X45" s="1264"/>
      <c r="Y45" s="3481"/>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80"/>
      <c r="Q46" s="1262">
        <f t="shared" si="8"/>
        <v>111</v>
      </c>
      <c r="R46" s="667" t="s">
        <v>14</v>
      </c>
      <c r="S46" s="668">
        <f t="shared" si="9"/>
        <v>100</v>
      </c>
      <c r="T46" s="667" t="s">
        <v>14</v>
      </c>
      <c r="U46" s="668">
        <f t="shared" si="10"/>
        <v>100</v>
      </c>
      <c r="V46" s="667" t="s">
        <v>14</v>
      </c>
      <c r="W46" s="668">
        <f t="shared" si="11"/>
        <v>100</v>
      </c>
      <c r="X46" s="1264"/>
      <c r="Y46" s="3482"/>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474" t="str">
        <f>A47</f>
        <v>成交单价（元/平方米）</v>
      </c>
      <c r="Q47" s="3474"/>
      <c r="R47" s="3475">
        <f>E47</f>
        <v>0</v>
      </c>
      <c r="S47" s="3475"/>
      <c r="T47" s="3475">
        <f>G47</f>
        <v>0</v>
      </c>
      <c r="U47" s="3475"/>
      <c r="V47" s="3475">
        <f>I47</f>
        <v>0</v>
      </c>
      <c r="W47" s="3475"/>
      <c r="X47" s="385"/>
      <c r="Y47" s="673"/>
      <c r="Z47" s="385"/>
      <c r="AA47" s="385"/>
      <c r="AB47" s="385"/>
      <c r="AC47" s="385"/>
    </row>
    <row r="48" spans="1:29" ht="15.75" thickBot="1">
      <c r="A48" s="423" t="s">
        <v>1790</v>
      </c>
      <c r="B48" s="424"/>
      <c r="C48" s="1082" t="e">
        <f>R49</f>
        <v>#DIV/0!</v>
      </c>
      <c r="D48" s="2137" t="s">
        <v>2134</v>
      </c>
      <c r="E48" s="1083" t="e">
        <f>R48</f>
        <v>#DIV/0!</v>
      </c>
      <c r="F48" s="2138"/>
      <c r="G48" s="1082" t="e">
        <f>T48</f>
        <v>#DIV/0!</v>
      </c>
      <c r="H48" s="2138"/>
      <c r="I48" s="1083" t="e">
        <f>V48</f>
        <v>#DIV/0!</v>
      </c>
      <c r="J48" s="2138"/>
      <c r="K48" s="2140">
        <f>F48+H48+J48</f>
        <v>0</v>
      </c>
      <c r="L48" s="2490"/>
      <c r="M48" s="2483"/>
      <c r="N48" s="2483"/>
      <c r="O48" s="2483"/>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524" t="s">
        <v>1772</v>
      </c>
      <c r="Q4" s="3525"/>
      <c r="R4" s="3528" t="s">
        <v>1768</v>
      </c>
      <c r="S4" s="3529"/>
      <c r="T4" s="3528" t="s">
        <v>1769</v>
      </c>
      <c r="U4" s="3529"/>
      <c r="V4" s="3530" t="s">
        <v>1770</v>
      </c>
      <c r="W4" s="3530"/>
      <c r="X4" s="1805"/>
      <c r="Y4" s="3528" t="s">
        <v>1772</v>
      </c>
      <c r="Z4" s="3529"/>
      <c r="AA4" s="3532" t="s">
        <v>1768</v>
      </c>
      <c r="AB4" s="3532" t="s">
        <v>1769</v>
      </c>
      <c r="AC4" s="3521" t="s">
        <v>1770</v>
      </c>
    </row>
    <row r="5" spans="1:29" ht="15">
      <c r="A5" s="348"/>
      <c r="B5" s="349"/>
      <c r="C5" s="3516" t="s">
        <v>1673</v>
      </c>
      <c r="D5" s="3508"/>
      <c r="E5" s="3517" t="s">
        <v>1674</v>
      </c>
      <c r="F5" s="3515"/>
      <c r="G5" s="3516" t="s">
        <v>1675</v>
      </c>
      <c r="H5" s="3508"/>
      <c r="I5" s="3516" t="s">
        <v>1676</v>
      </c>
      <c r="J5" s="3508"/>
      <c r="K5" s="537"/>
      <c r="L5" s="2482"/>
      <c r="M5" s="2483"/>
      <c r="N5" s="2483"/>
      <c r="O5" s="2483"/>
      <c r="P5" s="3526"/>
      <c r="Q5" s="3496"/>
      <c r="R5" s="3501"/>
      <c r="S5" s="3502"/>
      <c r="T5" s="3501"/>
      <c r="U5" s="3502"/>
      <c r="V5" s="3475"/>
      <c r="W5" s="3475"/>
      <c r="X5" s="1264"/>
      <c r="Y5" s="3501"/>
      <c r="Z5" s="3502"/>
      <c r="AA5" s="3487"/>
      <c r="AB5" s="3487"/>
      <c r="AC5" s="3522"/>
    </row>
    <row r="6" spans="1:29" ht="15.75" thickBot="1">
      <c r="A6" s="350"/>
      <c r="B6" s="351"/>
      <c r="C6" s="3505" t="s">
        <v>1677</v>
      </c>
      <c r="D6" s="3506"/>
      <c r="E6" s="3512" t="s">
        <v>1677</v>
      </c>
      <c r="F6" s="3513"/>
      <c r="G6" s="3505" t="s">
        <v>1677</v>
      </c>
      <c r="H6" s="3506"/>
      <c r="I6" s="3505" t="s">
        <v>1677</v>
      </c>
      <c r="J6" s="3506"/>
      <c r="K6" s="537" t="s">
        <v>1678</v>
      </c>
      <c r="L6" s="2482"/>
      <c r="M6" s="2483"/>
      <c r="N6" s="2483"/>
      <c r="O6" s="2483"/>
      <c r="P6" s="3527"/>
      <c r="Q6" s="3498"/>
      <c r="R6" s="3501"/>
      <c r="S6" s="3502"/>
      <c r="T6" s="3503"/>
      <c r="U6" s="3504"/>
      <c r="V6" s="3475"/>
      <c r="W6" s="3475"/>
      <c r="X6" s="1264"/>
      <c r="Y6" s="3503"/>
      <c r="Z6" s="3504"/>
      <c r="AA6" s="3488"/>
      <c r="AB6" s="3488"/>
      <c r="AC6" s="3523"/>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1" t="s">
        <v>1680</v>
      </c>
      <c r="Q7" s="3511"/>
      <c r="R7" s="664" t="s">
        <v>14</v>
      </c>
      <c r="S7" s="665">
        <f t="shared" ref="S7:S15" si="0">F7</f>
        <v>0</v>
      </c>
      <c r="T7" s="664" t="s">
        <v>14</v>
      </c>
      <c r="U7" s="665">
        <f t="shared" ref="U7:U15" si="1">H7</f>
        <v>0</v>
      </c>
      <c r="V7" s="664" t="s">
        <v>14</v>
      </c>
      <c r="W7" s="665">
        <f t="shared" ref="W7:W15" si="2">J7</f>
        <v>0</v>
      </c>
      <c r="X7" s="666"/>
      <c r="Y7" s="3509" t="s">
        <v>1680</v>
      </c>
      <c r="Z7" s="351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1" t="s">
        <v>1683</v>
      </c>
      <c r="Q8" s="3510"/>
      <c r="R8" s="664" t="s">
        <v>14</v>
      </c>
      <c r="S8" s="665">
        <f t="shared" si="0"/>
        <v>100</v>
      </c>
      <c r="T8" s="664" t="s">
        <v>14</v>
      </c>
      <c r="U8" s="665">
        <f t="shared" si="1"/>
        <v>100</v>
      </c>
      <c r="V8" s="664" t="s">
        <v>14</v>
      </c>
      <c r="W8" s="665">
        <f t="shared" si="2"/>
        <v>100</v>
      </c>
      <c r="X8" s="666"/>
      <c r="Y8" s="3509" t="s">
        <v>1683</v>
      </c>
      <c r="Z8" s="351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85"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85"/>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85"/>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85"/>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85"/>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85"/>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83" t="s">
        <v>1691</v>
      </c>
      <c r="Q15" s="1262" t="str">
        <f t="shared" si="6"/>
        <v>办公集聚程度</v>
      </c>
      <c r="R15" s="667" t="s">
        <v>14</v>
      </c>
      <c r="S15" s="668">
        <f t="shared" si="0"/>
        <v>100</v>
      </c>
      <c r="T15" s="667" t="s">
        <v>14</v>
      </c>
      <c r="U15" s="668">
        <f t="shared" si="1"/>
        <v>100</v>
      </c>
      <c r="V15" s="667" t="s">
        <v>14</v>
      </c>
      <c r="W15" s="668">
        <f t="shared" si="2"/>
        <v>100</v>
      </c>
      <c r="X15" s="1264"/>
      <c r="Y15" s="3476"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84"/>
      <c r="Q16" s="1262"/>
      <c r="R16" s="667"/>
      <c r="S16" s="668"/>
      <c r="T16" s="667"/>
      <c r="U16" s="668"/>
      <c r="V16" s="667"/>
      <c r="W16" s="668"/>
      <c r="X16" s="1264"/>
      <c r="Y16" s="3477"/>
      <c r="Z16" s="1263"/>
      <c r="AA16" s="1263">
        <v>1</v>
      </c>
      <c r="AB16" s="1263">
        <v>1</v>
      </c>
      <c r="AC16" s="1808">
        <v>1</v>
      </c>
    </row>
    <row r="17" spans="1:29" ht="85.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84"/>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84"/>
      <c r="Q18" s="1262"/>
      <c r="R18" s="667"/>
      <c r="S18" s="668"/>
      <c r="T18" s="667"/>
      <c r="U18" s="668"/>
      <c r="V18" s="667"/>
      <c r="W18" s="668"/>
      <c r="X18" s="1264"/>
      <c r="Y18" s="3477"/>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84"/>
      <c r="Q19" s="1262" t="str">
        <f>B19</f>
        <v>公共配套设施</v>
      </c>
      <c r="R19" s="667" t="s">
        <v>14</v>
      </c>
      <c r="S19" s="668">
        <f>F19</f>
        <v>100</v>
      </c>
      <c r="T19" s="667" t="s">
        <v>14</v>
      </c>
      <c r="U19" s="668">
        <f>H19</f>
        <v>100</v>
      </c>
      <c r="V19" s="667" t="s">
        <v>14</v>
      </c>
      <c r="W19" s="668">
        <f>J19</f>
        <v>100</v>
      </c>
      <c r="X19" s="1264"/>
      <c r="Y19" s="3477"/>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84"/>
      <c r="Q20" s="1262"/>
      <c r="R20" s="667"/>
      <c r="S20" s="668"/>
      <c r="T20" s="667"/>
      <c r="U20" s="668"/>
      <c r="V20" s="667"/>
      <c r="W20" s="668"/>
      <c r="X20" s="1264"/>
      <c r="Y20" s="3477"/>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484"/>
      <c r="Q22" s="1262"/>
      <c r="R22" s="667"/>
      <c r="S22" s="668"/>
      <c r="T22" s="667"/>
      <c r="U22" s="668"/>
      <c r="V22" s="667"/>
      <c r="W22" s="668"/>
      <c r="X22" s="1264"/>
      <c r="Y22" s="3477"/>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84"/>
      <c r="Q23" s="1262" t="str">
        <f>B23</f>
        <v>环境质量</v>
      </c>
      <c r="R23" s="667" t="s">
        <v>14</v>
      </c>
      <c r="S23" s="668">
        <f>F23</f>
        <v>100</v>
      </c>
      <c r="T23" s="667" t="s">
        <v>14</v>
      </c>
      <c r="U23" s="668">
        <f>H23</f>
        <v>100</v>
      </c>
      <c r="V23" s="667" t="s">
        <v>14</v>
      </c>
      <c r="W23" s="668">
        <f>J23</f>
        <v>100</v>
      </c>
      <c r="X23" s="1264"/>
      <c r="Y23" s="3477"/>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84"/>
      <c r="Q24" s="1262"/>
      <c r="R24" s="667"/>
      <c r="S24" s="668"/>
      <c r="T24" s="667"/>
      <c r="U24" s="668"/>
      <c r="V24" s="667"/>
      <c r="W24" s="668"/>
      <c r="X24" s="1264"/>
      <c r="Y24" s="3477"/>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84"/>
      <c r="Q25" s="1262" t="str">
        <f>B25</f>
        <v>毗邻道路的类型与等级</v>
      </c>
      <c r="R25" s="667" t="s">
        <v>14</v>
      </c>
      <c r="S25" s="668">
        <f>F25</f>
        <v>100</v>
      </c>
      <c r="T25" s="667" t="s">
        <v>14</v>
      </c>
      <c r="U25" s="668">
        <f>H25</f>
        <v>100</v>
      </c>
      <c r="V25" s="667" t="s">
        <v>14</v>
      </c>
      <c r="W25" s="668">
        <f>J25</f>
        <v>100</v>
      </c>
      <c r="X25" s="1264"/>
      <c r="Y25" s="3477"/>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84"/>
      <c r="Q26" s="1262"/>
      <c r="R26" s="667"/>
      <c r="S26" s="668"/>
      <c r="T26" s="667"/>
      <c r="U26" s="668"/>
      <c r="V26" s="667"/>
      <c r="W26" s="668"/>
      <c r="X26" s="1264"/>
      <c r="Y26" s="3477"/>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84"/>
      <c r="Q27" s="1262" t="str">
        <f t="shared" ref="Q27:Q47" si="8">B27</f>
        <v>楼层</v>
      </c>
      <c r="R27" s="667" t="s">
        <v>14</v>
      </c>
      <c r="S27" s="668">
        <f>F27</f>
        <v>100</v>
      </c>
      <c r="T27" s="667" t="s">
        <v>14</v>
      </c>
      <c r="U27" s="668">
        <f>H27</f>
        <v>100</v>
      </c>
      <c r="V27" s="667" t="s">
        <v>14</v>
      </c>
      <c r="W27" s="668">
        <f>J27</f>
        <v>100</v>
      </c>
      <c r="X27" s="1264"/>
      <c r="Y27" s="3477"/>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84"/>
      <c r="Q28" s="530" t="str">
        <f t="shared" si="8"/>
        <v>朝向</v>
      </c>
      <c r="R28" s="664" t="s">
        <v>14</v>
      </c>
      <c r="S28" s="665">
        <f>F28</f>
        <v>100</v>
      </c>
      <c r="T28" s="664" t="s">
        <v>14</v>
      </c>
      <c r="U28" s="665">
        <f>H28</f>
        <v>100</v>
      </c>
      <c r="V28" s="664" t="s">
        <v>14</v>
      </c>
      <c r="W28" s="665">
        <f>J28</f>
        <v>100</v>
      </c>
      <c r="X28" s="666"/>
      <c r="Y28" s="3477"/>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84"/>
      <c r="Q29" s="1262">
        <f t="shared" si="8"/>
        <v>111</v>
      </c>
      <c r="R29" s="667" t="s">
        <v>14</v>
      </c>
      <c r="S29" s="668">
        <f t="shared" ref="S29:S47" si="9">F29</f>
        <v>100</v>
      </c>
      <c r="T29" s="667" t="s">
        <v>14</v>
      </c>
      <c r="U29" s="668">
        <f t="shared" ref="U29:U47" si="10">H29</f>
        <v>100</v>
      </c>
      <c r="V29" s="667" t="s">
        <v>14</v>
      </c>
      <c r="W29" s="668">
        <f t="shared" ref="W29:W47" si="11">J29</f>
        <v>100</v>
      </c>
      <c r="X29" s="1264"/>
      <c r="Y29" s="3477"/>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84"/>
      <c r="Q30" s="1262">
        <f t="shared" si="8"/>
        <v>111</v>
      </c>
      <c r="R30" s="667" t="s">
        <v>14</v>
      </c>
      <c r="S30" s="668">
        <f t="shared" si="9"/>
        <v>100</v>
      </c>
      <c r="T30" s="667" t="s">
        <v>14</v>
      </c>
      <c r="U30" s="668">
        <f t="shared" si="10"/>
        <v>100</v>
      </c>
      <c r="V30" s="667" t="s">
        <v>14</v>
      </c>
      <c r="W30" s="668">
        <f t="shared" si="11"/>
        <v>100</v>
      </c>
      <c r="X30" s="1264"/>
      <c r="Y30" s="3477"/>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84"/>
      <c r="Q31" s="1262">
        <f t="shared" si="8"/>
        <v>111</v>
      </c>
      <c r="R31" s="667" t="s">
        <v>14</v>
      </c>
      <c r="S31" s="668">
        <f t="shared" si="9"/>
        <v>100</v>
      </c>
      <c r="T31" s="667" t="s">
        <v>14</v>
      </c>
      <c r="U31" s="668">
        <f t="shared" si="10"/>
        <v>100</v>
      </c>
      <c r="V31" s="667" t="s">
        <v>14</v>
      </c>
      <c r="W31" s="668">
        <f t="shared" si="11"/>
        <v>100</v>
      </c>
      <c r="X31" s="1264"/>
      <c r="Y31" s="3477"/>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84"/>
      <c r="Q32" s="1262">
        <f t="shared" si="8"/>
        <v>111</v>
      </c>
      <c r="R32" s="667" t="s">
        <v>14</v>
      </c>
      <c r="S32" s="668">
        <f t="shared" si="9"/>
        <v>100</v>
      </c>
      <c r="T32" s="667" t="s">
        <v>14</v>
      </c>
      <c r="U32" s="668">
        <f t="shared" si="10"/>
        <v>100</v>
      </c>
      <c r="V32" s="667" t="s">
        <v>14</v>
      </c>
      <c r="W32" s="668">
        <f t="shared" si="11"/>
        <v>100</v>
      </c>
      <c r="X32" s="1264"/>
      <c r="Y32" s="3477"/>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78" t="s">
        <v>1696</v>
      </c>
      <c r="Q33" s="1262" t="str">
        <f t="shared" si="8"/>
        <v>建筑类型</v>
      </c>
      <c r="R33" s="667" t="s">
        <v>14</v>
      </c>
      <c r="S33" s="668">
        <f t="shared" si="9"/>
        <v>100</v>
      </c>
      <c r="T33" s="667" t="s">
        <v>14</v>
      </c>
      <c r="U33" s="668">
        <f t="shared" si="10"/>
        <v>100</v>
      </c>
      <c r="V33" s="667" t="s">
        <v>14</v>
      </c>
      <c r="W33" s="668">
        <f t="shared" si="11"/>
        <v>100</v>
      </c>
      <c r="X33" s="1264"/>
      <c r="Y33" s="3481"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79"/>
      <c r="Q34" s="531" t="str">
        <f t="shared" si="8"/>
        <v>项目建筑规模</v>
      </c>
      <c r="R34" s="669" t="s">
        <v>14</v>
      </c>
      <c r="S34" s="670" t="e">
        <f t="shared" si="9"/>
        <v>#N/A</v>
      </c>
      <c r="T34" s="669" t="s">
        <v>14</v>
      </c>
      <c r="U34" s="670" t="e">
        <f t="shared" si="10"/>
        <v>#N/A</v>
      </c>
      <c r="V34" s="669" t="s">
        <v>14</v>
      </c>
      <c r="W34" s="670" t="e">
        <f t="shared" si="11"/>
        <v>#N/A</v>
      </c>
      <c r="X34" s="671"/>
      <c r="Y34" s="3481"/>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79"/>
      <c r="Q35" s="1262" t="str">
        <f t="shared" si="8"/>
        <v>建筑结构</v>
      </c>
      <c r="R35" s="667" t="s">
        <v>14</v>
      </c>
      <c r="S35" s="668">
        <f t="shared" si="9"/>
        <v>100</v>
      </c>
      <c r="T35" s="667" t="s">
        <v>14</v>
      </c>
      <c r="U35" s="668">
        <f t="shared" si="10"/>
        <v>100</v>
      </c>
      <c r="V35" s="667" t="s">
        <v>14</v>
      </c>
      <c r="W35" s="668">
        <f t="shared" si="11"/>
        <v>100</v>
      </c>
      <c r="X35" s="1264"/>
      <c r="Y35" s="3481"/>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79"/>
      <c r="Q36" s="1262" t="str">
        <f t="shared" si="8"/>
        <v>公共部分装修</v>
      </c>
      <c r="R36" s="667" t="s">
        <v>14</v>
      </c>
      <c r="S36" s="668">
        <f t="shared" si="9"/>
        <v>100</v>
      </c>
      <c r="T36" s="667" t="s">
        <v>14</v>
      </c>
      <c r="U36" s="668">
        <f t="shared" si="10"/>
        <v>100</v>
      </c>
      <c r="V36" s="667" t="s">
        <v>14</v>
      </c>
      <c r="W36" s="668">
        <f t="shared" si="11"/>
        <v>100</v>
      </c>
      <c r="X36" s="1264"/>
      <c r="Y36" s="3481"/>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79"/>
      <c r="Q37" s="1262" t="str">
        <f t="shared" si="8"/>
        <v>成新度</v>
      </c>
      <c r="R37" s="667" t="s">
        <v>14</v>
      </c>
      <c r="S37" s="668" t="e">
        <f t="shared" si="9"/>
        <v>#N/A</v>
      </c>
      <c r="T37" s="667" t="s">
        <v>14</v>
      </c>
      <c r="U37" s="668" t="e">
        <f t="shared" si="10"/>
        <v>#N/A</v>
      </c>
      <c r="V37" s="667" t="s">
        <v>14</v>
      </c>
      <c r="W37" s="668" t="e">
        <f t="shared" si="11"/>
        <v>#N/A</v>
      </c>
      <c r="X37" s="1264"/>
      <c r="Y37" s="3481"/>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79"/>
      <c r="Q38" s="530" t="str">
        <f t="shared" si="8"/>
        <v>写字楼等级</v>
      </c>
      <c r="R38" s="664" t="s">
        <v>14</v>
      </c>
      <c r="S38" s="665">
        <f t="shared" si="9"/>
        <v>100</v>
      </c>
      <c r="T38" s="664" t="s">
        <v>14</v>
      </c>
      <c r="U38" s="665">
        <f t="shared" si="10"/>
        <v>100</v>
      </c>
      <c r="V38" s="664" t="s">
        <v>14</v>
      </c>
      <c r="W38" s="665">
        <f t="shared" si="11"/>
        <v>100</v>
      </c>
      <c r="X38" s="666"/>
      <c r="Y38" s="3481"/>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79" t="s">
        <v>1696</v>
      </c>
      <c r="Q39" s="1262" t="str">
        <f t="shared" si="8"/>
        <v>物业管理</v>
      </c>
      <c r="R39" s="667" t="s">
        <v>14</v>
      </c>
      <c r="S39" s="668">
        <f t="shared" si="9"/>
        <v>100</v>
      </c>
      <c r="T39" s="667" t="s">
        <v>14</v>
      </c>
      <c r="U39" s="668">
        <f t="shared" si="10"/>
        <v>100</v>
      </c>
      <c r="V39" s="667" t="s">
        <v>14</v>
      </c>
      <c r="W39" s="668">
        <f t="shared" si="11"/>
        <v>100</v>
      </c>
      <c r="X39" s="1264"/>
      <c r="Y39" s="3481"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79"/>
      <c r="Q40" s="1262" t="str">
        <f t="shared" si="8"/>
        <v>市政基础设施</v>
      </c>
      <c r="R40" s="667" t="s">
        <v>14</v>
      </c>
      <c r="S40" s="668">
        <f t="shared" si="9"/>
        <v>100</v>
      </c>
      <c r="T40" s="667" t="s">
        <v>14</v>
      </c>
      <c r="U40" s="668">
        <f t="shared" si="10"/>
        <v>100</v>
      </c>
      <c r="V40" s="667" t="s">
        <v>14</v>
      </c>
      <c r="W40" s="668">
        <f t="shared" si="11"/>
        <v>100</v>
      </c>
      <c r="X40" s="1264"/>
      <c r="Y40" s="3481"/>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79"/>
      <c r="Q41" s="1262" t="str">
        <f t="shared" si="8"/>
        <v>层高</v>
      </c>
      <c r="R41" s="667" t="s">
        <v>14</v>
      </c>
      <c r="S41" s="668">
        <f t="shared" si="9"/>
        <v>100</v>
      </c>
      <c r="T41" s="667" t="s">
        <v>14</v>
      </c>
      <c r="U41" s="668">
        <f t="shared" si="10"/>
        <v>100</v>
      </c>
      <c r="V41" s="667" t="s">
        <v>14</v>
      </c>
      <c r="W41" s="668">
        <f t="shared" si="11"/>
        <v>100</v>
      </c>
      <c r="X41" s="1264"/>
      <c r="Y41" s="3481"/>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79"/>
      <c r="Q42" s="531" t="str">
        <f t="shared" si="8"/>
        <v>单套建筑面积</v>
      </c>
      <c r="R42" s="669" t="s">
        <v>14</v>
      </c>
      <c r="S42" s="670">
        <f t="shared" si="9"/>
        <v>100</v>
      </c>
      <c r="T42" s="669" t="s">
        <v>14</v>
      </c>
      <c r="U42" s="670">
        <f t="shared" si="10"/>
        <v>100</v>
      </c>
      <c r="V42" s="669" t="s">
        <v>14</v>
      </c>
      <c r="W42" s="670">
        <f t="shared" si="11"/>
        <v>100</v>
      </c>
      <c r="X42" s="671"/>
      <c r="Y42" s="3481"/>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79"/>
      <c r="Q43" s="1262" t="str">
        <f t="shared" si="8"/>
        <v>内部装修</v>
      </c>
      <c r="R43" s="667" t="s">
        <v>14</v>
      </c>
      <c r="S43" s="668">
        <f t="shared" si="9"/>
        <v>100</v>
      </c>
      <c r="T43" s="667" t="s">
        <v>14</v>
      </c>
      <c r="U43" s="668">
        <f t="shared" si="10"/>
        <v>100</v>
      </c>
      <c r="V43" s="667" t="s">
        <v>14</v>
      </c>
      <c r="W43" s="668">
        <f t="shared" si="11"/>
        <v>100</v>
      </c>
      <c r="X43" s="1264"/>
      <c r="Y43" s="3481"/>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79"/>
      <c r="Q44" s="1262" t="str">
        <f t="shared" si="8"/>
        <v>内部装修维护情况</v>
      </c>
      <c r="R44" s="667" t="s">
        <v>14</v>
      </c>
      <c r="S44" s="668">
        <f t="shared" si="9"/>
        <v>100</v>
      </c>
      <c r="T44" s="667" t="s">
        <v>14</v>
      </c>
      <c r="U44" s="668">
        <f t="shared" si="10"/>
        <v>100</v>
      </c>
      <c r="V44" s="667" t="s">
        <v>14</v>
      </c>
      <c r="W44" s="668">
        <f t="shared" si="11"/>
        <v>100</v>
      </c>
      <c r="X44" s="1264"/>
      <c r="Y44" s="3481"/>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79"/>
      <c r="Q45" s="530">
        <f t="shared" si="8"/>
        <v>111</v>
      </c>
      <c r="R45" s="664" t="s">
        <v>14</v>
      </c>
      <c r="S45" s="665">
        <f t="shared" si="9"/>
        <v>100</v>
      </c>
      <c r="T45" s="664" t="s">
        <v>14</v>
      </c>
      <c r="U45" s="665">
        <f t="shared" si="10"/>
        <v>100</v>
      </c>
      <c r="V45" s="664" t="s">
        <v>14</v>
      </c>
      <c r="W45" s="665">
        <f t="shared" si="11"/>
        <v>100</v>
      </c>
      <c r="X45" s="666"/>
      <c r="Y45" s="3481"/>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79"/>
      <c r="Q46" s="1262">
        <f t="shared" si="8"/>
        <v>111</v>
      </c>
      <c r="R46" s="667" t="s">
        <v>14</v>
      </c>
      <c r="S46" s="668">
        <f t="shared" si="9"/>
        <v>100</v>
      </c>
      <c r="T46" s="667" t="s">
        <v>14</v>
      </c>
      <c r="U46" s="668">
        <f t="shared" si="10"/>
        <v>100</v>
      </c>
      <c r="V46" s="667" t="s">
        <v>14</v>
      </c>
      <c r="W46" s="668">
        <f t="shared" si="11"/>
        <v>100</v>
      </c>
      <c r="X46" s="1264"/>
      <c r="Y46" s="3481"/>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80"/>
      <c r="Q47" s="1262">
        <f t="shared" si="8"/>
        <v>111</v>
      </c>
      <c r="R47" s="667" t="s">
        <v>14</v>
      </c>
      <c r="S47" s="668">
        <f t="shared" si="9"/>
        <v>100</v>
      </c>
      <c r="T47" s="667" t="s">
        <v>14</v>
      </c>
      <c r="U47" s="668">
        <f t="shared" si="10"/>
        <v>100</v>
      </c>
      <c r="V47" s="667" t="s">
        <v>14</v>
      </c>
      <c r="W47" s="668">
        <f t="shared" si="11"/>
        <v>100</v>
      </c>
      <c r="X47" s="1264"/>
      <c r="Y47" s="3482"/>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85" t="str">
        <f>A48</f>
        <v>成交单价（元/平方米）</v>
      </c>
      <c r="Q48" s="3474"/>
      <c r="R48" s="3475">
        <f>E48</f>
        <v>0</v>
      </c>
      <c r="S48" s="3475"/>
      <c r="T48" s="3475">
        <f>G48</f>
        <v>0</v>
      </c>
      <c r="U48" s="3475"/>
      <c r="V48" s="3475">
        <f>I48</f>
        <v>0</v>
      </c>
      <c r="W48" s="3475"/>
      <c r="X48" s="385"/>
      <c r="Y48" s="673"/>
      <c r="Z48" s="385"/>
      <c r="AA48" s="385"/>
      <c r="AB48" s="385"/>
      <c r="AC48" s="555"/>
    </row>
    <row r="49" spans="1:29" ht="15.75" thickBot="1">
      <c r="A49" s="423" t="s">
        <v>1790</v>
      </c>
      <c r="B49" s="424"/>
      <c r="C49" s="1082" t="e">
        <f>R50</f>
        <v>#DIV/0!</v>
      </c>
      <c r="D49" s="2137" t="s">
        <v>2134</v>
      </c>
      <c r="E49" s="1083" t="e">
        <f>R49</f>
        <v>#DIV/0!</v>
      </c>
      <c r="F49" s="2138"/>
      <c r="G49" s="1082" t="e">
        <f>T49</f>
        <v>#DIV/0!</v>
      </c>
      <c r="H49" s="2138"/>
      <c r="I49" s="1083" t="e">
        <f>V49</f>
        <v>#DIV/0!</v>
      </c>
      <c r="J49" s="2138"/>
      <c r="K49" s="2140">
        <f>F49+H49+J49</f>
        <v>0</v>
      </c>
      <c r="L49" s="2490"/>
      <c r="M49" s="2483"/>
      <c r="N49" s="2483"/>
      <c r="O49" s="2483"/>
      <c r="P49" s="3485" t="str">
        <f>A49</f>
        <v>比较价值（元/平方米）</v>
      </c>
      <c r="Q49" s="347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89" t="s">
        <v>1767</v>
      </c>
      <c r="D4" s="3490"/>
      <c r="E4" s="3491" t="s">
        <v>1768</v>
      </c>
      <c r="F4" s="3492"/>
      <c r="G4" s="3489" t="s">
        <v>1769</v>
      </c>
      <c r="H4" s="3490"/>
      <c r="I4" s="3489" t="s">
        <v>1770</v>
      </c>
      <c r="J4" s="3490"/>
      <c r="K4" s="537" t="s">
        <v>1771</v>
      </c>
      <c r="L4" s="860"/>
      <c r="M4" s="861"/>
      <c r="N4" s="861"/>
      <c r="O4" s="861"/>
      <c r="P4" s="3493" t="s">
        <v>1772</v>
      </c>
      <c r="Q4" s="3494"/>
      <c r="R4" s="3499" t="s">
        <v>1768</v>
      </c>
      <c r="S4" s="3500"/>
      <c r="T4" s="3499" t="s">
        <v>1769</v>
      </c>
      <c r="U4" s="3500"/>
      <c r="V4" s="3475" t="s">
        <v>1770</v>
      </c>
      <c r="W4" s="3475"/>
      <c r="X4" s="1264"/>
      <c r="Y4" s="3499" t="s">
        <v>1772</v>
      </c>
      <c r="Z4" s="3500"/>
      <c r="AA4" s="3486" t="s">
        <v>1768</v>
      </c>
      <c r="AB4" s="3487" t="s">
        <v>1769</v>
      </c>
      <c r="AC4" s="3486" t="s">
        <v>1770</v>
      </c>
    </row>
    <row r="5" spans="1:29" ht="15">
      <c r="A5" s="348"/>
      <c r="B5" s="349"/>
      <c r="C5" s="3516" t="s">
        <v>1673</v>
      </c>
      <c r="D5" s="3508"/>
      <c r="E5" s="3517" t="s">
        <v>1674</v>
      </c>
      <c r="F5" s="3515"/>
      <c r="G5" s="3516" t="s">
        <v>1675</v>
      </c>
      <c r="H5" s="3508"/>
      <c r="I5" s="3516" t="s">
        <v>1676</v>
      </c>
      <c r="J5" s="3508"/>
      <c r="K5" s="537"/>
      <c r="L5" s="860"/>
      <c r="M5" s="861"/>
      <c r="N5" s="861"/>
      <c r="O5" s="861"/>
      <c r="P5" s="3495"/>
      <c r="Q5" s="3496"/>
      <c r="R5" s="3501"/>
      <c r="S5" s="3502"/>
      <c r="T5" s="3501"/>
      <c r="U5" s="3502"/>
      <c r="V5" s="3475"/>
      <c r="W5" s="3475"/>
      <c r="X5" s="1264"/>
      <c r="Y5" s="3501"/>
      <c r="Z5" s="3502"/>
      <c r="AA5" s="3487"/>
      <c r="AB5" s="3487"/>
      <c r="AC5" s="3487"/>
    </row>
    <row r="6" spans="1:29" ht="15.75" thickBot="1">
      <c r="A6" s="350"/>
      <c r="B6" s="351"/>
      <c r="C6" s="3505" t="s">
        <v>1677</v>
      </c>
      <c r="D6" s="3506"/>
      <c r="E6" s="3512" t="s">
        <v>1677</v>
      </c>
      <c r="F6" s="3513"/>
      <c r="G6" s="3505" t="s">
        <v>1677</v>
      </c>
      <c r="H6" s="3506"/>
      <c r="I6" s="3505" t="s">
        <v>1677</v>
      </c>
      <c r="J6" s="3506"/>
      <c r="K6" s="537" t="s">
        <v>1678</v>
      </c>
      <c r="L6" s="860"/>
      <c r="M6" s="861"/>
      <c r="N6" s="861"/>
      <c r="O6" s="861"/>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509" t="s">
        <v>1680</v>
      </c>
      <c r="Q7" s="3511"/>
      <c r="R7" s="664" t="s">
        <v>14</v>
      </c>
      <c r="S7" s="665">
        <f t="shared" ref="S7:S15" si="0">F7</f>
        <v>0</v>
      </c>
      <c r="T7" s="664" t="s">
        <v>14</v>
      </c>
      <c r="U7" s="665">
        <f t="shared" ref="U7:U15" si="1">H7</f>
        <v>0</v>
      </c>
      <c r="V7" s="664" t="s">
        <v>14</v>
      </c>
      <c r="W7" s="665">
        <f t="shared" ref="W7:W15" si="2">J7</f>
        <v>0</v>
      </c>
      <c r="X7" s="666"/>
      <c r="Y7" s="3509" t="s">
        <v>1680</v>
      </c>
      <c r="Z7" s="351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9" t="s">
        <v>1683</v>
      </c>
      <c r="Q8" s="3510"/>
      <c r="R8" s="664" t="s">
        <v>14</v>
      </c>
      <c r="S8" s="665">
        <f t="shared" si="0"/>
        <v>100</v>
      </c>
      <c r="T8" s="664" t="s">
        <v>14</v>
      </c>
      <c r="U8" s="665">
        <f t="shared" si="1"/>
        <v>100</v>
      </c>
      <c r="V8" s="664" t="s">
        <v>14</v>
      </c>
      <c r="W8" s="665">
        <f t="shared" si="2"/>
        <v>100</v>
      </c>
      <c r="X8" s="666"/>
      <c r="Y8" s="3509" t="s">
        <v>1683</v>
      </c>
      <c r="Z8" s="35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4"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74"/>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4"/>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74"/>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74"/>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74"/>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6" t="s">
        <v>1691</v>
      </c>
      <c r="Q15" s="1262" t="str">
        <f t="shared" si="6"/>
        <v>产业集聚程度</v>
      </c>
      <c r="R15" s="667" t="s">
        <v>14</v>
      </c>
      <c r="S15" s="668">
        <f t="shared" si="0"/>
        <v>100</v>
      </c>
      <c r="T15" s="667" t="s">
        <v>14</v>
      </c>
      <c r="U15" s="668">
        <f t="shared" si="1"/>
        <v>100</v>
      </c>
      <c r="V15" s="667" t="s">
        <v>14</v>
      </c>
      <c r="W15" s="668">
        <f t="shared" si="2"/>
        <v>100</v>
      </c>
      <c r="X15" s="1264"/>
      <c r="Y15" s="347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7"/>
      <c r="Q16" s="1262"/>
      <c r="R16" s="667"/>
      <c r="S16" s="668"/>
      <c r="T16" s="667"/>
      <c r="U16" s="668"/>
      <c r="V16" s="667"/>
      <c r="W16" s="668"/>
      <c r="X16" s="1264"/>
      <c r="Y16" s="3477"/>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7"/>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77"/>
      <c r="Q18" s="1262"/>
      <c r="R18" s="667"/>
      <c r="S18" s="668"/>
      <c r="T18" s="667"/>
      <c r="U18" s="668"/>
      <c r="V18" s="667"/>
      <c r="W18" s="668"/>
      <c r="X18" s="1264"/>
      <c r="Y18" s="3477"/>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7"/>
      <c r="Q19" s="1262" t="str">
        <f>B19</f>
        <v>公共配套设施</v>
      </c>
      <c r="R19" s="667" t="s">
        <v>14</v>
      </c>
      <c r="S19" s="668">
        <f>F19</f>
        <v>100</v>
      </c>
      <c r="T19" s="667" t="s">
        <v>14</v>
      </c>
      <c r="U19" s="668">
        <f>H19</f>
        <v>100</v>
      </c>
      <c r="V19" s="667" t="s">
        <v>14</v>
      </c>
      <c r="W19" s="668">
        <f>J19</f>
        <v>100</v>
      </c>
      <c r="X19" s="1264"/>
      <c r="Y19" s="347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77"/>
      <c r="Q20" s="1262"/>
      <c r="R20" s="667"/>
      <c r="S20" s="668"/>
      <c r="T20" s="667"/>
      <c r="U20" s="668"/>
      <c r="V20" s="667"/>
      <c r="W20" s="668"/>
      <c r="X20" s="1264"/>
      <c r="Y20" s="3477"/>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7"/>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477"/>
      <c r="Q22" s="1262"/>
      <c r="R22" s="667"/>
      <c r="S22" s="668"/>
      <c r="T22" s="667"/>
      <c r="U22" s="668"/>
      <c r="V22" s="667"/>
      <c r="W22" s="668"/>
      <c r="X22" s="1264"/>
      <c r="Y22" s="3477"/>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7"/>
      <c r="Q23" s="1262" t="str">
        <f>B23</f>
        <v>环境质量</v>
      </c>
      <c r="R23" s="667" t="s">
        <v>14</v>
      </c>
      <c r="S23" s="668">
        <f>F23</f>
        <v>100</v>
      </c>
      <c r="T23" s="667" t="s">
        <v>14</v>
      </c>
      <c r="U23" s="668">
        <f>H23</f>
        <v>100</v>
      </c>
      <c r="V23" s="667" t="s">
        <v>14</v>
      </c>
      <c r="W23" s="668">
        <f>J23</f>
        <v>100</v>
      </c>
      <c r="X23" s="1264"/>
      <c r="Y23" s="3477"/>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77"/>
      <c r="Q24" s="1262"/>
      <c r="R24" s="667"/>
      <c r="S24" s="668"/>
      <c r="T24" s="667"/>
      <c r="U24" s="668"/>
      <c r="V24" s="667"/>
      <c r="W24" s="668"/>
      <c r="X24" s="1264"/>
      <c r="Y24" s="347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7"/>
      <c r="Q25" s="1262">
        <f>B25</f>
        <v>111</v>
      </c>
      <c r="R25" s="667" t="s">
        <v>14</v>
      </c>
      <c r="S25" s="668">
        <f>F25</f>
        <v>100</v>
      </c>
      <c r="T25" s="667" t="s">
        <v>14</v>
      </c>
      <c r="U25" s="668">
        <f>H25</f>
        <v>100</v>
      </c>
      <c r="V25" s="667" t="s">
        <v>14</v>
      </c>
      <c r="W25" s="668">
        <f>J25</f>
        <v>100</v>
      </c>
      <c r="X25" s="1264"/>
      <c r="Y25" s="347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7"/>
      <c r="Q26" s="1262">
        <f t="shared" ref="Q26:Q40" si="8">B26</f>
        <v>111</v>
      </c>
      <c r="R26" s="667" t="s">
        <v>14</v>
      </c>
      <c r="S26" s="668">
        <f>F26</f>
        <v>100</v>
      </c>
      <c r="T26" s="667" t="s">
        <v>14</v>
      </c>
      <c r="U26" s="668">
        <f>H26</f>
        <v>100</v>
      </c>
      <c r="V26" s="667" t="s">
        <v>14</v>
      </c>
      <c r="W26" s="668">
        <f>J26</f>
        <v>100</v>
      </c>
      <c r="X26" s="1264"/>
      <c r="Y26" s="347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7"/>
      <c r="Q27" s="530">
        <f t="shared" si="8"/>
        <v>111</v>
      </c>
      <c r="R27" s="664" t="s">
        <v>14</v>
      </c>
      <c r="S27" s="665">
        <f>F27</f>
        <v>100</v>
      </c>
      <c r="T27" s="664" t="s">
        <v>14</v>
      </c>
      <c r="U27" s="665">
        <f>H27</f>
        <v>100</v>
      </c>
      <c r="V27" s="664" t="s">
        <v>14</v>
      </c>
      <c r="W27" s="665">
        <f>J27</f>
        <v>100</v>
      </c>
      <c r="X27" s="666"/>
      <c r="Y27" s="347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7"/>
      <c r="Q28" s="1262">
        <f t="shared" si="8"/>
        <v>111</v>
      </c>
      <c r="R28" s="667" t="s">
        <v>14</v>
      </c>
      <c r="S28" s="668">
        <f t="shared" ref="S28:S40" si="9">F28</f>
        <v>100</v>
      </c>
      <c r="T28" s="667" t="s">
        <v>14</v>
      </c>
      <c r="U28" s="668">
        <f t="shared" ref="U28:U40" si="10">H28</f>
        <v>100</v>
      </c>
      <c r="V28" s="667" t="s">
        <v>14</v>
      </c>
      <c r="W28" s="668">
        <f t="shared" ref="W28:W40" si="11">J28</f>
        <v>100</v>
      </c>
      <c r="X28" s="1264"/>
      <c r="Y28" s="3477"/>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3" t="s">
        <v>1696</v>
      </c>
      <c r="Q29" s="1262" t="str">
        <f t="shared" si="8"/>
        <v>建筑类型</v>
      </c>
      <c r="R29" s="667" t="s">
        <v>14</v>
      </c>
      <c r="S29" s="668">
        <f t="shared" si="9"/>
        <v>100</v>
      </c>
      <c r="T29" s="667" t="s">
        <v>14</v>
      </c>
      <c r="U29" s="668">
        <f t="shared" si="10"/>
        <v>100</v>
      </c>
      <c r="V29" s="667" t="s">
        <v>14</v>
      </c>
      <c r="W29" s="668">
        <f t="shared" si="11"/>
        <v>100</v>
      </c>
      <c r="X29" s="1264"/>
      <c r="Y29" s="3481"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1"/>
      <c r="Q30" s="531" t="str">
        <f t="shared" si="8"/>
        <v>项目建筑规模</v>
      </c>
      <c r="R30" s="669" t="s">
        <v>14</v>
      </c>
      <c r="S30" s="670" t="e">
        <f t="shared" si="9"/>
        <v>#N/A</v>
      </c>
      <c r="T30" s="669" t="s">
        <v>14</v>
      </c>
      <c r="U30" s="670" t="e">
        <f t="shared" si="10"/>
        <v>#N/A</v>
      </c>
      <c r="V30" s="669" t="s">
        <v>14</v>
      </c>
      <c r="W30" s="670" t="e">
        <f t="shared" si="11"/>
        <v>#N/A</v>
      </c>
      <c r="X30" s="671"/>
      <c r="Y30" s="3481"/>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1"/>
      <c r="Q31" s="1262" t="str">
        <f t="shared" si="8"/>
        <v>建筑结构</v>
      </c>
      <c r="R31" s="667" t="s">
        <v>14</v>
      </c>
      <c r="S31" s="668">
        <f t="shared" si="9"/>
        <v>100</v>
      </c>
      <c r="T31" s="667" t="s">
        <v>14</v>
      </c>
      <c r="U31" s="668">
        <f t="shared" si="10"/>
        <v>100</v>
      </c>
      <c r="V31" s="667" t="s">
        <v>14</v>
      </c>
      <c r="W31" s="668">
        <f t="shared" si="11"/>
        <v>100</v>
      </c>
      <c r="X31" s="1264"/>
      <c r="Y31" s="3481"/>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1"/>
      <c r="Q32" s="1262" t="str">
        <f t="shared" si="8"/>
        <v>公共部分装修</v>
      </c>
      <c r="R32" s="667" t="s">
        <v>14</v>
      </c>
      <c r="S32" s="668">
        <f t="shared" si="9"/>
        <v>100</v>
      </c>
      <c r="T32" s="667" t="s">
        <v>14</v>
      </c>
      <c r="U32" s="668">
        <f t="shared" si="10"/>
        <v>100</v>
      </c>
      <c r="V32" s="667" t="s">
        <v>14</v>
      </c>
      <c r="W32" s="668">
        <f t="shared" si="11"/>
        <v>100</v>
      </c>
      <c r="X32" s="1264"/>
      <c r="Y32" s="3481"/>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1"/>
      <c r="Q33" s="1262" t="str">
        <f t="shared" si="8"/>
        <v>成新度</v>
      </c>
      <c r="R33" s="667" t="s">
        <v>14</v>
      </c>
      <c r="S33" s="668" t="e">
        <f t="shared" si="9"/>
        <v>#N/A</v>
      </c>
      <c r="T33" s="667" t="s">
        <v>14</v>
      </c>
      <c r="U33" s="668" t="e">
        <f t="shared" si="10"/>
        <v>#N/A</v>
      </c>
      <c r="V33" s="667" t="s">
        <v>14</v>
      </c>
      <c r="W33" s="668" t="e">
        <f t="shared" si="11"/>
        <v>#N/A</v>
      </c>
      <c r="X33" s="1264"/>
      <c r="Y33" s="3481"/>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1"/>
      <c r="Q34" s="530" t="str">
        <f t="shared" si="8"/>
        <v>物业管理</v>
      </c>
      <c r="R34" s="664" t="s">
        <v>14</v>
      </c>
      <c r="S34" s="665">
        <f t="shared" si="9"/>
        <v>100</v>
      </c>
      <c r="T34" s="664" t="s">
        <v>14</v>
      </c>
      <c r="U34" s="665">
        <f t="shared" si="10"/>
        <v>100</v>
      </c>
      <c r="V34" s="664" t="s">
        <v>14</v>
      </c>
      <c r="W34" s="665">
        <f t="shared" si="11"/>
        <v>100</v>
      </c>
      <c r="X34" s="666"/>
      <c r="Y34" s="3481"/>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1" t="s">
        <v>1696</v>
      </c>
      <c r="Q35" s="1262" t="str">
        <f t="shared" si="8"/>
        <v>市政基础设施</v>
      </c>
      <c r="R35" s="667" t="s">
        <v>14</v>
      </c>
      <c r="S35" s="668">
        <f t="shared" si="9"/>
        <v>100</v>
      </c>
      <c r="T35" s="667" t="s">
        <v>14</v>
      </c>
      <c r="U35" s="668">
        <f t="shared" si="10"/>
        <v>100</v>
      </c>
      <c r="V35" s="667" t="s">
        <v>14</v>
      </c>
      <c r="W35" s="668">
        <f t="shared" si="11"/>
        <v>100</v>
      </c>
      <c r="X35" s="1264"/>
      <c r="Y35" s="3481"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1"/>
      <c r="Q36" s="1262" t="str">
        <f t="shared" si="8"/>
        <v>内部装修</v>
      </c>
      <c r="R36" s="667" t="s">
        <v>14</v>
      </c>
      <c r="S36" s="668">
        <f t="shared" si="9"/>
        <v>100</v>
      </c>
      <c r="T36" s="667" t="s">
        <v>14</v>
      </c>
      <c r="U36" s="668">
        <f t="shared" si="10"/>
        <v>100</v>
      </c>
      <c r="V36" s="667" t="s">
        <v>14</v>
      </c>
      <c r="W36" s="668">
        <f t="shared" si="11"/>
        <v>100</v>
      </c>
      <c r="X36" s="1264"/>
      <c r="Y36" s="3481"/>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1"/>
      <c r="Q37" s="1262" t="str">
        <f t="shared" si="8"/>
        <v>内部装修状况</v>
      </c>
      <c r="R37" s="667" t="s">
        <v>14</v>
      </c>
      <c r="S37" s="668">
        <f t="shared" si="9"/>
        <v>100</v>
      </c>
      <c r="T37" s="667" t="s">
        <v>14</v>
      </c>
      <c r="U37" s="668">
        <f t="shared" si="10"/>
        <v>100</v>
      </c>
      <c r="V37" s="667" t="s">
        <v>14</v>
      </c>
      <c r="W37" s="668">
        <f t="shared" si="11"/>
        <v>100</v>
      </c>
      <c r="X37" s="1264"/>
      <c r="Y37" s="3481"/>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1"/>
      <c r="Q38" s="531">
        <f t="shared" si="8"/>
        <v>111</v>
      </c>
      <c r="R38" s="669" t="s">
        <v>14</v>
      </c>
      <c r="S38" s="670">
        <f t="shared" si="9"/>
        <v>100</v>
      </c>
      <c r="T38" s="669" t="s">
        <v>14</v>
      </c>
      <c r="U38" s="670">
        <f t="shared" si="10"/>
        <v>100</v>
      </c>
      <c r="V38" s="669" t="s">
        <v>14</v>
      </c>
      <c r="W38" s="670">
        <f t="shared" si="11"/>
        <v>100</v>
      </c>
      <c r="X38" s="671"/>
      <c r="Y38" s="3481"/>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1"/>
      <c r="Q39" s="1262">
        <f t="shared" si="8"/>
        <v>111</v>
      </c>
      <c r="R39" s="667" t="s">
        <v>14</v>
      </c>
      <c r="S39" s="668">
        <f t="shared" si="9"/>
        <v>100</v>
      </c>
      <c r="T39" s="667" t="s">
        <v>14</v>
      </c>
      <c r="U39" s="668">
        <f t="shared" si="10"/>
        <v>100</v>
      </c>
      <c r="V39" s="667" t="s">
        <v>14</v>
      </c>
      <c r="W39" s="668">
        <f t="shared" si="11"/>
        <v>100</v>
      </c>
      <c r="X39" s="1264"/>
      <c r="Y39" s="3481"/>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2"/>
      <c r="Q40" s="1262">
        <f t="shared" si="8"/>
        <v>111</v>
      </c>
      <c r="R40" s="667" t="s">
        <v>14</v>
      </c>
      <c r="S40" s="668">
        <f t="shared" si="9"/>
        <v>100</v>
      </c>
      <c r="T40" s="667" t="s">
        <v>14</v>
      </c>
      <c r="U40" s="668">
        <f t="shared" si="10"/>
        <v>100</v>
      </c>
      <c r="V40" s="667" t="s">
        <v>14</v>
      </c>
      <c r="W40" s="668">
        <f t="shared" si="11"/>
        <v>100</v>
      </c>
      <c r="X40" s="1264"/>
      <c r="Y40" s="3482"/>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474" t="str">
        <f>A41</f>
        <v>成交单价（元/平方米）</v>
      </c>
      <c r="Q41" s="3474"/>
      <c r="R41" s="3475">
        <f>E41</f>
        <v>0</v>
      </c>
      <c r="S41" s="3475"/>
      <c r="T41" s="3475">
        <f>G41</f>
        <v>0</v>
      </c>
      <c r="U41" s="3475"/>
      <c r="V41" s="3475">
        <f>I41</f>
        <v>0</v>
      </c>
      <c r="W41" s="3475"/>
      <c r="X41" s="385"/>
      <c r="Y41" s="673"/>
      <c r="Z41" s="385"/>
      <c r="AA41" s="385"/>
      <c r="AB41" s="385"/>
      <c r="AC41" s="385"/>
    </row>
    <row r="42" spans="1:29" ht="15.75" thickBot="1">
      <c r="A42" s="423" t="s">
        <v>1790</v>
      </c>
      <c r="B42" s="424"/>
      <c r="C42" s="1082" t="e">
        <f>R43</f>
        <v>#DIV/0!</v>
      </c>
      <c r="D42" s="2137" t="s">
        <v>2134</v>
      </c>
      <c r="E42" s="1083" t="e">
        <f>R42</f>
        <v>#DIV/0!</v>
      </c>
      <c r="F42" s="2138"/>
      <c r="G42" s="1082" t="e">
        <f>T42</f>
        <v>#DIV/0!</v>
      </c>
      <c r="H42" s="2138"/>
      <c r="I42" s="1083" t="e">
        <f>V42</f>
        <v>#DIV/0!</v>
      </c>
      <c r="J42" s="2138"/>
      <c r="K42" s="2140">
        <f>F42+H42+J42</f>
        <v>0</v>
      </c>
      <c r="L42" s="873"/>
      <c r="M42" s="861"/>
      <c r="N42" s="861"/>
      <c r="O42" s="861"/>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3332</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493" t="s">
        <v>1772</v>
      </c>
      <c r="Q4" s="3494"/>
      <c r="R4" s="3499" t="s">
        <v>1768</v>
      </c>
      <c r="S4" s="3500"/>
      <c r="T4" s="3499" t="s">
        <v>1769</v>
      </c>
      <c r="U4" s="3500"/>
      <c r="V4" s="3475" t="s">
        <v>1770</v>
      </c>
      <c r="W4" s="3475"/>
      <c r="X4" s="1264"/>
      <c r="Y4" s="3499" t="s">
        <v>1772</v>
      </c>
      <c r="Z4" s="3500"/>
      <c r="AA4" s="3486" t="s">
        <v>1768</v>
      </c>
      <c r="AB4" s="3487" t="s">
        <v>1769</v>
      </c>
      <c r="AC4" s="3486" t="s">
        <v>1770</v>
      </c>
    </row>
    <row r="5" spans="1:29" ht="15">
      <c r="A5" s="348"/>
      <c r="B5" s="349"/>
      <c r="C5" s="3516" t="s">
        <v>1673</v>
      </c>
      <c r="D5" s="3508"/>
      <c r="E5" s="3517" t="s">
        <v>1674</v>
      </c>
      <c r="F5" s="3515"/>
      <c r="G5" s="3516" t="s">
        <v>1675</v>
      </c>
      <c r="H5" s="3508"/>
      <c r="I5" s="3516" t="s">
        <v>1676</v>
      </c>
      <c r="J5" s="3508"/>
      <c r="K5" s="537"/>
      <c r="L5" s="2482"/>
      <c r="M5" s="2483"/>
      <c r="N5" s="2483"/>
      <c r="O5" s="2483"/>
      <c r="P5" s="3495"/>
      <c r="Q5" s="3496"/>
      <c r="R5" s="3501"/>
      <c r="S5" s="3502"/>
      <c r="T5" s="3501"/>
      <c r="U5" s="3502"/>
      <c r="V5" s="3475"/>
      <c r="W5" s="3475"/>
      <c r="X5" s="1264"/>
      <c r="Y5" s="3501"/>
      <c r="Z5" s="3502"/>
      <c r="AA5" s="3487"/>
      <c r="AB5" s="3487"/>
      <c r="AC5" s="3487"/>
    </row>
    <row r="6" spans="1:29" ht="15.75" thickBot="1">
      <c r="A6" s="350"/>
      <c r="B6" s="351"/>
      <c r="C6" s="3505" t="s">
        <v>1677</v>
      </c>
      <c r="D6" s="3506"/>
      <c r="E6" s="3512" t="s">
        <v>1677</v>
      </c>
      <c r="F6" s="3513"/>
      <c r="G6" s="3505" t="s">
        <v>1677</v>
      </c>
      <c r="H6" s="3506"/>
      <c r="I6" s="3505" t="s">
        <v>1677</v>
      </c>
      <c r="J6" s="3506"/>
      <c r="K6" s="537" t="s">
        <v>1678</v>
      </c>
      <c r="L6" s="2482"/>
      <c r="M6" s="2483"/>
      <c r="N6" s="2483"/>
      <c r="O6" s="2483"/>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509" t="s">
        <v>1680</v>
      </c>
      <c r="Q7" s="3511"/>
      <c r="R7" s="664" t="s">
        <v>14</v>
      </c>
      <c r="S7" s="665">
        <f t="shared" ref="S7:S14" si="0">F7</f>
        <v>0</v>
      </c>
      <c r="T7" s="664" t="s">
        <v>14</v>
      </c>
      <c r="U7" s="665">
        <f t="shared" ref="U7:U14" si="1">H7</f>
        <v>0</v>
      </c>
      <c r="V7" s="664" t="s">
        <v>14</v>
      </c>
      <c r="W7" s="665">
        <f t="shared" ref="W7:W14" si="2">J7</f>
        <v>0</v>
      </c>
      <c r="X7" s="666"/>
      <c r="Y7" s="3509" t="s">
        <v>1680</v>
      </c>
      <c r="Z7" s="351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509" t="s">
        <v>1683</v>
      </c>
      <c r="Q8" s="3510"/>
      <c r="R8" s="664" t="s">
        <v>14</v>
      </c>
      <c r="S8" s="665">
        <f t="shared" si="0"/>
        <v>100</v>
      </c>
      <c r="T8" s="664" t="s">
        <v>14</v>
      </c>
      <c r="U8" s="665">
        <f t="shared" si="1"/>
        <v>100</v>
      </c>
      <c r="V8" s="664" t="s">
        <v>14</v>
      </c>
      <c r="W8" s="665">
        <f t="shared" si="2"/>
        <v>100</v>
      </c>
      <c r="X8" s="666"/>
      <c r="Y8" s="3509" t="s">
        <v>1683</v>
      </c>
      <c r="Z8" s="35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74"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74"/>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74"/>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74"/>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74"/>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76" t="s">
        <v>1691</v>
      </c>
      <c r="Q14" s="1262" t="str">
        <f t="shared" si="6"/>
        <v>交通便捷度</v>
      </c>
      <c r="R14" s="667" t="s">
        <v>14</v>
      </c>
      <c r="S14" s="668">
        <f t="shared" si="0"/>
        <v>100</v>
      </c>
      <c r="T14" s="667" t="s">
        <v>14</v>
      </c>
      <c r="U14" s="668">
        <f t="shared" si="1"/>
        <v>100</v>
      </c>
      <c r="V14" s="667" t="s">
        <v>14</v>
      </c>
      <c r="W14" s="668">
        <f t="shared" si="2"/>
        <v>100</v>
      </c>
      <c r="X14" s="1264"/>
      <c r="Y14" s="347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77"/>
      <c r="Q15" s="1262"/>
      <c r="R15" s="667"/>
      <c r="S15" s="668"/>
      <c r="T15" s="667"/>
      <c r="U15" s="668"/>
      <c r="V15" s="667"/>
      <c r="W15" s="668"/>
      <c r="X15" s="1264"/>
      <c r="Y15" s="3477"/>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77"/>
      <c r="Q16" s="1262" t="str">
        <f>B16</f>
        <v>公共配套设施</v>
      </c>
      <c r="R16" s="667" t="s">
        <v>14</v>
      </c>
      <c r="S16" s="668">
        <f>F16</f>
        <v>100</v>
      </c>
      <c r="T16" s="667" t="s">
        <v>14</v>
      </c>
      <c r="U16" s="668">
        <f>H16</f>
        <v>100</v>
      </c>
      <c r="V16" s="667" t="s">
        <v>14</v>
      </c>
      <c r="W16" s="668">
        <f>J16</f>
        <v>100</v>
      </c>
      <c r="X16" s="1264"/>
      <c r="Y16" s="3477"/>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477"/>
      <c r="Q17" s="1262"/>
      <c r="R17" s="667"/>
      <c r="S17" s="668"/>
      <c r="T17" s="667"/>
      <c r="U17" s="668"/>
      <c r="V17" s="667"/>
      <c r="W17" s="668"/>
      <c r="X17" s="1264"/>
      <c r="Y17" s="3477"/>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77"/>
      <c r="Q18" s="1262" t="str">
        <f>B18</f>
        <v>基础设施水平</v>
      </c>
      <c r="R18" s="667" t="s">
        <v>14</v>
      </c>
      <c r="S18" s="668">
        <f>F18</f>
        <v>100</v>
      </c>
      <c r="T18" s="667" t="s">
        <v>14</v>
      </c>
      <c r="U18" s="668">
        <f>H18</f>
        <v>100</v>
      </c>
      <c r="V18" s="667" t="s">
        <v>14</v>
      </c>
      <c r="W18" s="668">
        <f>J18</f>
        <v>100</v>
      </c>
      <c r="X18" s="1264"/>
      <c r="Y18" s="3477"/>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477"/>
      <c r="Q19" s="1262"/>
      <c r="R19" s="667"/>
      <c r="S19" s="668"/>
      <c r="T19" s="667"/>
      <c r="U19" s="668"/>
      <c r="V19" s="667"/>
      <c r="W19" s="668"/>
      <c r="X19" s="1264"/>
      <c r="Y19" s="3477"/>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77"/>
      <c r="Q20" s="1262" t="str">
        <f>B20</f>
        <v>自然及人文环境</v>
      </c>
      <c r="R20" s="667" t="s">
        <v>14</v>
      </c>
      <c r="S20" s="668">
        <f>F20</f>
        <v>100</v>
      </c>
      <c r="T20" s="667" t="s">
        <v>14</v>
      </c>
      <c r="U20" s="668">
        <f>H20</f>
        <v>100</v>
      </c>
      <c r="V20" s="667" t="s">
        <v>14</v>
      </c>
      <c r="W20" s="668">
        <f>J20</f>
        <v>100</v>
      </c>
      <c r="X20" s="1264"/>
      <c r="Y20" s="34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77"/>
      <c r="Q21" s="1262"/>
      <c r="R21" s="667"/>
      <c r="S21" s="668"/>
      <c r="T21" s="667"/>
      <c r="U21" s="668"/>
      <c r="V21" s="667"/>
      <c r="W21" s="668"/>
      <c r="X21" s="1264"/>
      <c r="Y21" s="3477"/>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77"/>
      <c r="Q22" s="1262" t="str">
        <f>B22</f>
        <v>楼层</v>
      </c>
      <c r="R22" s="667" t="s">
        <v>14</v>
      </c>
      <c r="S22" s="668">
        <f>F22</f>
        <v>100</v>
      </c>
      <c r="T22" s="667" t="s">
        <v>14</v>
      </c>
      <c r="U22" s="668">
        <f>H22</f>
        <v>100</v>
      </c>
      <c r="V22" s="667" t="s">
        <v>14</v>
      </c>
      <c r="W22" s="668">
        <f>J22</f>
        <v>100</v>
      </c>
      <c r="X22" s="1264"/>
      <c r="Y22" s="34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77"/>
      <c r="Q23" s="1262">
        <f>B23</f>
        <v>111</v>
      </c>
      <c r="R23" s="667" t="s">
        <v>14</v>
      </c>
      <c r="S23" s="668">
        <f>F23</f>
        <v>100</v>
      </c>
      <c r="T23" s="667" t="s">
        <v>14</v>
      </c>
      <c r="U23" s="668">
        <f>H23</f>
        <v>100</v>
      </c>
      <c r="V23" s="667" t="s">
        <v>14</v>
      </c>
      <c r="W23" s="668">
        <f>J23</f>
        <v>100</v>
      </c>
      <c r="X23" s="1264"/>
      <c r="Y23" s="34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77"/>
      <c r="Q24" s="1262">
        <f t="shared" ref="Q24:Q36" si="8">B24</f>
        <v>111</v>
      </c>
      <c r="R24" s="667" t="s">
        <v>14</v>
      </c>
      <c r="S24" s="668">
        <f>F24</f>
        <v>100</v>
      </c>
      <c r="T24" s="667" t="s">
        <v>14</v>
      </c>
      <c r="U24" s="668">
        <f>H24</f>
        <v>100</v>
      </c>
      <c r="V24" s="667" t="s">
        <v>14</v>
      </c>
      <c r="W24" s="668">
        <f>J24</f>
        <v>100</v>
      </c>
      <c r="X24" s="1264"/>
      <c r="Y24" s="347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77"/>
      <c r="Q25" s="530">
        <f t="shared" si="8"/>
        <v>111</v>
      </c>
      <c r="R25" s="664" t="s">
        <v>14</v>
      </c>
      <c r="S25" s="665">
        <f>F25</f>
        <v>100</v>
      </c>
      <c r="T25" s="664" t="s">
        <v>14</v>
      </c>
      <c r="U25" s="665">
        <f>H25</f>
        <v>100</v>
      </c>
      <c r="V25" s="664" t="s">
        <v>14</v>
      </c>
      <c r="W25" s="665">
        <f>J25</f>
        <v>100</v>
      </c>
      <c r="X25" s="666"/>
      <c r="Y25" s="3477"/>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33"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81"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81"/>
      <c r="Q27" s="531" t="str">
        <f t="shared" si="8"/>
        <v>项目停车位配比</v>
      </c>
      <c r="R27" s="669" t="s">
        <v>14</v>
      </c>
      <c r="S27" s="670">
        <f t="shared" si="9"/>
        <v>100</v>
      </c>
      <c r="T27" s="669" t="s">
        <v>14</v>
      </c>
      <c r="U27" s="670">
        <f t="shared" si="10"/>
        <v>100</v>
      </c>
      <c r="V27" s="669" t="s">
        <v>14</v>
      </c>
      <c r="W27" s="670">
        <f t="shared" si="11"/>
        <v>100</v>
      </c>
      <c r="X27" s="671"/>
      <c r="Y27" s="3481"/>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81"/>
      <c r="Q28" s="1262" t="str">
        <f t="shared" si="8"/>
        <v>公共部分装修</v>
      </c>
      <c r="R28" s="667" t="s">
        <v>14</v>
      </c>
      <c r="S28" s="668">
        <f t="shared" si="9"/>
        <v>100</v>
      </c>
      <c r="T28" s="667" t="s">
        <v>14</v>
      </c>
      <c r="U28" s="668">
        <f t="shared" si="10"/>
        <v>100</v>
      </c>
      <c r="V28" s="667" t="s">
        <v>14</v>
      </c>
      <c r="W28" s="668">
        <f t="shared" si="11"/>
        <v>100</v>
      </c>
      <c r="X28" s="1264"/>
      <c r="Y28" s="3481"/>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81"/>
      <c r="Q29" s="1262" t="str">
        <f t="shared" si="8"/>
        <v>成新率</v>
      </c>
      <c r="R29" s="667" t="s">
        <v>14</v>
      </c>
      <c r="S29" s="668" t="e">
        <f t="shared" si="9"/>
        <v>#N/A</v>
      </c>
      <c r="T29" s="667" t="s">
        <v>14</v>
      </c>
      <c r="U29" s="668" t="e">
        <f t="shared" si="10"/>
        <v>#N/A</v>
      </c>
      <c r="V29" s="667" t="s">
        <v>14</v>
      </c>
      <c r="W29" s="668" t="e">
        <f t="shared" si="11"/>
        <v>#N/A</v>
      </c>
      <c r="X29" s="1264"/>
      <c r="Y29" s="3481"/>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81"/>
      <c r="Q30" s="1262" t="str">
        <f t="shared" si="8"/>
        <v>物业等级</v>
      </c>
      <c r="R30" s="667" t="s">
        <v>14</v>
      </c>
      <c r="S30" s="668">
        <f t="shared" si="9"/>
        <v>100</v>
      </c>
      <c r="T30" s="667" t="s">
        <v>14</v>
      </c>
      <c r="U30" s="668">
        <f t="shared" si="10"/>
        <v>100</v>
      </c>
      <c r="V30" s="667" t="s">
        <v>14</v>
      </c>
      <c r="W30" s="668">
        <f t="shared" si="11"/>
        <v>100</v>
      </c>
      <c r="X30" s="1264"/>
      <c r="Y30" s="3481"/>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81"/>
      <c r="Q31" s="530" t="str">
        <f t="shared" si="8"/>
        <v>停车位面积</v>
      </c>
      <c r="R31" s="664" t="s">
        <v>14</v>
      </c>
      <c r="S31" s="665" t="e">
        <f t="shared" si="9"/>
        <v>#N/A</v>
      </c>
      <c r="T31" s="664" t="s">
        <v>14</v>
      </c>
      <c r="U31" s="665" t="e">
        <f t="shared" si="10"/>
        <v>#N/A</v>
      </c>
      <c r="V31" s="664" t="s">
        <v>14</v>
      </c>
      <c r="W31" s="665" t="e">
        <f t="shared" si="11"/>
        <v>#N/A</v>
      </c>
      <c r="X31" s="666"/>
      <c r="Y31" s="3481"/>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81" t="s">
        <v>1696</v>
      </c>
      <c r="Q32" s="1262" t="str">
        <f t="shared" si="8"/>
        <v>车位类型</v>
      </c>
      <c r="R32" s="667" t="s">
        <v>14</v>
      </c>
      <c r="S32" s="668">
        <f t="shared" si="9"/>
        <v>100</v>
      </c>
      <c r="T32" s="667" t="s">
        <v>14</v>
      </c>
      <c r="U32" s="668">
        <f t="shared" si="10"/>
        <v>100</v>
      </c>
      <c r="V32" s="667" t="s">
        <v>14</v>
      </c>
      <c r="W32" s="668">
        <f t="shared" si="11"/>
        <v>100</v>
      </c>
      <c r="X32" s="1264"/>
      <c r="Y32" s="3481"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81"/>
      <c r="Q33" s="1262" t="str">
        <f t="shared" si="8"/>
        <v>是否直接入户</v>
      </c>
      <c r="R33" s="667" t="s">
        <v>14</v>
      </c>
      <c r="S33" s="668">
        <f t="shared" si="9"/>
        <v>100</v>
      </c>
      <c r="T33" s="667" t="s">
        <v>14</v>
      </c>
      <c r="U33" s="668">
        <f t="shared" si="10"/>
        <v>100</v>
      </c>
      <c r="V33" s="667" t="s">
        <v>14</v>
      </c>
      <c r="W33" s="668">
        <f t="shared" si="11"/>
        <v>100</v>
      </c>
      <c r="X33" s="1264"/>
      <c r="Y33" s="3481"/>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81"/>
      <c r="Q34" s="1262">
        <f t="shared" si="8"/>
        <v>111</v>
      </c>
      <c r="R34" s="667" t="s">
        <v>14</v>
      </c>
      <c r="S34" s="668">
        <f t="shared" si="9"/>
        <v>100</v>
      </c>
      <c r="T34" s="667" t="s">
        <v>14</v>
      </c>
      <c r="U34" s="668">
        <f t="shared" si="10"/>
        <v>100</v>
      </c>
      <c r="V34" s="667" t="s">
        <v>14</v>
      </c>
      <c r="W34" s="668">
        <f t="shared" si="11"/>
        <v>100</v>
      </c>
      <c r="X34" s="1264"/>
      <c r="Y34" s="3481"/>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81"/>
      <c r="Q35" s="531">
        <f t="shared" si="8"/>
        <v>111</v>
      </c>
      <c r="R35" s="669" t="s">
        <v>14</v>
      </c>
      <c r="S35" s="670">
        <f t="shared" si="9"/>
        <v>100</v>
      </c>
      <c r="T35" s="669" t="s">
        <v>14</v>
      </c>
      <c r="U35" s="670">
        <f t="shared" si="10"/>
        <v>100</v>
      </c>
      <c r="V35" s="669" t="s">
        <v>14</v>
      </c>
      <c r="W35" s="670">
        <f t="shared" si="11"/>
        <v>100</v>
      </c>
      <c r="X35" s="671"/>
      <c r="Y35" s="3481"/>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81"/>
      <c r="Q36" s="1262">
        <f t="shared" si="8"/>
        <v>111</v>
      </c>
      <c r="R36" s="667" t="s">
        <v>14</v>
      </c>
      <c r="S36" s="668">
        <f t="shared" si="9"/>
        <v>100</v>
      </c>
      <c r="T36" s="667" t="s">
        <v>14</v>
      </c>
      <c r="U36" s="668">
        <f t="shared" si="10"/>
        <v>100</v>
      </c>
      <c r="V36" s="667" t="s">
        <v>14</v>
      </c>
      <c r="W36" s="668">
        <f t="shared" si="11"/>
        <v>100</v>
      </c>
      <c r="X36" s="1264"/>
      <c r="Y36" s="3481"/>
      <c r="Z36" s="1263">
        <f t="shared" si="12"/>
        <v>111</v>
      </c>
      <c r="AA36" s="1263">
        <f t="shared" si="3"/>
        <v>1</v>
      </c>
      <c r="AB36" s="1263">
        <f t="shared" si="4"/>
        <v>1</v>
      </c>
      <c r="AC36" s="1263">
        <f t="shared" si="5"/>
        <v>1</v>
      </c>
    </row>
    <row r="37" spans="1:29" ht="15">
      <c r="A37" s="416" t="s">
        <v>1841</v>
      </c>
      <c r="B37" s="1817" t="s">
        <v>3353</v>
      </c>
      <c r="C37" s="1081" t="s">
        <v>0</v>
      </c>
      <c r="D37" s="418"/>
      <c r="E37" s="419"/>
      <c r="F37" s="420"/>
      <c r="G37" s="421"/>
      <c r="H37" s="422"/>
      <c r="I37" s="419"/>
      <c r="J37" s="422"/>
      <c r="K37" s="545"/>
      <c r="L37" s="2490"/>
      <c r="M37" s="2483"/>
      <c r="N37" s="2483"/>
      <c r="O37" s="2483"/>
      <c r="P37" s="3474" t="str">
        <f>A37</f>
        <v>成交单价</v>
      </c>
      <c r="Q37" s="3474"/>
      <c r="R37" s="3475">
        <f>E37</f>
        <v>0</v>
      </c>
      <c r="S37" s="3475"/>
      <c r="T37" s="3475">
        <f>G37</f>
        <v>0</v>
      </c>
      <c r="U37" s="3475"/>
      <c r="V37" s="3475">
        <f>I37</f>
        <v>0</v>
      </c>
      <c r="W37" s="3475"/>
      <c r="X37" s="385"/>
      <c r="Y37" s="673"/>
      <c r="Z37" s="385"/>
      <c r="AA37" s="385"/>
      <c r="AB37" s="385"/>
      <c r="AC37" s="385"/>
    </row>
    <row r="38" spans="1:29" ht="15.75" thickBot="1">
      <c r="A38" s="423" t="s">
        <v>1842</v>
      </c>
      <c r="B38" s="424" t="str">
        <f>B37</f>
        <v>元/平方米</v>
      </c>
      <c r="C38" s="1082" t="e">
        <f>R39</f>
        <v>#DIV/0!</v>
      </c>
      <c r="D38" s="2137" t="s">
        <v>2134</v>
      </c>
      <c r="E38" s="1083" t="e">
        <f>R38</f>
        <v>#DIV/0!</v>
      </c>
      <c r="F38" s="2138"/>
      <c r="G38" s="1082" t="e">
        <f>T38</f>
        <v>#DIV/0!</v>
      </c>
      <c r="H38" s="2138"/>
      <c r="I38" s="1083" t="e">
        <f>V38</f>
        <v>#DIV/0!</v>
      </c>
      <c r="J38" s="2138"/>
      <c r="K38" s="2140">
        <f>F38+H38+J38</f>
        <v>0</v>
      </c>
      <c r="L38" s="2490"/>
      <c r="M38" s="2483"/>
      <c r="N38" s="2483"/>
      <c r="O38" s="2483"/>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471" t="str">
        <f>A39</f>
        <v>估价对象XX用房的比较价值（楼面单价，元/平方米）</v>
      </c>
      <c r="Q39" s="3472"/>
      <c r="R39" s="3534" t="e">
        <f>IF(F1="售价",ROUND(IF(D38="简单平均",AVERAGE(R38:W38),R38*F38+T38*H38+V38*J38),0),ROUND(IF(D38="简单平均",AVERAGE(R38:V38),R38*F38+T38*H38+V38*J38),1))</f>
        <v>#DIV/0!</v>
      </c>
      <c r="S39" s="3534"/>
      <c r="T39" s="3534"/>
      <c r="U39" s="3534"/>
      <c r="V39" s="3534"/>
      <c r="W39" s="353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493" t="s">
        <v>1772</v>
      </c>
      <c r="Q4" s="3494"/>
      <c r="R4" s="3499" t="s">
        <v>1768</v>
      </c>
      <c r="S4" s="3500"/>
      <c r="T4" s="3499" t="s">
        <v>1769</v>
      </c>
      <c r="U4" s="3500"/>
      <c r="V4" s="3475" t="s">
        <v>1770</v>
      </c>
      <c r="W4" s="3475"/>
      <c r="X4" s="1264"/>
      <c r="Y4" s="3499" t="s">
        <v>1772</v>
      </c>
      <c r="Z4" s="3500"/>
      <c r="AA4" s="3486" t="s">
        <v>1768</v>
      </c>
      <c r="AB4" s="3487" t="s">
        <v>1769</v>
      </c>
      <c r="AC4" s="3486" t="s">
        <v>1770</v>
      </c>
    </row>
    <row r="5" spans="1:29" ht="15">
      <c r="A5" s="348"/>
      <c r="B5" s="349"/>
      <c r="C5" s="3516" t="s">
        <v>1673</v>
      </c>
      <c r="D5" s="3508"/>
      <c r="E5" s="3517" t="s">
        <v>1674</v>
      </c>
      <c r="F5" s="3515"/>
      <c r="G5" s="3516" t="s">
        <v>1675</v>
      </c>
      <c r="H5" s="3508"/>
      <c r="I5" s="3516" t="s">
        <v>1676</v>
      </c>
      <c r="J5" s="3508"/>
      <c r="K5" s="537"/>
      <c r="L5" s="2482"/>
      <c r="M5" s="2483"/>
      <c r="N5" s="2483"/>
      <c r="O5" s="2483"/>
      <c r="P5" s="3495"/>
      <c r="Q5" s="3496"/>
      <c r="R5" s="3501"/>
      <c r="S5" s="3502"/>
      <c r="T5" s="3501"/>
      <c r="U5" s="3502"/>
      <c r="V5" s="3475"/>
      <c r="W5" s="3475"/>
      <c r="X5" s="1264"/>
      <c r="Y5" s="3501"/>
      <c r="Z5" s="3502"/>
      <c r="AA5" s="3487"/>
      <c r="AB5" s="3487"/>
      <c r="AC5" s="3487"/>
    </row>
    <row r="6" spans="1:29" ht="15.75" thickBot="1">
      <c r="A6" s="350"/>
      <c r="B6" s="351"/>
      <c r="C6" s="3505" t="s">
        <v>1677</v>
      </c>
      <c r="D6" s="3506"/>
      <c r="E6" s="3512" t="s">
        <v>1677</v>
      </c>
      <c r="F6" s="3513"/>
      <c r="G6" s="3505" t="s">
        <v>1677</v>
      </c>
      <c r="H6" s="3506"/>
      <c r="I6" s="3505" t="s">
        <v>1677</v>
      </c>
      <c r="J6" s="3506"/>
      <c r="K6" s="537" t="s">
        <v>1678</v>
      </c>
      <c r="L6" s="2482"/>
      <c r="M6" s="2483"/>
      <c r="N6" s="2483"/>
      <c r="O6" s="2483"/>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509" t="s">
        <v>1680</v>
      </c>
      <c r="Q7" s="3511"/>
      <c r="R7" s="664" t="s">
        <v>14</v>
      </c>
      <c r="S7" s="665">
        <f t="shared" ref="S7:S14" si="0">F7</f>
        <v>0</v>
      </c>
      <c r="T7" s="664" t="s">
        <v>14</v>
      </c>
      <c r="U7" s="665">
        <f t="shared" ref="U7:U14" si="1">H7</f>
        <v>0</v>
      </c>
      <c r="V7" s="664" t="s">
        <v>14</v>
      </c>
      <c r="W7" s="665">
        <f t="shared" ref="W7:W14" si="2">J7</f>
        <v>0</v>
      </c>
      <c r="X7" s="666"/>
      <c r="Y7" s="3509" t="s">
        <v>1680</v>
      </c>
      <c r="Z7" s="351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509" t="s">
        <v>1683</v>
      </c>
      <c r="Q8" s="3510"/>
      <c r="R8" s="664" t="s">
        <v>14</v>
      </c>
      <c r="S8" s="665">
        <f t="shared" si="0"/>
        <v>100</v>
      </c>
      <c r="T8" s="664" t="s">
        <v>14</v>
      </c>
      <c r="U8" s="665">
        <f t="shared" si="1"/>
        <v>100</v>
      </c>
      <c r="V8" s="664" t="s">
        <v>14</v>
      </c>
      <c r="W8" s="665">
        <f t="shared" si="2"/>
        <v>100</v>
      </c>
      <c r="X8" s="666"/>
      <c r="Y8" s="3509" t="s">
        <v>1683</v>
      </c>
      <c r="Z8" s="35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74"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74"/>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74"/>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74"/>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74"/>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76" t="s">
        <v>1691</v>
      </c>
      <c r="Q14" s="1262" t="str">
        <f t="shared" si="6"/>
        <v>交通便捷度</v>
      </c>
      <c r="R14" s="667" t="s">
        <v>14</v>
      </c>
      <c r="S14" s="668">
        <f t="shared" si="0"/>
        <v>100</v>
      </c>
      <c r="T14" s="667" t="s">
        <v>14</v>
      </c>
      <c r="U14" s="668">
        <f t="shared" si="1"/>
        <v>100</v>
      </c>
      <c r="V14" s="667" t="s">
        <v>14</v>
      </c>
      <c r="W14" s="668">
        <f t="shared" si="2"/>
        <v>100</v>
      </c>
      <c r="X14" s="1264"/>
      <c r="Y14" s="347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77"/>
      <c r="Q15" s="1262"/>
      <c r="R15" s="667"/>
      <c r="S15" s="668"/>
      <c r="T15" s="667"/>
      <c r="U15" s="668"/>
      <c r="V15" s="667"/>
      <c r="W15" s="668"/>
      <c r="X15" s="1264"/>
      <c r="Y15" s="3477"/>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77"/>
      <c r="Q16" s="1262" t="str">
        <f>B16</f>
        <v>公共配套设施</v>
      </c>
      <c r="R16" s="667" t="s">
        <v>14</v>
      </c>
      <c r="S16" s="668">
        <f>F16</f>
        <v>100</v>
      </c>
      <c r="T16" s="667" t="s">
        <v>14</v>
      </c>
      <c r="U16" s="668">
        <f>H16</f>
        <v>100</v>
      </c>
      <c r="V16" s="667" t="s">
        <v>14</v>
      </c>
      <c r="W16" s="668">
        <f>J16</f>
        <v>100</v>
      </c>
      <c r="X16" s="1264"/>
      <c r="Y16" s="3477"/>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477"/>
      <c r="Q17" s="1262"/>
      <c r="R17" s="667"/>
      <c r="S17" s="668"/>
      <c r="T17" s="667"/>
      <c r="U17" s="668"/>
      <c r="V17" s="667"/>
      <c r="W17" s="668"/>
      <c r="X17" s="1264"/>
      <c r="Y17" s="3477"/>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77"/>
      <c r="Q18" s="1262" t="str">
        <f>B18</f>
        <v>基础设施水平</v>
      </c>
      <c r="R18" s="667" t="s">
        <v>14</v>
      </c>
      <c r="S18" s="668">
        <f>F18</f>
        <v>100</v>
      </c>
      <c r="T18" s="667" t="s">
        <v>14</v>
      </c>
      <c r="U18" s="668">
        <f>H18</f>
        <v>100</v>
      </c>
      <c r="V18" s="667" t="s">
        <v>14</v>
      </c>
      <c r="W18" s="668">
        <f>J18</f>
        <v>100</v>
      </c>
      <c r="X18" s="1264"/>
      <c r="Y18" s="3477"/>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477"/>
      <c r="Q19" s="1262"/>
      <c r="R19" s="667"/>
      <c r="S19" s="668"/>
      <c r="T19" s="667"/>
      <c r="U19" s="668"/>
      <c r="V19" s="667"/>
      <c r="W19" s="668"/>
      <c r="X19" s="1264"/>
      <c r="Y19" s="3477"/>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77"/>
      <c r="Q20" s="1262" t="str">
        <f>B20</f>
        <v>自然及人文环境</v>
      </c>
      <c r="R20" s="667" t="s">
        <v>14</v>
      </c>
      <c r="S20" s="668">
        <f>F20</f>
        <v>100</v>
      </c>
      <c r="T20" s="667" t="s">
        <v>14</v>
      </c>
      <c r="U20" s="668">
        <f>H20</f>
        <v>100</v>
      </c>
      <c r="V20" s="667" t="s">
        <v>14</v>
      </c>
      <c r="W20" s="668">
        <f>J20</f>
        <v>100</v>
      </c>
      <c r="X20" s="1264"/>
      <c r="Y20" s="34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77"/>
      <c r="Q21" s="1262"/>
      <c r="R21" s="667"/>
      <c r="S21" s="668"/>
      <c r="T21" s="667"/>
      <c r="U21" s="668"/>
      <c r="V21" s="667"/>
      <c r="W21" s="668"/>
      <c r="X21" s="1264"/>
      <c r="Y21" s="3477"/>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77"/>
      <c r="Q22" s="1262" t="str">
        <f>B22</f>
        <v>楼层</v>
      </c>
      <c r="R22" s="667" t="s">
        <v>14</v>
      </c>
      <c r="S22" s="668">
        <f>F22</f>
        <v>100</v>
      </c>
      <c r="T22" s="667" t="s">
        <v>14</v>
      </c>
      <c r="U22" s="668">
        <f>H22</f>
        <v>100</v>
      </c>
      <c r="V22" s="667" t="s">
        <v>14</v>
      </c>
      <c r="W22" s="668">
        <f>J22</f>
        <v>100</v>
      </c>
      <c r="X22" s="1264"/>
      <c r="Y22" s="34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77"/>
      <c r="Q23" s="1262">
        <f>B23</f>
        <v>111</v>
      </c>
      <c r="R23" s="667" t="s">
        <v>14</v>
      </c>
      <c r="S23" s="668">
        <f>F23</f>
        <v>100</v>
      </c>
      <c r="T23" s="667" t="s">
        <v>14</v>
      </c>
      <c r="U23" s="668">
        <f>H23</f>
        <v>100</v>
      </c>
      <c r="V23" s="667" t="s">
        <v>14</v>
      </c>
      <c r="W23" s="668">
        <f>J23</f>
        <v>100</v>
      </c>
      <c r="X23" s="1264"/>
      <c r="Y23" s="34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77"/>
      <c r="Q24" s="1262">
        <f t="shared" ref="Q24:Q34" si="8">B24</f>
        <v>111</v>
      </c>
      <c r="R24" s="667" t="s">
        <v>14</v>
      </c>
      <c r="S24" s="668">
        <f>F24</f>
        <v>100</v>
      </c>
      <c r="T24" s="667" t="s">
        <v>14</v>
      </c>
      <c r="U24" s="668">
        <f>H24</f>
        <v>100</v>
      </c>
      <c r="V24" s="667" t="s">
        <v>14</v>
      </c>
      <c r="W24" s="668">
        <f>J24</f>
        <v>100</v>
      </c>
      <c r="X24" s="1264"/>
      <c r="Y24" s="3477"/>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77"/>
      <c r="Q25" s="530">
        <f t="shared" si="8"/>
        <v>111</v>
      </c>
      <c r="R25" s="664" t="s">
        <v>14</v>
      </c>
      <c r="S25" s="665">
        <f>F25</f>
        <v>100</v>
      </c>
      <c r="T25" s="664" t="s">
        <v>14</v>
      </c>
      <c r="U25" s="665">
        <f>H25</f>
        <v>100</v>
      </c>
      <c r="V25" s="664" t="s">
        <v>14</v>
      </c>
      <c r="W25" s="665">
        <f>J25</f>
        <v>100</v>
      </c>
      <c r="X25" s="666"/>
      <c r="Y25" s="3477"/>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533"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81"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81"/>
      <c r="Q27" s="531" t="str">
        <f t="shared" si="8"/>
        <v>成新率</v>
      </c>
      <c r="R27" s="669" t="s">
        <v>14</v>
      </c>
      <c r="S27" s="670" t="e">
        <f t="shared" si="9"/>
        <v>#N/A</v>
      </c>
      <c r="T27" s="669" t="s">
        <v>14</v>
      </c>
      <c r="U27" s="670" t="e">
        <f t="shared" si="10"/>
        <v>#N/A</v>
      </c>
      <c r="V27" s="669" t="s">
        <v>14</v>
      </c>
      <c r="W27" s="670" t="e">
        <f t="shared" si="11"/>
        <v>#N/A</v>
      </c>
      <c r="X27" s="671"/>
      <c r="Y27" s="3481"/>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81"/>
      <c r="Q28" s="1262" t="str">
        <f t="shared" si="8"/>
        <v>物业等级</v>
      </c>
      <c r="R28" s="667" t="s">
        <v>14</v>
      </c>
      <c r="S28" s="668">
        <f t="shared" si="9"/>
        <v>100</v>
      </c>
      <c r="T28" s="667" t="s">
        <v>14</v>
      </c>
      <c r="U28" s="668">
        <f t="shared" si="10"/>
        <v>100</v>
      </c>
      <c r="V28" s="667" t="s">
        <v>14</v>
      </c>
      <c r="W28" s="668">
        <f t="shared" si="11"/>
        <v>100</v>
      </c>
      <c r="X28" s="1264"/>
      <c r="Y28" s="3481"/>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81"/>
      <c r="Q29" s="1262" t="str">
        <f t="shared" si="8"/>
        <v>有无电梯</v>
      </c>
      <c r="R29" s="667" t="s">
        <v>14</v>
      </c>
      <c r="S29" s="668">
        <f t="shared" si="9"/>
        <v>100</v>
      </c>
      <c r="T29" s="667" t="s">
        <v>14</v>
      </c>
      <c r="U29" s="668">
        <f t="shared" si="10"/>
        <v>100</v>
      </c>
      <c r="V29" s="667" t="s">
        <v>14</v>
      </c>
      <c r="W29" s="668">
        <f t="shared" si="11"/>
        <v>100</v>
      </c>
      <c r="X29" s="1264"/>
      <c r="Y29" s="3481"/>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81"/>
      <c r="Q30" s="1262" t="str">
        <f t="shared" si="8"/>
        <v>建筑面积</v>
      </c>
      <c r="R30" s="667" t="s">
        <v>14</v>
      </c>
      <c r="S30" s="668" t="e">
        <f t="shared" si="9"/>
        <v>#N/A</v>
      </c>
      <c r="T30" s="667" t="s">
        <v>14</v>
      </c>
      <c r="U30" s="668" t="e">
        <f t="shared" si="10"/>
        <v>#N/A</v>
      </c>
      <c r="V30" s="667" t="s">
        <v>14</v>
      </c>
      <c r="W30" s="668" t="e">
        <f t="shared" si="11"/>
        <v>#N/A</v>
      </c>
      <c r="X30" s="1264"/>
      <c r="Y30" s="3481"/>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81"/>
      <c r="Q31" s="530" t="str">
        <f t="shared" si="8"/>
        <v>是否封闭</v>
      </c>
      <c r="R31" s="664" t="s">
        <v>14</v>
      </c>
      <c r="S31" s="665">
        <f t="shared" si="9"/>
        <v>100</v>
      </c>
      <c r="T31" s="664" t="s">
        <v>14</v>
      </c>
      <c r="U31" s="665">
        <f t="shared" si="10"/>
        <v>100</v>
      </c>
      <c r="V31" s="664" t="s">
        <v>14</v>
      </c>
      <c r="W31" s="665">
        <f t="shared" si="11"/>
        <v>100</v>
      </c>
      <c r="X31" s="666"/>
      <c r="Y31" s="3481"/>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81" t="s">
        <v>1696</v>
      </c>
      <c r="Q32" s="1262">
        <f t="shared" si="8"/>
        <v>111</v>
      </c>
      <c r="R32" s="667" t="s">
        <v>14</v>
      </c>
      <c r="S32" s="668">
        <f t="shared" si="9"/>
        <v>100</v>
      </c>
      <c r="T32" s="667" t="s">
        <v>14</v>
      </c>
      <c r="U32" s="668">
        <f t="shared" si="10"/>
        <v>100</v>
      </c>
      <c r="V32" s="667" t="s">
        <v>14</v>
      </c>
      <c r="W32" s="668">
        <f t="shared" si="11"/>
        <v>100</v>
      </c>
      <c r="X32" s="1264"/>
      <c r="Y32" s="3481"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81"/>
      <c r="Q33" s="1262">
        <f t="shared" si="8"/>
        <v>111</v>
      </c>
      <c r="R33" s="667" t="s">
        <v>14</v>
      </c>
      <c r="S33" s="668">
        <f t="shared" si="9"/>
        <v>100</v>
      </c>
      <c r="T33" s="667" t="s">
        <v>14</v>
      </c>
      <c r="U33" s="668">
        <f t="shared" si="10"/>
        <v>100</v>
      </c>
      <c r="V33" s="667" t="s">
        <v>14</v>
      </c>
      <c r="W33" s="668">
        <f t="shared" si="11"/>
        <v>100</v>
      </c>
      <c r="X33" s="1264"/>
      <c r="Y33" s="3481"/>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81"/>
      <c r="Q34" s="1262">
        <f t="shared" si="8"/>
        <v>111</v>
      </c>
      <c r="R34" s="667" t="s">
        <v>14</v>
      </c>
      <c r="S34" s="668">
        <f t="shared" si="9"/>
        <v>100</v>
      </c>
      <c r="T34" s="667" t="s">
        <v>14</v>
      </c>
      <c r="U34" s="668">
        <f t="shared" si="10"/>
        <v>100</v>
      </c>
      <c r="V34" s="667" t="s">
        <v>14</v>
      </c>
      <c r="W34" s="668">
        <f t="shared" si="11"/>
        <v>100</v>
      </c>
      <c r="X34" s="1264"/>
      <c r="Y34" s="3481"/>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474" t="str">
        <f>A35</f>
        <v>成交单价（元/平方米）</v>
      </c>
      <c r="Q35" s="3474"/>
      <c r="R35" s="3475">
        <f>E35</f>
        <v>0</v>
      </c>
      <c r="S35" s="3475"/>
      <c r="T35" s="3475">
        <f>G35</f>
        <v>0</v>
      </c>
      <c r="U35" s="3475"/>
      <c r="V35" s="3475">
        <f>I35</f>
        <v>0</v>
      </c>
      <c r="W35" s="3475"/>
      <c r="X35" s="385"/>
      <c r="Y35" s="673"/>
      <c r="Z35" s="385"/>
      <c r="AA35" s="385"/>
      <c r="AB35" s="385"/>
      <c r="AC35" s="385"/>
    </row>
    <row r="36" spans="1:30" ht="15.75" thickBot="1">
      <c r="A36" s="423" t="s">
        <v>1790</v>
      </c>
      <c r="B36" s="424"/>
      <c r="C36" s="1082" t="e">
        <f>R37</f>
        <v>#DIV/0!</v>
      </c>
      <c r="D36" s="2137" t="s">
        <v>2134</v>
      </c>
      <c r="E36" s="1083" t="e">
        <f>R36</f>
        <v>#DIV/0!</v>
      </c>
      <c r="F36" s="2138"/>
      <c r="G36" s="1082" t="e">
        <f>T36</f>
        <v>#DIV/0!</v>
      </c>
      <c r="H36" s="2138"/>
      <c r="I36" s="1083" t="e">
        <f>V36</f>
        <v>#DIV/0!</v>
      </c>
      <c r="J36" s="2138"/>
      <c r="K36" s="2140">
        <f>F36+H36+J36</f>
        <v>0</v>
      </c>
      <c r="L36" s="2490"/>
      <c r="M36" s="2483"/>
      <c r="N36" s="2483"/>
      <c r="O36" s="2483"/>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471" t="str">
        <f>A37</f>
        <v>估价对象XX用房的比较价值（楼面单价，元/平方米）</v>
      </c>
      <c r="Q37" s="3472"/>
      <c r="R37" s="3534" t="e">
        <f>IF(F1="售价",ROUND(IF(D36="简单平均",AVERAGE(R36:W36),R36*F36+T36*H36+V36*J36),0),ROUND(IF(D36="简单平均",AVERAGE(R36:V36),R36*F36+T36*H36+V36*J36),1))</f>
        <v>#DIV/0!</v>
      </c>
      <c r="S37" s="3534"/>
      <c r="T37" s="3534"/>
      <c r="U37" s="3534"/>
      <c r="V37" s="3534"/>
      <c r="W37" s="353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39" zoomScaleNormal="60" zoomScaleSheetLayoutView="100" workbookViewId="0">
      <selection activeCell="I27" sqref="I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493" t="s">
        <v>1772</v>
      </c>
      <c r="Q4" s="3494"/>
      <c r="R4" s="3499" t="s">
        <v>1768</v>
      </c>
      <c r="S4" s="3500"/>
      <c r="T4" s="3499" t="s">
        <v>1769</v>
      </c>
      <c r="U4" s="3500"/>
      <c r="V4" s="3475" t="s">
        <v>1770</v>
      </c>
      <c r="W4" s="3475"/>
      <c r="X4" s="1264"/>
      <c r="Y4" s="3499" t="s">
        <v>1772</v>
      </c>
      <c r="Z4" s="3500"/>
      <c r="AA4" s="3486" t="s">
        <v>1768</v>
      </c>
      <c r="AB4" s="3487" t="s">
        <v>1769</v>
      </c>
      <c r="AC4" s="3486" t="s">
        <v>1770</v>
      </c>
    </row>
    <row r="5" spans="1:29" ht="33" customHeight="1">
      <c r="A5" s="348"/>
      <c r="B5" s="349"/>
      <c r="C5" s="3507" t="s">
        <v>3443</v>
      </c>
      <c r="D5" s="3508"/>
      <c r="E5" s="3514" t="s">
        <v>3681</v>
      </c>
      <c r="F5" s="3515"/>
      <c r="G5" s="3507" t="s">
        <v>3682</v>
      </c>
      <c r="H5" s="3508"/>
      <c r="I5" s="3507" t="s">
        <v>3706</v>
      </c>
      <c r="J5" s="3508"/>
      <c r="K5" s="537"/>
      <c r="L5" s="2482"/>
      <c r="M5" s="2483"/>
      <c r="N5" s="2483"/>
      <c r="O5" s="2483"/>
      <c r="P5" s="3495"/>
      <c r="Q5" s="3496"/>
      <c r="R5" s="3501"/>
      <c r="S5" s="3502"/>
      <c r="T5" s="3501"/>
      <c r="U5" s="3502"/>
      <c r="V5" s="3475"/>
      <c r="W5" s="3475"/>
      <c r="X5" s="1264"/>
      <c r="Y5" s="3501"/>
      <c r="Z5" s="3502"/>
      <c r="AA5" s="3487"/>
      <c r="AB5" s="3487"/>
      <c r="AC5" s="3487"/>
    </row>
    <row r="6" spans="1:29" ht="15.75" thickBot="1">
      <c r="A6" s="350"/>
      <c r="B6" s="351"/>
      <c r="C6" s="3507" t="s">
        <v>3443</v>
      </c>
      <c r="D6" s="3508"/>
      <c r="E6" s="3538" t="s">
        <v>3683</v>
      </c>
      <c r="F6" s="3513"/>
      <c r="G6" s="3539" t="s">
        <v>3684</v>
      </c>
      <c r="H6" s="3506"/>
      <c r="I6" s="3507" t="s">
        <v>3706</v>
      </c>
      <c r="J6" s="3508"/>
      <c r="K6" s="537" t="s">
        <v>1678</v>
      </c>
      <c r="L6" s="2482"/>
      <c r="M6" s="2483"/>
      <c r="N6" s="2483"/>
      <c r="O6" s="2483"/>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509" t="s">
        <v>1680</v>
      </c>
      <c r="Q7" s="3511"/>
      <c r="R7" s="664" t="s">
        <v>14</v>
      </c>
      <c r="S7" s="665">
        <f t="shared" ref="S7:S15" si="0">F7</f>
        <v>98</v>
      </c>
      <c r="T7" s="664" t="s">
        <v>14</v>
      </c>
      <c r="U7" s="665">
        <f t="shared" ref="U7:U15" si="1">H7</f>
        <v>98</v>
      </c>
      <c r="V7" s="664" t="s">
        <v>14</v>
      </c>
      <c r="W7" s="665">
        <f t="shared" ref="W7:W15" si="2">J7</f>
        <v>98.5</v>
      </c>
      <c r="X7" s="666"/>
      <c r="Y7" s="3509" t="s">
        <v>1680</v>
      </c>
      <c r="Z7" s="3510"/>
      <c r="AA7" s="50">
        <f>D7/F7</f>
        <v>1.0204081632653061</v>
      </c>
      <c r="AB7" s="50">
        <f>D7/H7</f>
        <v>1.0204081632653061</v>
      </c>
      <c r="AC7" s="50">
        <f>D7/J7</f>
        <v>1.015228426395939</v>
      </c>
    </row>
    <row r="8" spans="1:29" s="102" customFormat="1" ht="15.75" thickBot="1">
      <c r="A8" s="352" t="s">
        <v>1681</v>
      </c>
      <c r="B8" s="353"/>
      <c r="C8" s="358" t="s">
        <v>1682</v>
      </c>
      <c r="D8" s="355">
        <v>100</v>
      </c>
      <c r="E8" s="358" t="s">
        <v>3410</v>
      </c>
      <c r="F8" s="357">
        <f>SUMIF(72:72,E8,73:73)-SUMIF(72:72,C8,73:73)+100</f>
        <v>100</v>
      </c>
      <c r="G8" s="358" t="s">
        <v>3410</v>
      </c>
      <c r="H8" s="355">
        <f>SUMIF(72:72,G8,73:73)-SUMIF(72:72,C8,73:73)+100</f>
        <v>100</v>
      </c>
      <c r="I8" s="358" t="s">
        <v>3410</v>
      </c>
      <c r="J8" s="355">
        <f>SUMIF(72:72,I8,73:73)-SUMIF(72:72,C8,73:73)+100</f>
        <v>100</v>
      </c>
      <c r="K8" s="38"/>
      <c r="L8" s="2484"/>
      <c r="M8" s="2435"/>
      <c r="N8" s="2435"/>
      <c r="O8" s="2435"/>
      <c r="P8" s="3509" t="s">
        <v>1683</v>
      </c>
      <c r="Q8" s="3510"/>
      <c r="R8" s="664" t="s">
        <v>14</v>
      </c>
      <c r="S8" s="665">
        <f t="shared" si="0"/>
        <v>100</v>
      </c>
      <c r="T8" s="664" t="s">
        <v>14</v>
      </c>
      <c r="U8" s="665">
        <f t="shared" si="1"/>
        <v>100</v>
      </c>
      <c r="V8" s="664" t="s">
        <v>14</v>
      </c>
      <c r="W8" s="665">
        <f t="shared" si="2"/>
        <v>100</v>
      </c>
      <c r="X8" s="666"/>
      <c r="Y8" s="3509" t="s">
        <v>1683</v>
      </c>
      <c r="Z8" s="3510"/>
      <c r="AA8" s="50">
        <f t="shared" ref="AA8:AA45" si="3">D8/F8</f>
        <v>1</v>
      </c>
      <c r="AB8" s="50">
        <f t="shared" ref="AB8:AB45" si="4">D8/H8</f>
        <v>1</v>
      </c>
      <c r="AC8" s="50">
        <f t="shared" ref="AC8:AC45" si="5">D8/J8</f>
        <v>1</v>
      </c>
    </row>
    <row r="9" spans="1:29" s="102" customFormat="1">
      <c r="A9" s="359" t="s">
        <v>1684</v>
      </c>
      <c r="B9" s="60" t="s">
        <v>1685</v>
      </c>
      <c r="C9" s="1821" t="s">
        <v>3374</v>
      </c>
      <c r="D9" s="59">
        <v>100</v>
      </c>
      <c r="E9" s="1821" t="s">
        <v>3374</v>
      </c>
      <c r="F9" s="59">
        <f>SUMIF(74:74,E9,75:75)-SUMIF(74:74,C9,75:75)+100</f>
        <v>100</v>
      </c>
      <c r="G9" s="1821" t="s">
        <v>3374</v>
      </c>
      <c r="H9" s="59">
        <f>SUMIF(74:74,G9,75:75)-SUMIF(74:74,C9,75:75)+100</f>
        <v>100</v>
      </c>
      <c r="I9" s="1821" t="s">
        <v>3374</v>
      </c>
      <c r="J9" s="59">
        <f>SUMIF(74:74,I9,75:75)-SUMIF(74:74,C9,75:75)+100</f>
        <v>100</v>
      </c>
      <c r="K9" s="38"/>
      <c r="L9" s="2484"/>
      <c r="M9" s="2435"/>
      <c r="N9" s="2435"/>
      <c r="O9" s="2536"/>
      <c r="P9" s="3474"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474"/>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v>2.8</v>
      </c>
      <c r="D11" s="119">
        <v>100</v>
      </c>
      <c r="E11" s="368">
        <v>1.65</v>
      </c>
      <c r="F11" s="119">
        <f>LOOKUP(E11,79:79,80:80)-LOOKUP(C11,79:79,80:80)+100</f>
        <v>102</v>
      </c>
      <c r="G11" s="369">
        <v>2.17</v>
      </c>
      <c r="H11" s="119">
        <f>LOOKUP(G11,79:79,80:80)-LOOKUP(C11,79:79,80:80)+100</f>
        <v>100</v>
      </c>
      <c r="I11" s="368">
        <v>7.63</v>
      </c>
      <c r="J11" s="119">
        <f>LOOKUP(I11,79:79,80:80)-LOOKUP(C11,79:79,80:80)+100</f>
        <v>94</v>
      </c>
      <c r="K11" s="593">
        <v>2</v>
      </c>
      <c r="L11" s="2487"/>
      <c r="M11" s="2483"/>
      <c r="N11" s="2483"/>
      <c r="O11" s="2538"/>
      <c r="P11" s="3474"/>
      <c r="Q11" s="530" t="str">
        <f t="shared" si="6"/>
        <v>容积率</v>
      </c>
      <c r="R11" s="664" t="s">
        <v>14</v>
      </c>
      <c r="S11" s="665">
        <f t="shared" si="0"/>
        <v>102</v>
      </c>
      <c r="T11" s="664" t="s">
        <v>14</v>
      </c>
      <c r="U11" s="665">
        <f t="shared" si="1"/>
        <v>100</v>
      </c>
      <c r="V11" s="664" t="s">
        <v>14</v>
      </c>
      <c r="W11" s="665">
        <f t="shared" si="2"/>
        <v>94</v>
      </c>
      <c r="X11" s="666"/>
      <c r="Y11" s="3349"/>
      <c r="Z11" s="50" t="str">
        <f t="shared" si="7"/>
        <v>容积率</v>
      </c>
      <c r="AA11" s="50">
        <f t="shared" si="3"/>
        <v>0.98039215686274506</v>
      </c>
      <c r="AB11" s="50">
        <f t="shared" si="4"/>
        <v>1</v>
      </c>
      <c r="AC11" s="50">
        <f t="shared" si="5"/>
        <v>1.0638297872340425</v>
      </c>
    </row>
    <row r="12" spans="1:29" s="102" customFormat="1" ht="15">
      <c r="A12" s="370"/>
      <c r="B12" s="3231" t="s">
        <v>3708</v>
      </c>
      <c r="C12" s="371">
        <v>3</v>
      </c>
      <c r="D12" s="372">
        <v>100</v>
      </c>
      <c r="E12" s="403" t="s">
        <v>3709</v>
      </c>
      <c r="F12" s="119">
        <f>SUMIF(81:81,E12,82:82)-SUMIF(81:81,C12,82:82)+100</f>
        <v>100</v>
      </c>
      <c r="G12" s="402" t="s">
        <v>3710</v>
      </c>
      <c r="H12" s="119">
        <f>SUMIF(81:81,G12,82:82)-SUMIF(81:81,C12,82:82)+100</f>
        <v>102</v>
      </c>
      <c r="I12" s="403" t="s">
        <v>3709</v>
      </c>
      <c r="J12" s="119">
        <f>SUMIF(81:81,I12,82:82)-SUMIF(81:81,C12,82:82)+100</f>
        <v>100</v>
      </c>
      <c r="K12" s="592"/>
      <c r="L12" s="2484"/>
      <c r="M12" s="2435"/>
      <c r="N12" s="2435"/>
      <c r="O12" s="2536"/>
      <c r="P12" s="3474"/>
      <c r="Q12" s="530" t="str">
        <f t="shared" si="6"/>
        <v>地价区类</v>
      </c>
      <c r="R12" s="664" t="s">
        <v>14</v>
      </c>
      <c r="S12" s="665">
        <f t="shared" si="0"/>
        <v>100</v>
      </c>
      <c r="T12" s="664" t="s">
        <v>14</v>
      </c>
      <c r="U12" s="665">
        <f t="shared" si="1"/>
        <v>102</v>
      </c>
      <c r="V12" s="664" t="s">
        <v>14</v>
      </c>
      <c r="W12" s="665">
        <f t="shared" si="2"/>
        <v>100</v>
      </c>
      <c r="X12" s="666"/>
      <c r="Y12" s="3349"/>
      <c r="Z12" s="50" t="str">
        <f t="shared" si="7"/>
        <v>地价区类</v>
      </c>
      <c r="AA12" s="50">
        <f>D12/F12</f>
        <v>1</v>
      </c>
      <c r="AB12" s="50">
        <f>D12/H12</f>
        <v>0.98039215686274506</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74"/>
      <c r="Q13" s="530">
        <f t="shared" si="6"/>
        <v>111</v>
      </c>
      <c r="R13" s="664" t="s">
        <v>14</v>
      </c>
      <c r="S13" s="665">
        <f t="shared" si="0"/>
        <v>100</v>
      </c>
      <c r="T13" s="664" t="s">
        <v>14</v>
      </c>
      <c r="U13" s="665">
        <f t="shared" si="1"/>
        <v>100</v>
      </c>
      <c r="V13" s="664" t="s">
        <v>14</v>
      </c>
      <c r="W13" s="665">
        <f t="shared" si="2"/>
        <v>100</v>
      </c>
      <c r="X13" s="666"/>
      <c r="Y13" s="3349"/>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74"/>
      <c r="Q14" s="530">
        <f t="shared" si="6"/>
        <v>111</v>
      </c>
      <c r="R14" s="664" t="s">
        <v>14</v>
      </c>
      <c r="S14" s="665">
        <f t="shared" si="0"/>
        <v>100</v>
      </c>
      <c r="T14" s="664" t="s">
        <v>14</v>
      </c>
      <c r="U14" s="665">
        <f t="shared" si="1"/>
        <v>100</v>
      </c>
      <c r="V14" s="664" t="s">
        <v>14</v>
      </c>
      <c r="W14" s="665">
        <f t="shared" si="2"/>
        <v>100</v>
      </c>
      <c r="X14" s="666"/>
      <c r="Y14" s="3349"/>
      <c r="Z14" s="50">
        <f t="shared" si="7"/>
        <v>111</v>
      </c>
      <c r="AA14" s="50">
        <f>D14/F14</f>
        <v>1</v>
      </c>
      <c r="AB14" s="50">
        <f>D14/H14</f>
        <v>1</v>
      </c>
      <c r="AC14" s="50">
        <f>D14/J14</f>
        <v>1</v>
      </c>
    </row>
    <row r="15" spans="1:29" ht="99.75">
      <c r="A15" s="379" t="s">
        <v>1690</v>
      </c>
      <c r="B15" s="58" t="s">
        <v>1257</v>
      </c>
      <c r="C15" s="1748" t="str">
        <f>估价对象房地状况!C15</f>
        <v>周边有三里河一区5号院、月坛西街乙2号院、月坛北小街小区等住宅小区，居住社区成熟度好。</v>
      </c>
      <c r="D15" s="380">
        <v>100</v>
      </c>
      <c r="E15" s="3223" t="str">
        <f>C15</f>
        <v>周边有三里河一区5号院、月坛西街乙2号院、月坛北小街小区等住宅小区，居住社区成熟度好。</v>
      </c>
      <c r="F15" s="380">
        <f>SUMIF(87:87,E16,88:88)-SUMIF(87:87,C16,88:88)+100</f>
        <v>100</v>
      </c>
      <c r="G15" s="3164" t="s">
        <v>3686</v>
      </c>
      <c r="H15" s="380">
        <f>SUMIF(87:87,G16,88:88)-SUMIF(87:87,C16,88:88)+100</f>
        <v>100</v>
      </c>
      <c r="I15" s="3223" t="str">
        <f>G15</f>
        <v>周边有富国里、玉廊园、车公庄大街1号院、北礼士路60号院等住宅小区，居住社区成熟度好。</v>
      </c>
      <c r="J15" s="380">
        <f>SUMIF(87:87,I16,88:88)-SUMIF(87:87,C16,88:88)+100</f>
        <v>100</v>
      </c>
      <c r="K15" s="593"/>
      <c r="L15" s="2488"/>
      <c r="M15" s="2483"/>
      <c r="N15" s="2483"/>
      <c r="O15" s="2538"/>
      <c r="P15" s="3476" t="s">
        <v>1691</v>
      </c>
      <c r="Q15" s="1262" t="str">
        <f t="shared" si="6"/>
        <v>居住社区成熟度</v>
      </c>
      <c r="R15" s="667" t="s">
        <v>14</v>
      </c>
      <c r="S15" s="668">
        <f t="shared" si="0"/>
        <v>100</v>
      </c>
      <c r="T15" s="667" t="s">
        <v>14</v>
      </c>
      <c r="U15" s="668">
        <f t="shared" si="1"/>
        <v>100</v>
      </c>
      <c r="V15" s="667" t="s">
        <v>14</v>
      </c>
      <c r="W15" s="668">
        <f t="shared" si="2"/>
        <v>100</v>
      </c>
      <c r="X15" s="1264"/>
      <c r="Y15" s="3476" t="s">
        <v>1691</v>
      </c>
      <c r="Z15" s="1263" t="str">
        <f t="shared" si="7"/>
        <v>居住社区成熟度</v>
      </c>
      <c r="AA15" s="1263">
        <f t="shared" si="3"/>
        <v>1</v>
      </c>
      <c r="AB15" s="1263">
        <f t="shared" si="4"/>
        <v>1</v>
      </c>
      <c r="AC15" s="1263">
        <f t="shared" si="5"/>
        <v>1</v>
      </c>
    </row>
    <row r="16" spans="1:29" ht="15">
      <c r="A16" s="367"/>
      <c r="B16" s="385"/>
      <c r="C16" s="386" t="s">
        <v>3396</v>
      </c>
      <c r="D16" s="387"/>
      <c r="E16" s="1750" t="s">
        <v>3396</v>
      </c>
      <c r="F16" s="387"/>
      <c r="G16" s="1750" t="s">
        <v>3396</v>
      </c>
      <c r="H16" s="389"/>
      <c r="I16" s="1749" t="s">
        <v>3396</v>
      </c>
      <c r="J16" s="387"/>
      <c r="K16" s="592"/>
      <c r="L16" s="2488"/>
      <c r="M16" s="2483"/>
      <c r="N16" s="2483"/>
      <c r="O16" s="2538"/>
      <c r="P16" s="3477"/>
      <c r="Q16" s="1262"/>
      <c r="R16" s="667"/>
      <c r="S16" s="668"/>
      <c r="T16" s="667"/>
      <c r="U16" s="668"/>
      <c r="V16" s="667"/>
      <c r="W16" s="668"/>
      <c r="X16" s="1264"/>
      <c r="Y16" s="3477"/>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77"/>
      <c r="Q17" s="1262" t="str">
        <f>B17</f>
        <v>商业繁华度</v>
      </c>
      <c r="R17" s="667" t="s">
        <v>14</v>
      </c>
      <c r="S17" s="668">
        <f>F17</f>
        <v>100</v>
      </c>
      <c r="T17" s="667" t="s">
        <v>14</v>
      </c>
      <c r="U17" s="668">
        <f>H17</f>
        <v>100</v>
      </c>
      <c r="V17" s="667" t="s">
        <v>14</v>
      </c>
      <c r="W17" s="668">
        <f>J17</f>
        <v>100</v>
      </c>
      <c r="X17" s="1264"/>
      <c r="Y17" s="3477"/>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477"/>
      <c r="Q18" s="1262"/>
      <c r="R18" s="667"/>
      <c r="S18" s="668"/>
      <c r="T18" s="667"/>
      <c r="U18" s="668"/>
      <c r="V18" s="667"/>
      <c r="W18" s="668"/>
      <c r="X18" s="1264"/>
      <c r="Y18" s="3477"/>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77"/>
      <c r="Q19" s="1262" t="str">
        <f>B19</f>
        <v>办公集聚程度</v>
      </c>
      <c r="R19" s="667" t="s">
        <v>14</v>
      </c>
      <c r="S19" s="668">
        <f>F19</f>
        <v>100</v>
      </c>
      <c r="T19" s="667" t="s">
        <v>14</v>
      </c>
      <c r="U19" s="668">
        <f>H19</f>
        <v>100</v>
      </c>
      <c r="V19" s="667" t="s">
        <v>14</v>
      </c>
      <c r="W19" s="668">
        <f>J19</f>
        <v>100</v>
      </c>
      <c r="X19" s="1264"/>
      <c r="Y19" s="3477"/>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477"/>
      <c r="Q20" s="1262"/>
      <c r="R20" s="667"/>
      <c r="S20" s="668"/>
      <c r="T20" s="667"/>
      <c r="U20" s="668"/>
      <c r="V20" s="667"/>
      <c r="W20" s="668"/>
      <c r="X20" s="1264"/>
      <c r="Y20" s="3477"/>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224" t="s">
        <v>3688</v>
      </c>
      <c r="F21" s="394">
        <f>SUMIF(93:93,E22,94:94)-SUMIF(93:93,C22,94:94)+100</f>
        <v>100</v>
      </c>
      <c r="G21" s="3225" t="s">
        <v>3705</v>
      </c>
      <c r="H21" s="389">
        <f>SUMIF(93:93,G22,94:94)-SUMIF(93:93,C22,94:94)+100</f>
        <v>100</v>
      </c>
      <c r="I21" s="3225" t="s">
        <v>3705</v>
      </c>
      <c r="J21" s="389">
        <f>SUMIF(93:93,I22,94:94)-SUMIF(93:93,C22,94:94)+100</f>
        <v>100</v>
      </c>
      <c r="K21" s="593"/>
      <c r="L21" s="2488"/>
      <c r="M21" s="2483"/>
      <c r="N21" s="2483"/>
      <c r="O21" s="2538"/>
      <c r="P21" s="3477"/>
      <c r="Q21" s="1262" t="str">
        <f>B21</f>
        <v>交通便捷度</v>
      </c>
      <c r="R21" s="667" t="s">
        <v>14</v>
      </c>
      <c r="S21" s="668">
        <f>F21</f>
        <v>100</v>
      </c>
      <c r="T21" s="667" t="s">
        <v>14</v>
      </c>
      <c r="U21" s="668">
        <f>H21</f>
        <v>100</v>
      </c>
      <c r="V21" s="667" t="s">
        <v>14</v>
      </c>
      <c r="W21" s="668">
        <f>J21</f>
        <v>100</v>
      </c>
      <c r="X21" s="1264"/>
      <c r="Y21" s="3477"/>
      <c r="Z21" s="1263" t="str">
        <f>Q21</f>
        <v>交通便捷度</v>
      </c>
      <c r="AA21" s="1263">
        <f t="shared" si="3"/>
        <v>1</v>
      </c>
      <c r="AB21" s="1263">
        <f t="shared" si="4"/>
        <v>1</v>
      </c>
      <c r="AC21" s="1263">
        <f t="shared" si="5"/>
        <v>1</v>
      </c>
    </row>
    <row r="22" spans="1:29" ht="15">
      <c r="A22" s="367"/>
      <c r="B22" s="586"/>
      <c r="C22" s="386" t="s">
        <v>3394</v>
      </c>
      <c r="D22" s="389"/>
      <c r="E22" s="1750" t="s">
        <v>3394</v>
      </c>
      <c r="F22" s="387"/>
      <c r="G22" s="1750" t="s">
        <v>3394</v>
      </c>
      <c r="H22" s="387"/>
      <c r="I22" s="1749" t="s">
        <v>3394</v>
      </c>
      <c r="J22" s="387"/>
      <c r="K22" s="592"/>
      <c r="L22" s="2488"/>
      <c r="M22" s="2483"/>
      <c r="N22" s="2483"/>
      <c r="O22" s="2538"/>
      <c r="P22" s="3477"/>
      <c r="Q22" s="1262"/>
      <c r="R22" s="667"/>
      <c r="S22" s="668"/>
      <c r="T22" s="667"/>
      <c r="U22" s="668"/>
      <c r="V22" s="667"/>
      <c r="W22" s="668"/>
      <c r="X22" s="1264"/>
      <c r="Y22" s="3477"/>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77"/>
      <c r="Q23" s="1262" t="str">
        <f t="shared" ref="Q23:Q37" si="8">B23</f>
        <v>区域土地利用方向</v>
      </c>
      <c r="R23" s="667" t="s">
        <v>14</v>
      </c>
      <c r="S23" s="668">
        <f>F23</f>
        <v>100</v>
      </c>
      <c r="T23" s="667" t="s">
        <v>14</v>
      </c>
      <c r="U23" s="668">
        <f>H23</f>
        <v>100</v>
      </c>
      <c r="V23" s="667" t="s">
        <v>14</v>
      </c>
      <c r="W23" s="668">
        <f>J23</f>
        <v>100</v>
      </c>
      <c r="X23" s="1264"/>
      <c r="Y23" s="3477"/>
      <c r="Z23" s="1263" t="str">
        <f>Q23</f>
        <v>区域土地利用方向</v>
      </c>
      <c r="AA23" s="1263">
        <f t="shared" si="3"/>
        <v>1</v>
      </c>
      <c r="AB23" s="1263">
        <f t="shared" si="4"/>
        <v>1</v>
      </c>
      <c r="AC23" s="1263">
        <f t="shared" si="5"/>
        <v>1</v>
      </c>
    </row>
    <row r="24" spans="1:29" ht="15">
      <c r="A24" s="348"/>
      <c r="B24" s="395"/>
      <c r="C24" s="542" t="s">
        <v>3394</v>
      </c>
      <c r="D24" s="387"/>
      <c r="E24" s="1750" t="s">
        <v>3394</v>
      </c>
      <c r="F24" s="387"/>
      <c r="G24" s="1749" t="s">
        <v>3394</v>
      </c>
      <c r="H24" s="387"/>
      <c r="I24" s="1749" t="s">
        <v>3394</v>
      </c>
      <c r="J24" s="387"/>
      <c r="K24" s="698"/>
      <c r="L24" s="2488"/>
      <c r="M24" s="2483"/>
      <c r="N24" s="2483"/>
      <c r="O24" s="2538"/>
      <c r="P24" s="3477"/>
      <c r="Q24" s="1262"/>
      <c r="R24" s="667"/>
      <c r="S24" s="668"/>
      <c r="T24" s="667"/>
      <c r="U24" s="668"/>
      <c r="V24" s="667"/>
      <c r="W24" s="668"/>
      <c r="X24" s="1264"/>
      <c r="Y24" s="3477"/>
      <c r="Z24" s="1263"/>
      <c r="AA24" s="1263"/>
      <c r="AB24" s="1263"/>
      <c r="AC24" s="1263"/>
    </row>
    <row r="25" spans="1:29" ht="114">
      <c r="A25" s="348"/>
      <c r="B25" s="586" t="s">
        <v>1868</v>
      </c>
      <c r="C25" s="1802" t="str">
        <f>估价对象房地状况!C20</f>
        <v>自然环境：月坛公园等自然水系景观；
人文环境：二七剧场等人文场所；
综合评价环境状况较好。</v>
      </c>
      <c r="D25" s="389">
        <v>100</v>
      </c>
      <c r="E25" s="3225" t="s">
        <v>3689</v>
      </c>
      <c r="F25" s="389">
        <f>SUMIF(97:97,E26,98:98)-SUMIF(97:97,C26,98:98)+100</f>
        <v>100</v>
      </c>
      <c r="G25" s="3225" t="s">
        <v>3691</v>
      </c>
      <c r="H25" s="389">
        <f>SUMIF(97:97,G26,98:98)-SUMIF(97:97,C26,98:98)+100</f>
        <v>100</v>
      </c>
      <c r="I25" s="3225" t="s">
        <v>3691</v>
      </c>
      <c r="J25" s="389">
        <f>SUMIF(97:97,I26,98:98)-SUMIF(97:97,C26,98:98)+100</f>
        <v>100</v>
      </c>
      <c r="K25" s="593"/>
      <c r="L25" s="2488"/>
      <c r="M25" s="2483"/>
      <c r="N25" s="2483"/>
      <c r="O25" s="2538"/>
      <c r="P25" s="3477"/>
      <c r="Q25" s="1262" t="str">
        <f t="shared" si="8"/>
        <v>自然及人文环境状况</v>
      </c>
      <c r="R25" s="667" t="s">
        <v>14</v>
      </c>
      <c r="S25" s="668">
        <f>F25</f>
        <v>100</v>
      </c>
      <c r="T25" s="667" t="s">
        <v>14</v>
      </c>
      <c r="U25" s="668">
        <f>H25</f>
        <v>100</v>
      </c>
      <c r="V25" s="667" t="s">
        <v>14</v>
      </c>
      <c r="W25" s="668">
        <f>J25</f>
        <v>100</v>
      </c>
      <c r="X25" s="1264"/>
      <c r="Y25" s="3477"/>
      <c r="Z25" s="1263" t="str">
        <f>Q25</f>
        <v>自然及人文环境状况</v>
      </c>
      <c r="AA25" s="1263">
        <f t="shared" si="3"/>
        <v>1</v>
      </c>
      <c r="AB25" s="1263">
        <f t="shared" si="4"/>
        <v>1</v>
      </c>
      <c r="AC25" s="1263">
        <f t="shared" si="5"/>
        <v>1</v>
      </c>
    </row>
    <row r="26" spans="1:29" ht="15">
      <c r="A26" s="348"/>
      <c r="B26" s="395"/>
      <c r="C26" s="386" t="s">
        <v>3394</v>
      </c>
      <c r="D26" s="387"/>
      <c r="E26" s="1756" t="s">
        <v>3394</v>
      </c>
      <c r="F26" s="387"/>
      <c r="G26" s="1756" t="s">
        <v>3394</v>
      </c>
      <c r="H26" s="387"/>
      <c r="I26" s="386" t="s">
        <v>3394</v>
      </c>
      <c r="J26" s="387"/>
      <c r="K26" s="592"/>
      <c r="L26" s="2488"/>
      <c r="M26" s="2483"/>
      <c r="N26" s="2483"/>
      <c r="O26" s="2538"/>
      <c r="P26" s="3477"/>
      <c r="Q26" s="1262"/>
      <c r="R26" s="667"/>
      <c r="S26" s="668"/>
      <c r="T26" s="667"/>
      <c r="U26" s="668"/>
      <c r="V26" s="667"/>
      <c r="W26" s="668"/>
      <c r="X26" s="1264"/>
      <c r="Y26" s="3477"/>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225" t="s">
        <v>3690</v>
      </c>
      <c r="F27" s="389">
        <f>SUMIF(99:99,E28,100:100)-SUMIF(99:99,C28,100:100)+100</f>
        <v>100</v>
      </c>
      <c r="G27" s="3225" t="s">
        <v>3714</v>
      </c>
      <c r="H27" s="389">
        <f>SUMIF(99:99,G28,100:100)-SUMIF(99:99,C28,100:100)+100</f>
        <v>100</v>
      </c>
      <c r="I27" s="3225" t="s">
        <v>3714</v>
      </c>
      <c r="J27" s="389">
        <f>SUMIF(99:99,I28,100:100)-SUMIF(99:99,C28,100:100)+100</f>
        <v>100</v>
      </c>
      <c r="K27" s="593"/>
      <c r="L27" s="2484"/>
      <c r="M27" s="2435"/>
      <c r="N27" s="2435"/>
      <c r="O27" s="2536"/>
      <c r="P27" s="3477"/>
      <c r="Q27" s="530" t="str">
        <f t="shared" si="8"/>
        <v>公共配套设施</v>
      </c>
      <c r="R27" s="664" t="s">
        <v>14</v>
      </c>
      <c r="S27" s="665">
        <f>F27</f>
        <v>100</v>
      </c>
      <c r="T27" s="664" t="s">
        <v>14</v>
      </c>
      <c r="U27" s="665">
        <f>H27</f>
        <v>100</v>
      </c>
      <c r="V27" s="664" t="s">
        <v>14</v>
      </c>
      <c r="W27" s="665">
        <f>J27</f>
        <v>100</v>
      </c>
      <c r="X27" s="666"/>
      <c r="Y27" s="3477"/>
      <c r="Z27" s="50" t="str">
        <f>Q27</f>
        <v>公共配套设施</v>
      </c>
      <c r="AA27" s="1263">
        <f>D27/F27</f>
        <v>1</v>
      </c>
      <c r="AB27" s="1263">
        <f>D27/H27</f>
        <v>1</v>
      </c>
      <c r="AC27" s="1263">
        <f>D27/J27</f>
        <v>1</v>
      </c>
    </row>
    <row r="28" spans="1:29" s="102" customFormat="1" ht="15">
      <c r="A28" s="443"/>
      <c r="B28" s="395"/>
      <c r="C28" s="1822" t="s">
        <v>3396</v>
      </c>
      <c r="D28" s="387"/>
      <c r="E28" s="1756" t="s">
        <v>3396</v>
      </c>
      <c r="F28" s="387"/>
      <c r="G28" s="1756" t="s">
        <v>3396</v>
      </c>
      <c r="H28" s="387"/>
      <c r="I28" s="386" t="s">
        <v>3396</v>
      </c>
      <c r="J28" s="387"/>
      <c r="K28" s="592"/>
      <c r="L28" s="2484"/>
      <c r="M28" s="2435"/>
      <c r="N28" s="2435"/>
      <c r="O28" s="2536"/>
      <c r="P28" s="3477"/>
      <c r="Q28" s="530"/>
      <c r="R28" s="664"/>
      <c r="S28" s="665"/>
      <c r="T28" s="664"/>
      <c r="U28" s="665"/>
      <c r="V28" s="664"/>
      <c r="W28" s="665"/>
      <c r="X28" s="666"/>
      <c r="Y28" s="3477"/>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77"/>
      <c r="Q29" s="530" t="str">
        <f>B29</f>
        <v>基础设施水平</v>
      </c>
      <c r="R29" s="664" t="s">
        <v>14</v>
      </c>
      <c r="S29" s="665">
        <f>F29</f>
        <v>100</v>
      </c>
      <c r="T29" s="664" t="s">
        <v>14</v>
      </c>
      <c r="U29" s="665">
        <f>H29</f>
        <v>100</v>
      </c>
      <c r="V29" s="664" t="s">
        <v>14</v>
      </c>
      <c r="W29" s="665">
        <f>J29</f>
        <v>100</v>
      </c>
      <c r="X29" s="666"/>
      <c r="Y29" s="3477"/>
      <c r="Z29" s="50" t="str">
        <f>Q29</f>
        <v>基础设施水平</v>
      </c>
      <c r="AA29" s="1263">
        <f>D29/F29</f>
        <v>1</v>
      </c>
      <c r="AB29" s="1263">
        <f>D29/H29</f>
        <v>1</v>
      </c>
      <c r="AC29" s="1263">
        <f>D29/J29</f>
        <v>1</v>
      </c>
    </row>
    <row r="30" spans="1:29" s="102" customFormat="1" ht="15">
      <c r="A30" s="443"/>
      <c r="B30" s="395"/>
      <c r="C30" s="1822" t="s">
        <v>3400</v>
      </c>
      <c r="D30" s="387"/>
      <c r="E30" s="1823" t="s">
        <v>3400</v>
      </c>
      <c r="F30" s="387"/>
      <c r="G30" s="1823" t="s">
        <v>3400</v>
      </c>
      <c r="H30" s="387"/>
      <c r="I30" s="1823" t="s">
        <v>3400</v>
      </c>
      <c r="J30" s="387"/>
      <c r="K30" s="592"/>
      <c r="L30" s="2484"/>
      <c r="M30" s="2435"/>
      <c r="N30" s="2435"/>
      <c r="O30" s="2536"/>
      <c r="P30" s="3477"/>
      <c r="Q30" s="530"/>
      <c r="R30" s="664"/>
      <c r="S30" s="665"/>
      <c r="T30" s="664"/>
      <c r="U30" s="665"/>
      <c r="V30" s="664"/>
      <c r="W30" s="665"/>
      <c r="X30" s="666"/>
      <c r="Y30" s="3477"/>
      <c r="Z30" s="50"/>
      <c r="AA30" s="1263">
        <v>1</v>
      </c>
      <c r="AB30" s="1263">
        <v>1</v>
      </c>
      <c r="AC30" s="1263">
        <v>1</v>
      </c>
    </row>
    <row r="31" spans="1:29" ht="15">
      <c r="A31" s="367"/>
      <c r="B31" s="395" t="s">
        <v>1777</v>
      </c>
      <c r="C31" s="542" t="s">
        <v>3692</v>
      </c>
      <c r="D31" s="374">
        <v>100</v>
      </c>
      <c r="E31" s="558" t="s">
        <v>3692</v>
      </c>
      <c r="F31" s="374">
        <f>SUMIF(103:103,E31,104:104)-SUMIF(103:103,C31,104:104)+100</f>
        <v>100</v>
      </c>
      <c r="G31" s="558" t="s">
        <v>3692</v>
      </c>
      <c r="H31" s="374">
        <f>SUMIF(103:103,G31,104:104)-SUMIF(103:103,C31,104:104)+100</f>
        <v>100</v>
      </c>
      <c r="I31" s="558" t="s">
        <v>3692</v>
      </c>
      <c r="J31" s="374">
        <f>SUMIF(103:103,I31,104:104)-SUMIF(103:103,C31,104:104)+100</f>
        <v>100</v>
      </c>
      <c r="K31" s="593"/>
      <c r="L31" s="2488"/>
      <c r="M31" s="2483"/>
      <c r="N31" s="2483"/>
      <c r="O31" s="2538"/>
      <c r="P31" s="3477"/>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477"/>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77"/>
      <c r="Q32" s="1262" t="str">
        <f t="shared" si="8"/>
        <v>毗邻道路的类型与等级</v>
      </c>
      <c r="R32" s="667" t="s">
        <v>14</v>
      </c>
      <c r="S32" s="668">
        <f t="shared" si="9"/>
        <v>100</v>
      </c>
      <c r="T32" s="667" t="s">
        <v>14</v>
      </c>
      <c r="U32" s="668">
        <f t="shared" si="10"/>
        <v>100</v>
      </c>
      <c r="V32" s="667" t="s">
        <v>14</v>
      </c>
      <c r="W32" s="668">
        <f t="shared" si="11"/>
        <v>100</v>
      </c>
      <c r="X32" s="1264"/>
      <c r="Y32" s="3477"/>
      <c r="Z32" s="1263" t="str">
        <f t="shared" si="12"/>
        <v>毗邻道路的类型与等级</v>
      </c>
      <c r="AA32" s="1263">
        <f t="shared" si="3"/>
        <v>1</v>
      </c>
      <c r="AB32" s="1263">
        <f t="shared" si="4"/>
        <v>1</v>
      </c>
      <c r="AC32" s="1263">
        <f t="shared" si="5"/>
        <v>1</v>
      </c>
    </row>
    <row r="33" spans="1:29" ht="15">
      <c r="A33" s="367"/>
      <c r="B33" s="395"/>
      <c r="C33" s="386" t="s">
        <v>3693</v>
      </c>
      <c r="D33" s="387"/>
      <c r="E33" s="1756" t="s">
        <v>3693</v>
      </c>
      <c r="F33" s="387"/>
      <c r="G33" s="1756" t="s">
        <v>3693</v>
      </c>
      <c r="H33" s="387"/>
      <c r="I33" s="386" t="s">
        <v>3693</v>
      </c>
      <c r="J33" s="387"/>
      <c r="K33" s="539"/>
      <c r="L33" s="2488"/>
      <c r="M33" s="2483"/>
      <c r="N33" s="2483"/>
      <c r="O33" s="2538"/>
      <c r="P33" s="3477"/>
      <c r="Q33" s="1262"/>
      <c r="R33" s="667"/>
      <c r="S33" s="668"/>
      <c r="T33" s="667"/>
      <c r="U33" s="668"/>
      <c r="V33" s="667"/>
      <c r="W33" s="668"/>
      <c r="X33" s="1264"/>
      <c r="Y33" s="3477"/>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77"/>
      <c r="Q34" s="1262" t="str">
        <f t="shared" si="8"/>
        <v>土地级别</v>
      </c>
      <c r="R34" s="667" t="s">
        <v>14</v>
      </c>
      <c r="S34" s="668">
        <f t="shared" si="9"/>
        <v>100</v>
      </c>
      <c r="T34" s="667" t="s">
        <v>14</v>
      </c>
      <c r="U34" s="668">
        <f t="shared" si="10"/>
        <v>100</v>
      </c>
      <c r="V34" s="667" t="s">
        <v>14</v>
      </c>
      <c r="W34" s="668">
        <f t="shared" si="11"/>
        <v>100</v>
      </c>
      <c r="X34" s="1264"/>
      <c r="Y34" s="3477"/>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77"/>
      <c r="Q35" s="1262">
        <f t="shared" si="8"/>
        <v>111</v>
      </c>
      <c r="R35" s="667" t="s">
        <v>14</v>
      </c>
      <c r="S35" s="668">
        <f t="shared" si="9"/>
        <v>100</v>
      </c>
      <c r="T35" s="667" t="s">
        <v>14</v>
      </c>
      <c r="U35" s="668">
        <f t="shared" si="10"/>
        <v>100</v>
      </c>
      <c r="V35" s="667" t="s">
        <v>14</v>
      </c>
      <c r="W35" s="668">
        <f t="shared" si="11"/>
        <v>100</v>
      </c>
      <c r="X35" s="1264"/>
      <c r="Y35" s="3477"/>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33" t="s">
        <v>1696</v>
      </c>
      <c r="Q36" s="1262">
        <f t="shared" si="8"/>
        <v>111</v>
      </c>
      <c r="R36" s="667" t="s">
        <v>14</v>
      </c>
      <c r="S36" s="668">
        <f t="shared" si="9"/>
        <v>100</v>
      </c>
      <c r="T36" s="667" t="s">
        <v>14</v>
      </c>
      <c r="U36" s="668">
        <f t="shared" si="10"/>
        <v>100</v>
      </c>
      <c r="V36" s="667" t="s">
        <v>14</v>
      </c>
      <c r="W36" s="668">
        <f t="shared" si="11"/>
        <v>100</v>
      </c>
      <c r="X36" s="1264"/>
      <c r="Y36" s="3481"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81"/>
      <c r="Q37" s="1262">
        <f t="shared" si="8"/>
        <v>111</v>
      </c>
      <c r="R37" s="669" t="s">
        <v>14</v>
      </c>
      <c r="S37" s="670">
        <f t="shared" si="9"/>
        <v>100</v>
      </c>
      <c r="T37" s="669" t="s">
        <v>14</v>
      </c>
      <c r="U37" s="670">
        <f t="shared" si="10"/>
        <v>100</v>
      </c>
      <c r="V37" s="669" t="s">
        <v>14</v>
      </c>
      <c r="W37" s="670">
        <f t="shared" si="11"/>
        <v>100</v>
      </c>
      <c r="X37" s="671"/>
      <c r="Y37" s="3481"/>
      <c r="Z37" s="672">
        <f t="shared" si="12"/>
        <v>111</v>
      </c>
      <c r="AA37" s="1263">
        <f t="shared" si="3"/>
        <v>1</v>
      </c>
      <c r="AB37" s="1263">
        <f t="shared" si="4"/>
        <v>1</v>
      </c>
      <c r="AC37" s="1263">
        <f t="shared" si="5"/>
        <v>1</v>
      </c>
    </row>
    <row r="38" spans="1:29" ht="15">
      <c r="A38" s="409" t="s">
        <v>1694</v>
      </c>
      <c r="B38" s="395" t="s">
        <v>1870</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481"/>
      <c r="Q38" s="1262" t="str">
        <f>B38</f>
        <v>宗地面积</v>
      </c>
      <c r="R38" s="667" t="s">
        <v>14</v>
      </c>
      <c r="S38" s="668">
        <f t="shared" si="9"/>
        <v>99</v>
      </c>
      <c r="T38" s="667" t="s">
        <v>14</v>
      </c>
      <c r="U38" s="668">
        <f t="shared" si="10"/>
        <v>99</v>
      </c>
      <c r="V38" s="667" t="s">
        <v>14</v>
      </c>
      <c r="W38" s="668">
        <f t="shared" si="11"/>
        <v>99</v>
      </c>
      <c r="X38" s="1264"/>
      <c r="Y38" s="3481"/>
      <c r="Z38" s="1263" t="str">
        <f t="shared" si="12"/>
        <v>宗地面积</v>
      </c>
      <c r="AA38" s="1263">
        <f t="shared" si="3"/>
        <v>1.0101010101010102</v>
      </c>
      <c r="AB38" s="1263">
        <f t="shared" si="4"/>
        <v>1.0101010101010102</v>
      </c>
      <c r="AC38" s="1263">
        <f t="shared" si="5"/>
        <v>1.0101010101010102</v>
      </c>
    </row>
    <row r="39" spans="1:29" ht="15">
      <c r="A39" s="409"/>
      <c r="B39" s="364" t="s">
        <v>1871</v>
      </c>
      <c r="C39" s="1758" t="s">
        <v>3695</v>
      </c>
      <c r="D39" s="374">
        <v>100</v>
      </c>
      <c r="E39" s="1758" t="s">
        <v>3695</v>
      </c>
      <c r="F39" s="374">
        <f>SUMIF(118:118,E39,119:119)-SUMIF(118:118,C39,119:119)+100</f>
        <v>100</v>
      </c>
      <c r="G39" s="1758" t="s">
        <v>3695</v>
      </c>
      <c r="H39" s="374">
        <f>SUMIF(118:118,G39,119:119)-SUMIF(118:118,C39,119:119)+100</f>
        <v>100</v>
      </c>
      <c r="I39" s="1758" t="s">
        <v>3695</v>
      </c>
      <c r="J39" s="374">
        <f>SUMIF(118:118,I39,119:119)-SUMIF(118:118,C39,119:119)+100</f>
        <v>100</v>
      </c>
      <c r="K39" s="538"/>
      <c r="L39" s="2488"/>
      <c r="M39" s="2483"/>
      <c r="N39" s="2483"/>
      <c r="O39" s="2538"/>
      <c r="P39" s="3481"/>
      <c r="Q39" s="1262" t="str">
        <f t="shared" ref="Q39:Q45" si="13">B39</f>
        <v>宗地形状</v>
      </c>
      <c r="R39" s="667" t="s">
        <v>14</v>
      </c>
      <c r="S39" s="668">
        <f t="shared" si="9"/>
        <v>100</v>
      </c>
      <c r="T39" s="667" t="s">
        <v>14</v>
      </c>
      <c r="U39" s="668">
        <f t="shared" si="10"/>
        <v>100</v>
      </c>
      <c r="V39" s="667" t="s">
        <v>14</v>
      </c>
      <c r="W39" s="668">
        <f t="shared" si="11"/>
        <v>100</v>
      </c>
      <c r="X39" s="1264"/>
      <c r="Y39" s="3481"/>
      <c r="Z39" s="1263" t="str">
        <f t="shared" si="12"/>
        <v>宗地形状</v>
      </c>
      <c r="AA39" s="1263">
        <f t="shared" si="3"/>
        <v>1</v>
      </c>
      <c r="AB39" s="1263">
        <f t="shared" si="4"/>
        <v>1</v>
      </c>
      <c r="AC39" s="1263">
        <f t="shared" si="5"/>
        <v>1</v>
      </c>
    </row>
    <row r="40" spans="1:29" ht="15">
      <c r="A40" s="409"/>
      <c r="B40" s="364" t="s">
        <v>1872</v>
      </c>
      <c r="C40" s="1758" t="s">
        <v>3700</v>
      </c>
      <c r="D40" s="374">
        <v>100</v>
      </c>
      <c r="E40" s="1758" t="s">
        <v>3700</v>
      </c>
      <c r="F40" s="374">
        <f>SUMIF(120:120,E40,121:121)-SUMIF(120:120,C40,121:121)+100</f>
        <v>100</v>
      </c>
      <c r="G40" s="1758" t="s">
        <v>3700</v>
      </c>
      <c r="H40" s="374">
        <f>SUMIF(120:120,G40,121:121)-SUMIF(120:120,C40,121:121)+100</f>
        <v>100</v>
      </c>
      <c r="I40" s="1758" t="s">
        <v>3700</v>
      </c>
      <c r="J40" s="374">
        <f>SUMIF(120:120,I40,121:121)-SUMIF(120:120,C40,121:121)+100</f>
        <v>100</v>
      </c>
      <c r="K40" s="538"/>
      <c r="L40" s="2488"/>
      <c r="M40" s="2483"/>
      <c r="N40" s="2483"/>
      <c r="O40" s="2538"/>
      <c r="P40" s="3481"/>
      <c r="Q40" s="1262" t="str">
        <f t="shared" si="13"/>
        <v>临街宽度及深度</v>
      </c>
      <c r="R40" s="667" t="s">
        <v>14</v>
      </c>
      <c r="S40" s="668">
        <f t="shared" si="9"/>
        <v>100</v>
      </c>
      <c r="T40" s="667" t="s">
        <v>14</v>
      </c>
      <c r="U40" s="668">
        <f t="shared" si="10"/>
        <v>100</v>
      </c>
      <c r="V40" s="667" t="s">
        <v>14</v>
      </c>
      <c r="W40" s="668">
        <f t="shared" si="11"/>
        <v>100</v>
      </c>
      <c r="X40" s="1264"/>
      <c r="Y40" s="3481"/>
      <c r="Z40" s="1263" t="str">
        <f t="shared" si="12"/>
        <v>临街宽度及深度</v>
      </c>
      <c r="AA40" s="1263">
        <f t="shared" si="3"/>
        <v>1</v>
      </c>
      <c r="AB40" s="1263">
        <f t="shared" si="4"/>
        <v>1</v>
      </c>
      <c r="AC40" s="1263">
        <f t="shared" si="5"/>
        <v>1</v>
      </c>
    </row>
    <row r="41" spans="1:29" s="102" customFormat="1" ht="15">
      <c r="A41" s="410"/>
      <c r="B41" s="364" t="s">
        <v>1873</v>
      </c>
      <c r="C41" s="1824" t="s">
        <v>3400</v>
      </c>
      <c r="D41" s="119">
        <v>100</v>
      </c>
      <c r="E41" s="1824" t="s">
        <v>3400</v>
      </c>
      <c r="F41" s="374">
        <f>SUMIF(122:122,E41,123:123)-SUMIF(122:122,C41,123:123)+100</f>
        <v>100</v>
      </c>
      <c r="G41" s="1824" t="s">
        <v>3400</v>
      </c>
      <c r="H41" s="374">
        <f>SUMIF(122:122,G41,123:123)-SUMIF(122:122,C41,123:123)+100</f>
        <v>100</v>
      </c>
      <c r="I41" s="1824" t="s">
        <v>3400</v>
      </c>
      <c r="J41" s="374">
        <f>SUMIF(122:122,I41,123:123)-SUMIF(122:122,C41,123:123)+100</f>
        <v>100</v>
      </c>
      <c r="K41" s="538"/>
      <c r="L41" s="2484"/>
      <c r="M41" s="2435"/>
      <c r="N41" s="2435"/>
      <c r="O41" s="2536"/>
      <c r="P41" s="3481"/>
      <c r="Q41" s="1262" t="str">
        <f t="shared" si="13"/>
        <v>宗地开发程度</v>
      </c>
      <c r="R41" s="664" t="s">
        <v>14</v>
      </c>
      <c r="S41" s="665">
        <f t="shared" si="9"/>
        <v>100</v>
      </c>
      <c r="T41" s="664" t="s">
        <v>14</v>
      </c>
      <c r="U41" s="665">
        <f t="shared" si="10"/>
        <v>100</v>
      </c>
      <c r="V41" s="664" t="s">
        <v>14</v>
      </c>
      <c r="W41" s="665">
        <f t="shared" si="11"/>
        <v>100</v>
      </c>
      <c r="X41" s="666"/>
      <c r="Y41" s="3481"/>
      <c r="Z41" s="50" t="str">
        <f t="shared" si="12"/>
        <v>宗地开发程度</v>
      </c>
      <c r="AA41" s="50">
        <f t="shared" si="3"/>
        <v>1</v>
      </c>
      <c r="AB41" s="50">
        <f t="shared" si="4"/>
        <v>1</v>
      </c>
      <c r="AC41" s="50">
        <f t="shared" si="5"/>
        <v>1</v>
      </c>
    </row>
    <row r="42" spans="1:29" ht="15">
      <c r="A42" s="409"/>
      <c r="B42" s="364" t="s">
        <v>1874</v>
      </c>
      <c r="C42" s="1758" t="s">
        <v>3394</v>
      </c>
      <c r="D42" s="374">
        <v>100</v>
      </c>
      <c r="E42" s="1758" t="s">
        <v>3394</v>
      </c>
      <c r="F42" s="374">
        <f>SUMIF(124:124,E42,125:125)-SUMIF(124:124,C42,125:125)+100</f>
        <v>100</v>
      </c>
      <c r="G42" s="1758" t="s">
        <v>3394</v>
      </c>
      <c r="H42" s="374">
        <f>SUMIF(124:124,G42,125:125)-SUMIF(124:124,C42,125:125)+100</f>
        <v>100</v>
      </c>
      <c r="I42" s="1758" t="s">
        <v>3394</v>
      </c>
      <c r="J42" s="374">
        <f>SUMIF(124:124,I42,125:125)-SUMIF(124:124,C42,125:125)+100</f>
        <v>100</v>
      </c>
      <c r="K42" s="538"/>
      <c r="L42" s="2488"/>
      <c r="M42" s="2483"/>
      <c r="N42" s="2483"/>
      <c r="O42" s="2538"/>
      <c r="P42" s="3481" t="s">
        <v>1696</v>
      </c>
      <c r="Q42" s="1262" t="str">
        <f t="shared" si="13"/>
        <v>工程地质条件</v>
      </c>
      <c r="R42" s="667" t="s">
        <v>14</v>
      </c>
      <c r="S42" s="668">
        <f t="shared" si="9"/>
        <v>100</v>
      </c>
      <c r="T42" s="667" t="s">
        <v>14</v>
      </c>
      <c r="U42" s="668">
        <f t="shared" si="10"/>
        <v>100</v>
      </c>
      <c r="V42" s="667" t="s">
        <v>14</v>
      </c>
      <c r="W42" s="668">
        <f t="shared" si="11"/>
        <v>100</v>
      </c>
      <c r="X42" s="1264"/>
      <c r="Y42" s="3481"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81"/>
      <c r="Q43" s="1262">
        <f t="shared" si="13"/>
        <v>111</v>
      </c>
      <c r="R43" s="667" t="s">
        <v>14</v>
      </c>
      <c r="S43" s="668">
        <f t="shared" si="9"/>
        <v>100</v>
      </c>
      <c r="T43" s="667" t="s">
        <v>14</v>
      </c>
      <c r="U43" s="668">
        <f t="shared" si="10"/>
        <v>100</v>
      </c>
      <c r="V43" s="667" t="s">
        <v>14</v>
      </c>
      <c r="W43" s="668">
        <f t="shared" si="11"/>
        <v>100</v>
      </c>
      <c r="X43" s="1264"/>
      <c r="Y43" s="3481"/>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81"/>
      <c r="Q44" s="1262">
        <f t="shared" si="13"/>
        <v>111</v>
      </c>
      <c r="R44" s="667" t="s">
        <v>14</v>
      </c>
      <c r="S44" s="668">
        <f t="shared" si="9"/>
        <v>100</v>
      </c>
      <c r="T44" s="667" t="s">
        <v>14</v>
      </c>
      <c r="U44" s="668">
        <f t="shared" si="10"/>
        <v>100</v>
      </c>
      <c r="V44" s="667" t="s">
        <v>14</v>
      </c>
      <c r="W44" s="668">
        <f t="shared" si="11"/>
        <v>100</v>
      </c>
      <c r="X44" s="1264"/>
      <c r="Y44" s="3481"/>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81"/>
      <c r="Q45" s="1262">
        <f t="shared" si="13"/>
        <v>111</v>
      </c>
      <c r="R45" s="669" t="s">
        <v>14</v>
      </c>
      <c r="S45" s="670">
        <f t="shared" si="9"/>
        <v>100</v>
      </c>
      <c r="T45" s="669" t="s">
        <v>14</v>
      </c>
      <c r="U45" s="670">
        <f t="shared" si="10"/>
        <v>100</v>
      </c>
      <c r="V45" s="669" t="s">
        <v>14</v>
      </c>
      <c r="W45" s="670">
        <f t="shared" si="11"/>
        <v>100</v>
      </c>
      <c r="X45" s="671"/>
      <c r="Y45" s="3481"/>
      <c r="Z45" s="672">
        <f t="shared" si="12"/>
        <v>111</v>
      </c>
      <c r="AA45" s="1263">
        <f t="shared" si="3"/>
        <v>1</v>
      </c>
      <c r="AB45" s="1263">
        <f t="shared" si="4"/>
        <v>1</v>
      </c>
      <c r="AC45" s="1263">
        <f t="shared" si="5"/>
        <v>1</v>
      </c>
    </row>
    <row r="46" spans="1:29" ht="15">
      <c r="A46" s="416" t="s">
        <v>1841</v>
      </c>
      <c r="B46" s="1826" t="s">
        <v>1875</v>
      </c>
      <c r="C46" s="602" t="s">
        <v>0</v>
      </c>
      <c r="D46" s="418"/>
      <c r="E46" s="419">
        <v>3371</v>
      </c>
      <c r="F46" s="420"/>
      <c r="G46" s="421">
        <v>3249</v>
      </c>
      <c r="H46" s="422"/>
      <c r="I46" s="419">
        <v>2946</v>
      </c>
      <c r="J46" s="422"/>
      <c r="K46" s="674"/>
      <c r="L46" s="2490"/>
      <c r="M46" s="2483"/>
      <c r="N46" s="2483"/>
      <c r="O46" s="2483"/>
      <c r="P46" s="3474" t="str">
        <f>A46</f>
        <v>成交单价</v>
      </c>
      <c r="Q46" s="3474"/>
      <c r="R46" s="3475">
        <f>E46</f>
        <v>3371</v>
      </c>
      <c r="S46" s="3475"/>
      <c r="T46" s="3475">
        <f>G46</f>
        <v>3249</v>
      </c>
      <c r="U46" s="3475"/>
      <c r="V46" s="3475">
        <f>I46</f>
        <v>2946</v>
      </c>
      <c r="W46" s="3475"/>
      <c r="X46" s="385"/>
      <c r="Y46" s="673"/>
      <c r="Z46" s="385"/>
      <c r="AA46" s="385"/>
      <c r="AB46" s="385"/>
      <c r="AC46" s="385"/>
    </row>
    <row r="47" spans="1:29" ht="15.75" thickBot="1">
      <c r="A47" s="423" t="s">
        <v>1790</v>
      </c>
      <c r="B47" s="603"/>
      <c r="C47" s="426">
        <f>R48</f>
        <v>3301</v>
      </c>
      <c r="D47" s="2137" t="s">
        <v>2134</v>
      </c>
      <c r="E47" s="426">
        <f>R47</f>
        <v>3406</v>
      </c>
      <c r="F47" s="2138"/>
      <c r="G47" s="425">
        <f>T47</f>
        <v>3283</v>
      </c>
      <c r="H47" s="2138"/>
      <c r="I47" s="426">
        <f>V47</f>
        <v>3214</v>
      </c>
      <c r="J47" s="2138"/>
      <c r="K47" s="2140">
        <f>F47+H47+J47</f>
        <v>0</v>
      </c>
      <c r="L47" s="2490"/>
      <c r="M47" s="2483"/>
      <c r="N47" s="2483"/>
      <c r="O47" s="2483"/>
      <c r="P47" s="3474" t="str">
        <f>A47</f>
        <v>比较价值（元/平方米）</v>
      </c>
      <c r="Q47" s="3474"/>
      <c r="R47" s="3535">
        <f>ROUND(PRODUCT(R46,AA7:AA45),0)</f>
        <v>3406</v>
      </c>
      <c r="S47" s="3535"/>
      <c r="T47" s="3535">
        <f>ROUND(PRODUCT(T46,AB7:AB45),0)</f>
        <v>3283</v>
      </c>
      <c r="U47" s="3535"/>
      <c r="V47" s="3535">
        <f>ROUND(PRODUCT(V46,AC7:AC45),0)</f>
        <v>3214</v>
      </c>
      <c r="W47" s="3535"/>
      <c r="X47" s="385"/>
      <c r="Y47" s="385"/>
      <c r="Z47" s="385"/>
      <c r="AA47" s="385"/>
      <c r="AB47" s="385"/>
      <c r="AC47" s="385"/>
    </row>
    <row r="48" spans="1:29" ht="15.75" thickBot="1">
      <c r="A48" s="427" t="s">
        <v>1876</v>
      </c>
      <c r="B48" s="428"/>
      <c r="C48" s="429">
        <f>R48</f>
        <v>3301</v>
      </c>
      <c r="D48" s="429"/>
      <c r="E48" s="429"/>
      <c r="F48" s="429"/>
      <c r="G48" s="429"/>
      <c r="H48" s="429"/>
      <c r="I48" s="429"/>
      <c r="J48" s="429"/>
      <c r="K48" s="675"/>
      <c r="L48" s="2490"/>
      <c r="M48" s="2483"/>
      <c r="N48" s="2483"/>
      <c r="O48" s="2483"/>
      <c r="P48" s="3471" t="str">
        <f>A48</f>
        <v>估价对象XX用房的比较价值（楼面单价，元/平方米）</v>
      </c>
      <c r="Q48" s="3472"/>
      <c r="R48" s="3536">
        <f>ROUND(IF(D47="简单平均",AVERAGE(R47:W47),R47*F47+T47*H47+V47*J47),0)</f>
        <v>3301</v>
      </c>
      <c r="S48" s="3536"/>
      <c r="T48" s="3536"/>
      <c r="U48" s="3536"/>
      <c r="V48" s="3536"/>
      <c r="W48" s="353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1.038267576386831E-2</v>
      </c>
      <c r="F51" s="435" t="str">
        <f>IF(OR(E51&gt;=0.3,E51&lt;=-0.3),"超过30%","")</f>
        <v/>
      </c>
      <c r="G51" s="434">
        <f>IF(G46&lt;G47,G47/G46-1,G46/G47-1)</f>
        <v>1.046475838719596E-2</v>
      </c>
      <c r="H51" s="435" t="str">
        <f>IF(OR(G51&gt;=0.3,G51&lt;=-0.3),"超过30%","")</f>
        <v/>
      </c>
      <c r="I51" s="434">
        <f>IF(I46&lt;I47,I47/I46-1,I46/I47-1)</f>
        <v>9.0970807875084825E-2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3.7465732561681397E-2</v>
      </c>
      <c r="F52" s="435" t="str">
        <f>IF(OR(E52&gt;=0.2,E52&lt;=-0.2),"超过20%","")</f>
        <v/>
      </c>
      <c r="G52" s="434">
        <f>IF(G47&lt;I47,I47/G47-1,G47/I47-1)</f>
        <v>2.146857498444299E-2</v>
      </c>
      <c r="H52" s="435" t="str">
        <f>IF(OR(G52&gt;=0.2,G52&lt;=-0.2),"超过20%","")</f>
        <v/>
      </c>
      <c r="I52" s="434">
        <f>IF(I47&lt;E47,E47/I47-1,I47/E47-1)</f>
        <v>5.9738643434972039E-2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1877</v>
      </c>
      <c r="B55" s="605" t="s">
        <v>1878</v>
      </c>
      <c r="C55" s="1827" t="s">
        <v>1879</v>
      </c>
      <c r="D55" s="1828" t="s">
        <v>1880</v>
      </c>
      <c r="E55" s="606" t="s">
        <v>1881</v>
      </c>
      <c r="F55" s="837" t="s">
        <v>1882</v>
      </c>
      <c r="G55" s="3489" t="s">
        <v>1883</v>
      </c>
      <c r="H55" s="3537"/>
      <c r="I55" s="127" t="s">
        <v>1884</v>
      </c>
      <c r="J55" s="1829">
        <f>项目基本情况!F35</f>
        <v>0</v>
      </c>
      <c r="K55" s="1830" t="s">
        <v>1885</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1886</v>
      </c>
      <c r="B56" s="609">
        <f>C48</f>
        <v>3301</v>
      </c>
      <c r="C56" s="610">
        <v>1</v>
      </c>
      <c r="D56" s="890">
        <v>1</v>
      </c>
      <c r="E56" s="610">
        <f>'数据-汇总表'!E8+'数据-汇总表'!E9</f>
        <v>69.099999999999994</v>
      </c>
      <c r="F56" s="833">
        <f t="shared" ref="F56:F64" si="14">ROUND(B56*E56/10000,0)</f>
        <v>23</v>
      </c>
      <c r="G56" s="3485"/>
      <c r="H56" s="3474"/>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1887</v>
      </c>
      <c r="B57" s="210">
        <f>ROUND($C$48*C57*D57,0)</f>
        <v>0</v>
      </c>
      <c r="C57" s="163">
        <f t="shared" ref="C57:C64" si="15">IF($C$55="北京市系数",I57,J57)</f>
        <v>0</v>
      </c>
      <c r="D57" s="891">
        <v>0.25</v>
      </c>
      <c r="E57" s="614"/>
      <c r="F57" s="833">
        <f t="shared" si="14"/>
        <v>0</v>
      </c>
      <c r="G57" s="2746" t="s">
        <v>1888</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1889</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1890</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1891</v>
      </c>
      <c r="B60" s="210">
        <f t="shared" si="16"/>
        <v>0</v>
      </c>
      <c r="C60" s="163">
        <f t="shared" si="15"/>
        <v>0</v>
      </c>
      <c r="D60" s="891">
        <v>0.25</v>
      </c>
      <c r="E60" s="209">
        <f>'数据-汇总表'!E11</f>
        <v>0</v>
      </c>
      <c r="F60" s="833">
        <f t="shared" si="14"/>
        <v>0</v>
      </c>
      <c r="G60" s="1831" t="s">
        <v>1892</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1893</v>
      </c>
      <c r="B61" s="210">
        <f t="shared" si="16"/>
        <v>0</v>
      </c>
      <c r="C61" s="163">
        <f t="shared" si="15"/>
        <v>0</v>
      </c>
      <c r="D61" s="891">
        <v>0.25</v>
      </c>
      <c r="E61" s="209">
        <f>'数据-汇总表'!E12</f>
        <v>0</v>
      </c>
      <c r="F61" s="833">
        <f t="shared" si="14"/>
        <v>0</v>
      </c>
      <c r="G61" s="839" t="s">
        <v>1894</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1895</v>
      </c>
      <c r="B62" s="210">
        <f t="shared" si="16"/>
        <v>165</v>
      </c>
      <c r="C62" s="163">
        <f t="shared" si="15"/>
        <v>0.2</v>
      </c>
      <c r="D62" s="891">
        <v>0.25</v>
      </c>
      <c r="E62" s="209">
        <f>'数据-汇总表'!E13</f>
        <v>0</v>
      </c>
      <c r="F62" s="833">
        <f t="shared" si="14"/>
        <v>0</v>
      </c>
      <c r="G62" s="839" t="s">
        <v>1896</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1897</v>
      </c>
      <c r="B63" s="210">
        <f t="shared" si="16"/>
        <v>0</v>
      </c>
      <c r="C63" s="163">
        <f t="shared" si="15"/>
        <v>0</v>
      </c>
      <c r="D63" s="891">
        <v>0.25</v>
      </c>
      <c r="E63" s="209">
        <f>'数据-汇总表'!E14</f>
        <v>0</v>
      </c>
      <c r="F63" s="833">
        <f t="shared" si="14"/>
        <v>0</v>
      </c>
      <c r="G63" s="1831" t="s">
        <v>1888</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1898</v>
      </c>
      <c r="B64" s="210">
        <f t="shared" si="16"/>
        <v>0</v>
      </c>
      <c r="C64" s="163">
        <f t="shared" si="15"/>
        <v>0</v>
      </c>
      <c r="D64" s="891">
        <v>0.25</v>
      </c>
      <c r="E64" s="209">
        <f>'数据-汇总表'!E15</f>
        <v>0</v>
      </c>
      <c r="F64" s="833">
        <f t="shared" si="14"/>
        <v>0</v>
      </c>
      <c r="G64" s="1832" t="s">
        <v>1892</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1899</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1900</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1901</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3685</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地价区类</v>
      </c>
      <c r="C81" s="485">
        <v>3</v>
      </c>
      <c r="D81" s="485">
        <v>2</v>
      </c>
      <c r="E81" s="485">
        <v>1</v>
      </c>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v>100</v>
      </c>
      <c r="D82" s="467">
        <f>C82+$J$82</f>
        <v>101</v>
      </c>
      <c r="E82" s="467">
        <f>D82+$J$82</f>
        <v>102</v>
      </c>
      <c r="F82" s="467"/>
      <c r="G82" s="467"/>
      <c r="H82" s="467"/>
      <c r="I82" s="467"/>
      <c r="J82" s="467">
        <v>1</v>
      </c>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1902</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1903</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1904</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3694</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1869</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1909</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1910</v>
      </c>
      <c r="C118" s="3226" t="s">
        <v>3696</v>
      </c>
      <c r="D118" s="3226" t="s">
        <v>3695</v>
      </c>
      <c r="E118" s="3226" t="s">
        <v>3697</v>
      </c>
      <c r="F118" s="3226" t="s">
        <v>3698</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1911</v>
      </c>
      <c r="C120" s="3227" t="s">
        <v>3699</v>
      </c>
      <c r="D120" s="3227" t="s">
        <v>3700</v>
      </c>
      <c r="E120" s="3227" t="s">
        <v>3701</v>
      </c>
      <c r="F120" s="3226" t="s">
        <v>3702</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1912</v>
      </c>
      <c r="C122" s="3227" t="s">
        <v>3400</v>
      </c>
      <c r="D122" s="3227" t="s">
        <v>3703</v>
      </c>
      <c r="E122" s="3227" t="s">
        <v>3704</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1913</v>
      </c>
      <c r="C124" s="3227" t="s">
        <v>3396</v>
      </c>
      <c r="D124" s="3227" t="s">
        <v>3394</v>
      </c>
      <c r="E124" s="3226" t="s">
        <v>3395</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1914</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89" t="s">
        <v>1767</v>
      </c>
      <c r="D4" s="3490"/>
      <c r="E4" s="3491" t="s">
        <v>1768</v>
      </c>
      <c r="F4" s="3492"/>
      <c r="G4" s="3489" t="s">
        <v>1769</v>
      </c>
      <c r="H4" s="3490"/>
      <c r="I4" s="3489" t="s">
        <v>1770</v>
      </c>
      <c r="J4" s="3490"/>
      <c r="K4" s="537" t="s">
        <v>1771</v>
      </c>
      <c r="L4" s="2482"/>
      <c r="M4" s="2483"/>
      <c r="N4" s="2483"/>
      <c r="O4" s="2483"/>
      <c r="P4" s="3493" t="s">
        <v>1772</v>
      </c>
      <c r="Q4" s="3494"/>
      <c r="R4" s="3499" t="s">
        <v>1768</v>
      </c>
      <c r="S4" s="3500"/>
      <c r="T4" s="3499" t="s">
        <v>1769</v>
      </c>
      <c r="U4" s="3500"/>
      <c r="V4" s="3475" t="s">
        <v>1770</v>
      </c>
      <c r="W4" s="3475"/>
      <c r="X4" s="1264"/>
      <c r="Y4" s="3499" t="s">
        <v>1772</v>
      </c>
      <c r="Z4" s="3500"/>
      <c r="AA4" s="3486" t="s">
        <v>1768</v>
      </c>
      <c r="AB4" s="3487" t="s">
        <v>1769</v>
      </c>
      <c r="AC4" s="3486" t="s">
        <v>1770</v>
      </c>
    </row>
    <row r="5" spans="1:29" ht="15">
      <c r="A5" s="348"/>
      <c r="B5" s="349"/>
      <c r="C5" s="3516" t="s">
        <v>1673</v>
      </c>
      <c r="D5" s="3508"/>
      <c r="E5" s="3517" t="s">
        <v>1674</v>
      </c>
      <c r="F5" s="3515"/>
      <c r="G5" s="3516" t="s">
        <v>1675</v>
      </c>
      <c r="H5" s="3508"/>
      <c r="I5" s="3516" t="s">
        <v>1676</v>
      </c>
      <c r="J5" s="3508"/>
      <c r="K5" s="537"/>
      <c r="L5" s="2482"/>
      <c r="M5" s="2483"/>
      <c r="N5" s="2483"/>
      <c r="O5" s="2483"/>
      <c r="P5" s="3495"/>
      <c r="Q5" s="3496"/>
      <c r="R5" s="3501"/>
      <c r="S5" s="3502"/>
      <c r="T5" s="3501"/>
      <c r="U5" s="3502"/>
      <c r="V5" s="3475"/>
      <c r="W5" s="3475"/>
      <c r="X5" s="1264"/>
      <c r="Y5" s="3501"/>
      <c r="Z5" s="3502"/>
      <c r="AA5" s="3487"/>
      <c r="AB5" s="3487"/>
      <c r="AC5" s="3487"/>
    </row>
    <row r="6" spans="1:29" ht="15.75" thickBot="1">
      <c r="A6" s="350"/>
      <c r="B6" s="351"/>
      <c r="C6" s="3540" t="s">
        <v>1915</v>
      </c>
      <c r="D6" s="3541"/>
      <c r="E6" s="3542" t="s">
        <v>1915</v>
      </c>
      <c r="F6" s="3543"/>
      <c r="G6" s="3540" t="s">
        <v>1915</v>
      </c>
      <c r="H6" s="3541"/>
      <c r="I6" s="3540" t="s">
        <v>1915</v>
      </c>
      <c r="J6" s="3541"/>
      <c r="K6" s="537" t="s">
        <v>1678</v>
      </c>
      <c r="L6" s="2482"/>
      <c r="M6" s="2483"/>
      <c r="N6" s="2483"/>
      <c r="O6" s="2483"/>
      <c r="P6" s="3497"/>
      <c r="Q6" s="3498"/>
      <c r="R6" s="3501"/>
      <c r="S6" s="3502"/>
      <c r="T6" s="3503"/>
      <c r="U6" s="3504"/>
      <c r="V6" s="3475"/>
      <c r="W6" s="3475"/>
      <c r="X6" s="1264"/>
      <c r="Y6" s="3503"/>
      <c r="Z6" s="3504"/>
      <c r="AA6" s="3488"/>
      <c r="AB6" s="3488"/>
      <c r="AC6" s="3488"/>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509" t="s">
        <v>1680</v>
      </c>
      <c r="Q7" s="3511"/>
      <c r="R7" s="664" t="s">
        <v>14</v>
      </c>
      <c r="S7" s="665">
        <f t="shared" ref="S7:S15" si="0">F7</f>
        <v>0</v>
      </c>
      <c r="T7" s="664" t="s">
        <v>14</v>
      </c>
      <c r="U7" s="665">
        <f t="shared" ref="U7:U15" si="1">H7</f>
        <v>0</v>
      </c>
      <c r="V7" s="664" t="s">
        <v>14</v>
      </c>
      <c r="W7" s="665">
        <f t="shared" ref="W7:W15" si="2">J7</f>
        <v>0</v>
      </c>
      <c r="X7" s="666"/>
      <c r="Y7" s="3509" t="s">
        <v>1680</v>
      </c>
      <c r="Z7" s="351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509" t="s">
        <v>1683</v>
      </c>
      <c r="Q8" s="3510"/>
      <c r="R8" s="664" t="s">
        <v>14</v>
      </c>
      <c r="S8" s="665">
        <f t="shared" si="0"/>
        <v>0</v>
      </c>
      <c r="T8" s="664" t="s">
        <v>14</v>
      </c>
      <c r="U8" s="665">
        <f t="shared" si="1"/>
        <v>0</v>
      </c>
      <c r="V8" s="664" t="s">
        <v>14</v>
      </c>
      <c r="W8" s="665">
        <f t="shared" si="2"/>
        <v>0</v>
      </c>
      <c r="X8" s="666"/>
      <c r="Y8" s="3509" t="s">
        <v>1683</v>
      </c>
      <c r="Z8" s="3510"/>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474"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474"/>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74"/>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74"/>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74"/>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74"/>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54" t="s">
        <v>1916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76" t="s">
        <v>1691</v>
      </c>
      <c r="Q15" s="1262" t="str">
        <f t="shared" si="6"/>
        <v>产业集聚程度</v>
      </c>
      <c r="R15" s="667" t="s">
        <v>14</v>
      </c>
      <c r="S15" s="668">
        <f t="shared" si="0"/>
        <v>100</v>
      </c>
      <c r="T15" s="667" t="s">
        <v>14</v>
      </c>
      <c r="U15" s="668">
        <f t="shared" si="1"/>
        <v>100</v>
      </c>
      <c r="V15" s="667" t="s">
        <v>14</v>
      </c>
      <c r="W15" s="668">
        <f t="shared" si="2"/>
        <v>100</v>
      </c>
      <c r="X15" s="1264"/>
      <c r="Y15" s="3476"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477"/>
      <c r="Q16" s="1262"/>
      <c r="R16" s="667"/>
      <c r="S16" s="668"/>
      <c r="T16" s="667"/>
      <c r="U16" s="668"/>
      <c r="V16" s="667"/>
      <c r="W16" s="668"/>
      <c r="X16" s="1264"/>
      <c r="Y16" s="3477"/>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77"/>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477"/>
      <c r="Q18" s="1262"/>
      <c r="R18" s="667"/>
      <c r="S18" s="668"/>
      <c r="T18" s="667"/>
      <c r="U18" s="668"/>
      <c r="V18" s="667"/>
      <c r="W18" s="668"/>
      <c r="X18" s="1264"/>
      <c r="Y18" s="3477"/>
      <c r="Z18" s="1263"/>
      <c r="AA18" s="1263">
        <v>1</v>
      </c>
      <c r="AB18" s="1263">
        <v>1</v>
      </c>
      <c r="AC18" s="1263">
        <v>1</v>
      </c>
    </row>
    <row r="19" spans="1:29" ht="15">
      <c r="A19" s="367"/>
      <c r="B19" s="556" t="s">
        <v>1867</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77"/>
      <c r="Q19" s="1262" t="str">
        <f t="shared" ref="Q19:Q33" si="8">B19</f>
        <v>区域土地利用方向</v>
      </c>
      <c r="R19" s="667" t="s">
        <v>14</v>
      </c>
      <c r="S19" s="668">
        <f>F19</f>
        <v>100</v>
      </c>
      <c r="T19" s="667" t="s">
        <v>14</v>
      </c>
      <c r="U19" s="668">
        <f>H19</f>
        <v>100</v>
      </c>
      <c r="V19" s="667" t="s">
        <v>14</v>
      </c>
      <c r="W19" s="668">
        <f>J19</f>
        <v>100</v>
      </c>
      <c r="X19" s="1264"/>
      <c r="Y19" s="3477"/>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477"/>
      <c r="Q20" s="1262"/>
      <c r="R20" s="667"/>
      <c r="S20" s="668"/>
      <c r="T20" s="667"/>
      <c r="U20" s="668"/>
      <c r="V20" s="667"/>
      <c r="W20" s="668"/>
      <c r="X20" s="1264"/>
      <c r="Y20" s="3477"/>
      <c r="Z20" s="1263"/>
      <c r="AA20" s="1263"/>
      <c r="AB20" s="1263"/>
      <c r="AC20" s="1263"/>
    </row>
    <row r="21" spans="1:29" ht="71.25">
      <c r="A21" s="348"/>
      <c r="B21" s="556" t="s">
        <v>1917</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77"/>
      <c r="Q21" s="1262" t="str">
        <f t="shared" si="8"/>
        <v>环境状况</v>
      </c>
      <c r="R21" s="667" t="s">
        <v>14</v>
      </c>
      <c r="S21" s="668">
        <f>F21</f>
        <v>100</v>
      </c>
      <c r="T21" s="667" t="s">
        <v>14</v>
      </c>
      <c r="U21" s="668">
        <f>H21</f>
        <v>100</v>
      </c>
      <c r="V21" s="667" t="s">
        <v>14</v>
      </c>
      <c r="W21" s="668">
        <f>J21</f>
        <v>100</v>
      </c>
      <c r="X21" s="1264"/>
      <c r="Y21" s="3477"/>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477"/>
      <c r="Q22" s="1262"/>
      <c r="R22" s="667"/>
      <c r="S22" s="668"/>
      <c r="T22" s="667"/>
      <c r="U22" s="668"/>
      <c r="V22" s="667"/>
      <c r="W22" s="668"/>
      <c r="X22" s="1264"/>
      <c r="Y22" s="3477"/>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77"/>
      <c r="Q23" s="530" t="str">
        <f t="shared" si="8"/>
        <v>公共配套设施</v>
      </c>
      <c r="R23" s="664" t="s">
        <v>14</v>
      </c>
      <c r="S23" s="665">
        <f>F23</f>
        <v>100</v>
      </c>
      <c r="T23" s="664" t="s">
        <v>14</v>
      </c>
      <c r="U23" s="665">
        <f>H23</f>
        <v>100</v>
      </c>
      <c r="V23" s="664" t="s">
        <v>14</v>
      </c>
      <c r="W23" s="665">
        <f>J23</f>
        <v>100</v>
      </c>
      <c r="X23" s="666"/>
      <c r="Y23" s="3477"/>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477"/>
      <c r="Q24" s="530"/>
      <c r="R24" s="664"/>
      <c r="S24" s="665"/>
      <c r="T24" s="664"/>
      <c r="U24" s="665"/>
      <c r="V24" s="664"/>
      <c r="W24" s="665"/>
      <c r="X24" s="666"/>
      <c r="Y24" s="3477"/>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77"/>
      <c r="Q25" s="530" t="str">
        <f>B25</f>
        <v>基础设施水平</v>
      </c>
      <c r="R25" s="664" t="s">
        <v>14</v>
      </c>
      <c r="S25" s="665">
        <f>F25</f>
        <v>100</v>
      </c>
      <c r="T25" s="664" t="s">
        <v>14</v>
      </c>
      <c r="U25" s="665">
        <f>H25</f>
        <v>100</v>
      </c>
      <c r="V25" s="664" t="s">
        <v>14</v>
      </c>
      <c r="W25" s="665">
        <f>J25</f>
        <v>100</v>
      </c>
      <c r="X25" s="666"/>
      <c r="Y25" s="3477"/>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477"/>
      <c r="Q26" s="530"/>
      <c r="R26" s="664"/>
      <c r="S26" s="665"/>
      <c r="T26" s="664"/>
      <c r="U26" s="665"/>
      <c r="V26" s="664"/>
      <c r="W26" s="665"/>
      <c r="X26" s="666"/>
      <c r="Y26" s="3477"/>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77"/>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477"/>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77"/>
      <c r="Q28" s="1262" t="str">
        <f t="shared" si="8"/>
        <v>毗邻道路的类型与等级</v>
      </c>
      <c r="R28" s="667" t="s">
        <v>14</v>
      </c>
      <c r="S28" s="668">
        <f t="shared" si="9"/>
        <v>100</v>
      </c>
      <c r="T28" s="667" t="s">
        <v>14</v>
      </c>
      <c r="U28" s="668">
        <f t="shared" si="10"/>
        <v>100</v>
      </c>
      <c r="V28" s="667" t="s">
        <v>14</v>
      </c>
      <c r="W28" s="668">
        <f t="shared" si="11"/>
        <v>100</v>
      </c>
      <c r="X28" s="1264"/>
      <c r="Y28" s="3477"/>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477"/>
      <c r="Q29" s="1262"/>
      <c r="R29" s="667"/>
      <c r="S29" s="668"/>
      <c r="T29" s="667"/>
      <c r="U29" s="668"/>
      <c r="V29" s="667"/>
      <c r="W29" s="668"/>
      <c r="X29" s="1264"/>
      <c r="Y29" s="3477"/>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77"/>
      <c r="Q30" s="1262" t="str">
        <f t="shared" si="8"/>
        <v>土地级别</v>
      </c>
      <c r="R30" s="667" t="s">
        <v>14</v>
      </c>
      <c r="S30" s="668">
        <f t="shared" si="9"/>
        <v>100</v>
      </c>
      <c r="T30" s="667" t="s">
        <v>14</v>
      </c>
      <c r="U30" s="668">
        <f t="shared" si="10"/>
        <v>100</v>
      </c>
      <c r="V30" s="667" t="s">
        <v>14</v>
      </c>
      <c r="W30" s="668">
        <f t="shared" si="11"/>
        <v>100</v>
      </c>
      <c r="X30" s="1264"/>
      <c r="Y30" s="3477"/>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77"/>
      <c r="Q31" s="1262">
        <f t="shared" si="8"/>
        <v>111</v>
      </c>
      <c r="R31" s="667" t="s">
        <v>14</v>
      </c>
      <c r="S31" s="668">
        <f t="shared" si="9"/>
        <v>100</v>
      </c>
      <c r="T31" s="667" t="s">
        <v>14</v>
      </c>
      <c r="U31" s="668">
        <f t="shared" si="10"/>
        <v>100</v>
      </c>
      <c r="V31" s="667" t="s">
        <v>14</v>
      </c>
      <c r="W31" s="668">
        <f t="shared" si="11"/>
        <v>100</v>
      </c>
      <c r="X31" s="1264"/>
      <c r="Y31" s="3477"/>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33" t="s">
        <v>1696</v>
      </c>
      <c r="Q32" s="1262">
        <f t="shared" si="8"/>
        <v>111</v>
      </c>
      <c r="R32" s="667" t="s">
        <v>14</v>
      </c>
      <c r="S32" s="668">
        <f t="shared" si="9"/>
        <v>100</v>
      </c>
      <c r="T32" s="667" t="s">
        <v>14</v>
      </c>
      <c r="U32" s="668">
        <f t="shared" si="10"/>
        <v>100</v>
      </c>
      <c r="V32" s="667" t="s">
        <v>14</v>
      </c>
      <c r="W32" s="668">
        <f t="shared" si="11"/>
        <v>100</v>
      </c>
      <c r="X32" s="1264"/>
      <c r="Y32" s="3481"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81"/>
      <c r="Q33" s="1262">
        <f t="shared" si="8"/>
        <v>111</v>
      </c>
      <c r="R33" s="669" t="s">
        <v>14</v>
      </c>
      <c r="S33" s="670">
        <f t="shared" si="9"/>
        <v>100</v>
      </c>
      <c r="T33" s="669" t="s">
        <v>14</v>
      </c>
      <c r="U33" s="670">
        <f t="shared" si="10"/>
        <v>100</v>
      </c>
      <c r="V33" s="669" t="s">
        <v>14</v>
      </c>
      <c r="W33" s="670">
        <f t="shared" si="11"/>
        <v>100</v>
      </c>
      <c r="X33" s="671"/>
      <c r="Y33" s="3481"/>
      <c r="Z33" s="672">
        <f t="shared" si="12"/>
        <v>111</v>
      </c>
      <c r="AA33" s="1263">
        <f t="shared" si="3"/>
        <v>1</v>
      </c>
      <c r="AB33" s="1263">
        <f t="shared" si="4"/>
        <v>1</v>
      </c>
      <c r="AC33" s="1263">
        <f t="shared" si="5"/>
        <v>1</v>
      </c>
    </row>
    <row r="34" spans="1:31" ht="15">
      <c r="A34" s="379" t="s">
        <v>1694</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81"/>
      <c r="Q34" s="1262" t="str">
        <f>B34</f>
        <v>宗地面积</v>
      </c>
      <c r="R34" s="667" t="s">
        <v>14</v>
      </c>
      <c r="S34" s="668" t="e">
        <f t="shared" si="9"/>
        <v>#N/A</v>
      </c>
      <c r="T34" s="667" t="s">
        <v>14</v>
      </c>
      <c r="U34" s="668" t="e">
        <f t="shared" si="10"/>
        <v>#N/A</v>
      </c>
      <c r="V34" s="667" t="s">
        <v>14</v>
      </c>
      <c r="W34" s="668" t="e">
        <f t="shared" si="11"/>
        <v>#N/A</v>
      </c>
      <c r="X34" s="1264"/>
      <c r="Y34" s="3481"/>
      <c r="Z34" s="1263" t="str">
        <f t="shared" si="12"/>
        <v>宗地面积</v>
      </c>
      <c r="AA34" s="1263" t="e">
        <f t="shared" si="3"/>
        <v>#N/A</v>
      </c>
      <c r="AB34" s="1263" t="e">
        <f t="shared" si="4"/>
        <v>#N/A</v>
      </c>
      <c r="AC34" s="1263" t="e">
        <f t="shared" si="5"/>
        <v>#N/A</v>
      </c>
    </row>
    <row r="35" spans="1:31" ht="15">
      <c r="A35" s="409"/>
      <c r="B35" s="364" t="s">
        <v>1871</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81"/>
      <c r="Q35" s="1262" t="str">
        <f t="shared" ref="Q35:Q40" si="13">B35</f>
        <v>宗地形状</v>
      </c>
      <c r="R35" s="667" t="s">
        <v>14</v>
      </c>
      <c r="S35" s="668">
        <f t="shared" si="9"/>
        <v>100</v>
      </c>
      <c r="T35" s="667" t="s">
        <v>14</v>
      </c>
      <c r="U35" s="668">
        <f t="shared" si="10"/>
        <v>100</v>
      </c>
      <c r="V35" s="667" t="s">
        <v>14</v>
      </c>
      <c r="W35" s="668">
        <f t="shared" si="11"/>
        <v>100</v>
      </c>
      <c r="X35" s="1264"/>
      <c r="Y35" s="3481"/>
      <c r="Z35" s="1263" t="str">
        <f t="shared" si="12"/>
        <v>宗地形状</v>
      </c>
      <c r="AA35" s="1263">
        <f t="shared" si="3"/>
        <v>1</v>
      </c>
      <c r="AB35" s="1263">
        <f t="shared" si="4"/>
        <v>1</v>
      </c>
      <c r="AC35" s="1263">
        <f t="shared" si="5"/>
        <v>1</v>
      </c>
    </row>
    <row r="36" spans="1:31" s="102" customFormat="1" ht="15">
      <c r="A36" s="410"/>
      <c r="B36" s="364" t="s">
        <v>1873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81"/>
      <c r="Q36" s="1262" t="str">
        <f t="shared" si="13"/>
        <v>宗地开发程度</v>
      </c>
      <c r="R36" s="664" t="s">
        <v>14</v>
      </c>
      <c r="S36" s="665">
        <f t="shared" si="9"/>
        <v>100</v>
      </c>
      <c r="T36" s="664" t="s">
        <v>14</v>
      </c>
      <c r="U36" s="665">
        <f t="shared" si="10"/>
        <v>100</v>
      </c>
      <c r="V36" s="664" t="s">
        <v>14</v>
      </c>
      <c r="W36" s="665">
        <f t="shared" si="11"/>
        <v>100</v>
      </c>
      <c r="X36" s="666"/>
      <c r="Y36" s="3481"/>
      <c r="Z36" s="50" t="str">
        <f t="shared" si="12"/>
        <v>宗地开发程度</v>
      </c>
      <c r="AA36" s="50">
        <f t="shared" si="3"/>
        <v>1</v>
      </c>
      <c r="AB36" s="50">
        <f t="shared" si="4"/>
        <v>1</v>
      </c>
      <c r="AC36" s="50">
        <f t="shared" si="5"/>
        <v>1</v>
      </c>
    </row>
    <row r="37" spans="1:31" ht="15">
      <c r="A37" s="409"/>
      <c r="B37" s="364" t="s">
        <v>1874</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81" t="s">
        <v>1696</v>
      </c>
      <c r="Q37" s="1262" t="str">
        <f t="shared" si="13"/>
        <v>工程地质条件</v>
      </c>
      <c r="R37" s="667" t="s">
        <v>14</v>
      </c>
      <c r="S37" s="668">
        <f t="shared" si="9"/>
        <v>100</v>
      </c>
      <c r="T37" s="667" t="s">
        <v>14</v>
      </c>
      <c r="U37" s="668">
        <f t="shared" si="10"/>
        <v>100</v>
      </c>
      <c r="V37" s="667" t="s">
        <v>14</v>
      </c>
      <c r="W37" s="668">
        <f t="shared" si="11"/>
        <v>100</v>
      </c>
      <c r="X37" s="1264"/>
      <c r="Y37" s="3481"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81"/>
      <c r="Q38" s="1262">
        <f t="shared" si="13"/>
        <v>111</v>
      </c>
      <c r="R38" s="667" t="s">
        <v>14</v>
      </c>
      <c r="S38" s="668">
        <f t="shared" si="9"/>
        <v>100</v>
      </c>
      <c r="T38" s="667" t="s">
        <v>14</v>
      </c>
      <c r="U38" s="668">
        <f t="shared" si="10"/>
        <v>100</v>
      </c>
      <c r="V38" s="667" t="s">
        <v>14</v>
      </c>
      <c r="W38" s="668">
        <f t="shared" si="11"/>
        <v>100</v>
      </c>
      <c r="X38" s="1264"/>
      <c r="Y38" s="3481"/>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81"/>
      <c r="Q39" s="1262">
        <f t="shared" si="13"/>
        <v>111</v>
      </c>
      <c r="R39" s="667" t="s">
        <v>14</v>
      </c>
      <c r="S39" s="668">
        <f t="shared" si="9"/>
        <v>100</v>
      </c>
      <c r="T39" s="667" t="s">
        <v>14</v>
      </c>
      <c r="U39" s="668">
        <f t="shared" si="10"/>
        <v>100</v>
      </c>
      <c r="V39" s="667" t="s">
        <v>14</v>
      </c>
      <c r="W39" s="668">
        <f t="shared" si="11"/>
        <v>100</v>
      </c>
      <c r="X39" s="1264"/>
      <c r="Y39" s="3481"/>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81"/>
      <c r="Q40" s="1262">
        <f t="shared" si="13"/>
        <v>111</v>
      </c>
      <c r="R40" s="669" t="s">
        <v>14</v>
      </c>
      <c r="S40" s="670">
        <f t="shared" si="9"/>
        <v>100</v>
      </c>
      <c r="T40" s="669" t="s">
        <v>14</v>
      </c>
      <c r="U40" s="670">
        <f t="shared" si="10"/>
        <v>100</v>
      </c>
      <c r="V40" s="669" t="s">
        <v>14</v>
      </c>
      <c r="W40" s="670">
        <f t="shared" si="11"/>
        <v>100</v>
      </c>
      <c r="X40" s="671"/>
      <c r="Y40" s="3481"/>
      <c r="Z40" s="672">
        <f t="shared" si="12"/>
        <v>111</v>
      </c>
      <c r="AA40" s="1263">
        <f t="shared" si="3"/>
        <v>1</v>
      </c>
      <c r="AB40" s="1263">
        <f t="shared" si="4"/>
        <v>1</v>
      </c>
      <c r="AC40" s="1263">
        <f t="shared" si="5"/>
        <v>1</v>
      </c>
    </row>
    <row r="41" spans="1:31" ht="15">
      <c r="A41" s="416" t="s">
        <v>1841</v>
      </c>
      <c r="B41" s="1826" t="s">
        <v>1918</v>
      </c>
      <c r="C41" s="602" t="s">
        <v>0</v>
      </c>
      <c r="D41" s="418"/>
      <c r="E41" s="419"/>
      <c r="F41" s="420"/>
      <c r="G41" s="421"/>
      <c r="H41" s="422"/>
      <c r="I41" s="419"/>
      <c r="J41" s="422"/>
      <c r="K41" s="674"/>
      <c r="L41" s="2490"/>
      <c r="M41" s="2483"/>
      <c r="N41" s="2483"/>
      <c r="O41" s="2483"/>
      <c r="P41" s="3474" t="str">
        <f>A41</f>
        <v>成交单价</v>
      </c>
      <c r="Q41" s="3474"/>
      <c r="R41" s="3475">
        <f>E41</f>
        <v>0</v>
      </c>
      <c r="S41" s="3475"/>
      <c r="T41" s="3475">
        <f>G41</f>
        <v>0</v>
      </c>
      <c r="U41" s="3475"/>
      <c r="V41" s="3475">
        <f>I41</f>
        <v>0</v>
      </c>
      <c r="W41" s="3475"/>
      <c r="X41" s="385"/>
      <c r="Y41" s="673"/>
      <c r="Z41" s="385"/>
      <c r="AA41" s="385"/>
      <c r="AB41" s="385"/>
      <c r="AC41" s="385"/>
    </row>
    <row r="42" spans="1:31" ht="15.75" thickBot="1">
      <c r="A42" s="423" t="s">
        <v>1790</v>
      </c>
      <c r="B42" s="603"/>
      <c r="C42" s="426" t="e">
        <f>R43</f>
        <v>#DIV/0!</v>
      </c>
      <c r="D42" s="2137" t="s">
        <v>2134</v>
      </c>
      <c r="E42" s="426" t="e">
        <f>R42</f>
        <v>#DIV/0!</v>
      </c>
      <c r="F42" s="2138"/>
      <c r="G42" s="425" t="e">
        <f>T42</f>
        <v>#DIV/0!</v>
      </c>
      <c r="H42" s="2138"/>
      <c r="I42" s="426" t="e">
        <f>V42</f>
        <v>#DIV/0!</v>
      </c>
      <c r="J42" s="2138"/>
      <c r="K42" s="2140">
        <f>F42+H42+J42</f>
        <v>0</v>
      </c>
      <c r="L42" s="2490"/>
      <c r="M42" s="2483"/>
      <c r="N42" s="2483"/>
      <c r="O42" s="2483"/>
      <c r="P42" s="3474" t="str">
        <f>A42</f>
        <v>比较价值（元/平方米）</v>
      </c>
      <c r="Q42" s="3474"/>
      <c r="R42" s="3535" t="e">
        <f>ROUND(PRODUCT(R41,AA7:AA40),0)</f>
        <v>#DIV/0!</v>
      </c>
      <c r="S42" s="3535"/>
      <c r="T42" s="3535" t="e">
        <f>ROUND(PRODUCT(T41,AB7:AB40),0)</f>
        <v>#DIV/0!</v>
      </c>
      <c r="U42" s="3535"/>
      <c r="V42" s="3535" t="e">
        <f>ROUND(PRODUCT(V41,AC7:AC40),0)</f>
        <v>#DIV/0!</v>
      </c>
      <c r="W42" s="3535"/>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471" t="str">
        <f>A43</f>
        <v>估价对象XX用房的比较价值（楼面单价，元/平方米）</v>
      </c>
      <c r="Q43" s="3472"/>
      <c r="R43" s="3536" t="e">
        <f>ROUND(IF(D42="简单平均",AVERAGE(R42:W42),R42*F42+T42*H42+V42*J42),0)</f>
        <v>#DIV/0!</v>
      </c>
      <c r="S43" s="3536"/>
      <c r="T43" s="3536"/>
      <c r="U43" s="3536"/>
      <c r="V43" s="3536"/>
      <c r="W43" s="353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1877</v>
      </c>
      <c r="B50" s="605" t="s">
        <v>1878</v>
      </c>
      <c r="C50" s="1827" t="s">
        <v>1879</v>
      </c>
      <c r="D50" s="1828" t="s">
        <v>1880</v>
      </c>
      <c r="E50" s="606" t="s">
        <v>1881</v>
      </c>
      <c r="F50" s="607" t="s">
        <v>1882</v>
      </c>
      <c r="G50" s="3489" t="s">
        <v>1883</v>
      </c>
      <c r="H50" s="3537"/>
      <c r="I50" s="1263" t="s">
        <v>1919</v>
      </c>
      <c r="J50" s="1263">
        <f>项目基本情况!F35</f>
        <v>0</v>
      </c>
      <c r="K50" s="1830" t="s">
        <v>1885</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1886</v>
      </c>
      <c r="B51" s="609" t="e">
        <f>C43</f>
        <v>#DIV/0!</v>
      </c>
      <c r="C51" s="610">
        <v>1</v>
      </c>
      <c r="D51" s="890">
        <v>1</v>
      </c>
      <c r="E51" s="610">
        <f>'数据-汇总表'!E8+'数据-汇总表'!E9</f>
        <v>69.099999999999994</v>
      </c>
      <c r="F51" s="611" t="e">
        <f t="shared" ref="F51:F60" si="14">ROUND(B51*E51/10000,0)</f>
        <v>#DIV/0!</v>
      </c>
      <c r="G51" s="3485"/>
      <c r="H51" s="3474"/>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1887</v>
      </c>
      <c r="B52" s="210" t="e">
        <f>ROUND($C$43*C52*D52,0)</f>
        <v>#DIV/0!</v>
      </c>
      <c r="C52" s="163">
        <f t="shared" ref="C52:C60" si="15">IF($C$50="北京市系数",I52,J52)</f>
        <v>0</v>
      </c>
      <c r="D52" s="891">
        <v>0.25</v>
      </c>
      <c r="E52" s="614"/>
      <c r="F52" s="611" t="e">
        <f t="shared" si="14"/>
        <v>#DIV/0!</v>
      </c>
      <c r="G52" s="2746" t="s">
        <v>1888</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1889</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1890</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1891</v>
      </c>
      <c r="B56" s="210" t="e">
        <f t="shared" si="16"/>
        <v>#DIV/0!</v>
      </c>
      <c r="C56" s="163">
        <f t="shared" si="15"/>
        <v>0</v>
      </c>
      <c r="D56" s="891">
        <v>0.25</v>
      </c>
      <c r="E56" s="209">
        <f>'数据-汇总表'!E11</f>
        <v>0</v>
      </c>
      <c r="F56" s="611" t="e">
        <f t="shared" si="14"/>
        <v>#DIV/0!</v>
      </c>
      <c r="G56" s="1831" t="s">
        <v>1892</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1893</v>
      </c>
      <c r="B57" s="210" t="e">
        <f t="shared" si="16"/>
        <v>#DIV/0!</v>
      </c>
      <c r="C57" s="163">
        <f t="shared" si="15"/>
        <v>0</v>
      </c>
      <c r="D57" s="891">
        <v>0.25</v>
      </c>
      <c r="E57" s="209">
        <f>'数据-汇总表'!E12</f>
        <v>0</v>
      </c>
      <c r="F57" s="611" t="e">
        <f t="shared" si="14"/>
        <v>#DIV/0!</v>
      </c>
      <c r="G57" s="839" t="s">
        <v>1894</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1895</v>
      </c>
      <c r="B58" s="210" t="e">
        <f t="shared" si="16"/>
        <v>#DIV/0!</v>
      </c>
      <c r="C58" s="163">
        <f t="shared" si="15"/>
        <v>0.2</v>
      </c>
      <c r="D58" s="891">
        <v>0.25</v>
      </c>
      <c r="E58" s="209">
        <f>'数据-汇总表'!E13</f>
        <v>0</v>
      </c>
      <c r="F58" s="611" t="e">
        <f t="shared" si="14"/>
        <v>#DIV/0!</v>
      </c>
      <c r="G58" s="839" t="s">
        <v>1896</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1897</v>
      </c>
      <c r="B59" s="210" t="e">
        <f t="shared" si="16"/>
        <v>#DIV/0!</v>
      </c>
      <c r="C59" s="163">
        <f t="shared" si="15"/>
        <v>0</v>
      </c>
      <c r="D59" s="891">
        <v>0.25</v>
      </c>
      <c r="E59" s="209">
        <f>'数据-汇总表'!E14</f>
        <v>0</v>
      </c>
      <c r="F59" s="611" t="e">
        <f t="shared" si="14"/>
        <v>#DIV/0!</v>
      </c>
      <c r="G59" s="1831" t="s">
        <v>1888</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1898</v>
      </c>
      <c r="B60" s="210" t="e">
        <f t="shared" si="16"/>
        <v>#DIV/0!</v>
      </c>
      <c r="C60" s="163">
        <f t="shared" si="15"/>
        <v>0</v>
      </c>
      <c r="D60" s="891">
        <v>0.25</v>
      </c>
      <c r="E60" s="209">
        <f>'数据-汇总表'!E15</f>
        <v>0</v>
      </c>
      <c r="F60" s="611" t="e">
        <f t="shared" si="14"/>
        <v>#DIV/0!</v>
      </c>
      <c r="G60" s="1832" t="s">
        <v>1892</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1900</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1903</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1904</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1921</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1869</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1909</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1910</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1912</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1913</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547" t="s">
        <v>2080</v>
      </c>
      <c r="D1" s="3548"/>
      <c r="E1" s="3548"/>
      <c r="F1" s="3548"/>
      <c r="G1" s="3548"/>
      <c r="H1" s="3548"/>
      <c r="I1" s="3548"/>
      <c r="J1" s="3548"/>
      <c r="K1" s="3548"/>
      <c r="L1" s="3548"/>
      <c r="M1" s="3548"/>
      <c r="N1" s="3548"/>
      <c r="O1" s="3548"/>
      <c r="P1" s="3548"/>
      <c r="Q1" s="3548"/>
      <c r="R1" s="3548"/>
      <c r="S1" s="3549"/>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2083</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2084</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2085</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2089</v>
      </c>
      <c r="B17" s="1983"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2091</v>
      </c>
      <c r="E19" s="1252"/>
      <c r="F19" s="1252"/>
      <c r="G19" s="1252"/>
      <c r="H19" s="996"/>
      <c r="I19" s="151"/>
      <c r="J19" s="151"/>
      <c r="K19" s="151"/>
      <c r="L19" s="151"/>
      <c r="M19" s="151"/>
      <c r="N19" s="151"/>
      <c r="O19" s="151"/>
      <c r="P19" s="151"/>
      <c r="Q19" s="151"/>
      <c r="R19" s="151"/>
      <c r="S19" s="121"/>
    </row>
    <row r="20" spans="1:45" ht="16.5" thickBot="1">
      <c r="A20" s="632" t="s">
        <v>2092</v>
      </c>
      <c r="B20" s="286" t="e">
        <f ca="1">IF(D20="——",S22,S22-F20)</f>
        <v>#REF!</v>
      </c>
      <c r="C20" s="151"/>
      <c r="D20" s="1985"/>
      <c r="E20" s="1253"/>
      <c r="F20" s="929" t="e">
        <f ca="1">SUMIF(INDIRECT("'"&amp;H20&amp;"'"&amp;"!A:A"),"承租人权益价值",INDIRECT("'"&amp;H20&amp;"'"&amp;"!c:c"))</f>
        <v>#REF!</v>
      </c>
      <c r="G20" s="929" t="s">
        <v>2093</v>
      </c>
      <c r="H20" s="1986"/>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44" t="s">
        <v>27</v>
      </c>
      <c r="D22" s="3545"/>
      <c r="E22" s="3545"/>
      <c r="F22" s="3545"/>
      <c r="G22" s="3545"/>
      <c r="H22" s="3545"/>
      <c r="I22" s="3545"/>
      <c r="J22" s="3545"/>
      <c r="K22" s="3545"/>
      <c r="L22" s="3545"/>
      <c r="M22" s="3545"/>
      <c r="N22" s="3545"/>
      <c r="O22" s="3545"/>
      <c r="P22" s="3545"/>
      <c r="Q22" s="3546"/>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2077</v>
      </c>
      <c r="B1" s="4"/>
      <c r="C1" s="4"/>
      <c r="D1" s="4"/>
      <c r="E1" s="4"/>
      <c r="F1" s="2540"/>
      <c r="G1" s="2540"/>
      <c r="H1" s="2540"/>
      <c r="I1" s="2540"/>
      <c r="J1" s="2540"/>
      <c r="K1" s="2540"/>
      <c r="L1" s="2540"/>
      <c r="M1" s="2540"/>
      <c r="N1" s="2540"/>
      <c r="O1" s="2540"/>
      <c r="P1" s="2540"/>
    </row>
    <row r="2" spans="1:16" ht="15.75">
      <c r="A2" s="1980" t="s">
        <v>2069</v>
      </c>
      <c r="B2" s="2383">
        <f ca="1">SUMIF(B6:B13,"&lt;&gt;#ref!",B6:B13)</f>
        <v>0</v>
      </c>
      <c r="C2" s="1980" t="s">
        <v>2070</v>
      </c>
      <c r="D2" s="1980" t="s">
        <v>2071</v>
      </c>
      <c r="E2" s="2393">
        <f ca="1">SUMIF(E6:E13,"&lt;&gt;#ref!",E6:E13)</f>
        <v>69.099999999999994</v>
      </c>
      <c r="F2" s="2540"/>
      <c r="G2" s="2540"/>
      <c r="H2" s="2540"/>
      <c r="I2" s="2540"/>
      <c r="J2" s="2540"/>
      <c r="K2" s="2540"/>
      <c r="L2" s="2540"/>
      <c r="M2" s="2540"/>
      <c r="N2" s="2540"/>
      <c r="O2" s="2540"/>
      <c r="P2" s="2540"/>
    </row>
    <row r="3" spans="1:16" ht="15.75">
      <c r="A3" s="1980" t="s">
        <v>2072</v>
      </c>
      <c r="B3" s="2383">
        <f ca="1">ROUND(B2*10000/E2,0)</f>
        <v>0</v>
      </c>
      <c r="C3" s="1980" t="s">
        <v>2078</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2073</v>
      </c>
      <c r="B5" s="2391" t="s">
        <v>2074</v>
      </c>
      <c r="C5" s="1981"/>
      <c r="D5" s="2540"/>
      <c r="E5" s="2392" t="s">
        <v>2075</v>
      </c>
      <c r="F5" s="2540"/>
      <c r="G5" s="2540"/>
      <c r="H5" s="2540"/>
      <c r="I5" s="2540"/>
      <c r="J5" s="2540"/>
      <c r="K5" s="2540"/>
      <c r="L5" s="2540"/>
      <c r="M5" s="2540"/>
      <c r="N5" s="2540"/>
      <c r="O5" s="2540"/>
      <c r="P5" s="2540"/>
    </row>
    <row r="6" spans="1:16" ht="15.75">
      <c r="A6" s="2390" t="s">
        <v>2076</v>
      </c>
      <c r="B6" s="2383">
        <f ca="1">SUMIF(INDIRECT("'"&amp;A6&amp;"'"&amp;"!A:A"),"总价",INDIRECT("'"&amp;A6&amp;"'"&amp;"!B:B"))</f>
        <v>0</v>
      </c>
      <c r="C6" s="1980" t="s">
        <v>2070</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2070</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2070</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2070</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2070</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2070</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2070</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2070</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43.381799999999998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235056</v>
      </c>
      <c r="D5" s="203" t="s">
        <v>1469</v>
      </c>
      <c r="E5" s="204" t="s">
        <v>1470</v>
      </c>
      <c r="F5" s="204" t="s">
        <v>1471</v>
      </c>
      <c r="G5" s="205"/>
    </row>
    <row r="6" spans="1:8" s="206" customFormat="1" ht="13.5" customHeight="1">
      <c r="A6" s="732" t="s">
        <v>1472</v>
      </c>
      <c r="B6" s="207" t="s">
        <v>1473</v>
      </c>
      <c r="C6" s="208">
        <f>ROUND('土地比较法-住宅、综合'!C48*'数据-基础表'!I13,0)</f>
        <v>228099</v>
      </c>
      <c r="D6" s="209"/>
      <c r="E6" s="210"/>
      <c r="F6" s="210"/>
      <c r="G6" s="211"/>
    </row>
    <row r="7" spans="1:8" s="206" customFormat="1" ht="13.5" customHeight="1">
      <c r="A7" s="732" t="s">
        <v>1474</v>
      </c>
      <c r="B7" s="207" t="s">
        <v>1475</v>
      </c>
      <c r="C7" s="212">
        <f>ROUND(C6*F7,0)</f>
        <v>6957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t="s">
        <v>3397</v>
      </c>
    </row>
    <row r="9" spans="1:8" s="206" customFormat="1" ht="13.5" customHeight="1">
      <c r="A9" s="733" t="s">
        <v>355</v>
      </c>
      <c r="B9" s="216" t="s">
        <v>1478</v>
      </c>
      <c r="C9" s="217">
        <f ca="1">ROUND(D9*E9,0)</f>
        <v>0</v>
      </c>
      <c r="D9" s="795">
        <f ca="1">IF(B1="",'数据-汇总表'!E5,IF(INDIRECT("'数据-取费表'!c"&amp;$G$1)="住宅",INDIRECT("'数据-取费表'!k"&amp;$G$1),0))</f>
        <v>69.099999999999994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3398</v>
      </c>
    </row>
    <row r="20" spans="1:7" s="206" customFormat="1" ht="13.5" customHeight="1">
      <c r="A20" s="247" t="s">
        <v>1574</v>
      </c>
      <c r="B20" s="202" t="s">
        <v>1575</v>
      </c>
      <c r="C20" s="224">
        <f ca="1">ROUND((C5+C19)*F20,0)</f>
        <v>2351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21355</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11870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11870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289725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442" t="s">
        <v>1591</v>
      </c>
    </row>
    <row r="43" spans="1:7" ht="13.5" customHeight="1">
      <c r="A43" s="734" t="s">
        <v>347</v>
      </c>
      <c r="B43" s="207" t="s">
        <v>1545</v>
      </c>
      <c r="C43" s="230">
        <f ca="1">ROUND(IF('数据-取费表'!B22&lt;=1,C39*F22*'数据-取费表'!B20/2,C39*(POWER((1+F22),'数据-取费表'!B20/2)-1)),0)</f>
        <v>72</v>
      </c>
      <c r="D43" s="230"/>
      <c r="E43" s="230"/>
      <c r="F43" s="231"/>
      <c r="G43" s="3443"/>
    </row>
    <row r="44" spans="1:7" ht="13.5" customHeight="1">
      <c r="A44" s="734" t="s">
        <v>348</v>
      </c>
      <c r="B44" s="207" t="s">
        <v>1546</v>
      </c>
      <c r="C44" s="230">
        <f ca="1">ROUND(IF('数据-取费表'!B22&lt;=1,C40*F22*'数据-取费表'!B20/2,C40*(POWER((1+F22),'数据-取费表'!B20/2)-1)),4)</f>
        <v>4.0000000000000002E-4</v>
      </c>
      <c r="D44" s="230"/>
      <c r="E44" s="230"/>
      <c r="F44" s="231"/>
      <c r="G44" s="3444"/>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144093</v>
      </c>
      <c r="D51" s="224"/>
      <c r="E51" s="224"/>
      <c r="F51" s="256"/>
      <c r="G51" s="226" t="s">
        <v>1560</v>
      </c>
    </row>
    <row r="52" spans="1:7" s="200" customFormat="1" ht="16.5" thickBot="1">
      <c r="A52" s="257" t="s">
        <v>1561</v>
      </c>
      <c r="B52" s="258"/>
      <c r="C52" s="259">
        <f ca="1">C31+C51</f>
        <v>433818</v>
      </c>
      <c r="D52" s="258"/>
      <c r="E52" s="258"/>
      <c r="F52" s="258"/>
      <c r="G52" s="260"/>
    </row>
    <row r="55" spans="1:7" ht="15">
      <c r="B55" s="262" t="s">
        <v>1562</v>
      </c>
      <c r="C55" s="263"/>
    </row>
    <row r="56" spans="1:7">
      <c r="B56" s="265" t="s">
        <v>802</v>
      </c>
      <c r="C56" s="267">
        <f ca="1">1-C57</f>
        <v>0.66799999999999993</v>
      </c>
    </row>
    <row r="57" spans="1:7">
      <c r="B57" s="265" t="s">
        <v>803</v>
      </c>
      <c r="C57" s="266">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K93"/>
  <sheetViews>
    <sheetView topLeftCell="A34" workbookViewId="0">
      <selection activeCell="D56" sqref="D56"/>
    </sheetView>
  </sheetViews>
  <sheetFormatPr defaultRowHeight="13.5"/>
  <cols>
    <col min="1" max="1" width="9" style="3144"/>
    <col min="2" max="2" width="34.25" style="3144" customWidth="1"/>
    <col min="3" max="3" width="14.375" style="3144" customWidth="1"/>
    <col min="4" max="4" width="11.25" style="3144" bestFit="1" customWidth="1"/>
    <col min="5" max="5" width="9" style="3144"/>
    <col min="6" max="6" width="13.625" style="3144" customWidth="1"/>
    <col min="7" max="8" width="9" style="3144"/>
    <col min="9" max="9" width="8.625" style="3144" customWidth="1"/>
    <col min="10" max="10" width="9" style="3144"/>
    <col min="11" max="11" width="11" style="3144" customWidth="1"/>
    <col min="12" max="12" width="12" style="3144" bestFit="1" customWidth="1"/>
    <col min="13" max="13" width="6.875" style="3144" customWidth="1"/>
    <col min="14" max="14" width="9" style="3144"/>
    <col min="15" max="15" width="9.25" style="3144" bestFit="1" customWidth="1"/>
    <col min="16" max="16" width="9" style="3144"/>
    <col min="17" max="17" width="15.5" style="3144" customWidth="1"/>
    <col min="18" max="18" width="9.375" style="3144" bestFit="1" customWidth="1"/>
    <col min="19" max="19" width="10.875" style="3144" bestFit="1" customWidth="1"/>
    <col min="20" max="20" width="18.625" style="3144" bestFit="1" customWidth="1"/>
    <col min="21" max="21" width="10.875" style="3144" bestFit="1" customWidth="1"/>
    <col min="22" max="23" width="9.375" style="3144" bestFit="1" customWidth="1"/>
    <col min="24" max="24" width="15.125" style="3144" bestFit="1" customWidth="1"/>
    <col min="25" max="28" width="9.375" style="3144" bestFit="1" customWidth="1"/>
    <col min="29" max="35" width="9" style="3144"/>
    <col min="36" max="36" width="17.25" style="3144" customWidth="1"/>
    <col min="37" max="37" width="9.125" style="3144" bestFit="1" customWidth="1"/>
    <col min="38" max="58" width="9" style="3144"/>
    <col min="59" max="59" width="12.125" style="3144" customWidth="1"/>
    <col min="60" max="61" width="9" style="3144"/>
    <col min="62" max="62" width="11.75" style="3144" bestFit="1" customWidth="1"/>
    <col min="63" max="16384" width="9" style="3144"/>
  </cols>
  <sheetData>
    <row r="1" spans="1:63" s="3197" customFormat="1" ht="15.75">
      <c r="A1" s="3181" t="s">
        <v>2641</v>
      </c>
      <c r="B1" s="3182" t="s">
        <v>3450</v>
      </c>
      <c r="C1" s="3181" t="s">
        <v>3451</v>
      </c>
      <c r="D1" s="3181" t="s">
        <v>3452</v>
      </c>
      <c r="E1" s="3181" t="s">
        <v>3453</v>
      </c>
      <c r="F1" s="3181" t="s">
        <v>3454</v>
      </c>
      <c r="G1" s="3181" t="s">
        <v>3455</v>
      </c>
      <c r="H1" s="3181" t="s">
        <v>3456</v>
      </c>
      <c r="I1" s="3181" t="s">
        <v>3457</v>
      </c>
      <c r="J1" s="3181" t="s">
        <v>3458</v>
      </c>
      <c r="K1" s="3182" t="s">
        <v>3459</v>
      </c>
      <c r="L1" s="3182" t="s">
        <v>3460</v>
      </c>
      <c r="M1" s="3182" t="s">
        <v>3461</v>
      </c>
      <c r="N1" s="3182" t="s">
        <v>3462</v>
      </c>
      <c r="O1" s="3182" t="s">
        <v>3463</v>
      </c>
      <c r="P1" s="3182" t="s">
        <v>3464</v>
      </c>
      <c r="Q1" s="3182" t="s">
        <v>3465</v>
      </c>
      <c r="R1" s="3183" t="s">
        <v>3466</v>
      </c>
      <c r="S1" s="3182" t="s">
        <v>3467</v>
      </c>
      <c r="T1" s="3184" t="s">
        <v>3468</v>
      </c>
      <c r="U1" s="3182" t="s">
        <v>3469</v>
      </c>
      <c r="V1" s="3182" t="s">
        <v>3470</v>
      </c>
      <c r="W1" s="3182" t="s">
        <v>3471</v>
      </c>
      <c r="X1" s="3184" t="s">
        <v>3472</v>
      </c>
      <c r="Y1" s="3182" t="s">
        <v>3473</v>
      </c>
      <c r="Z1" s="3182" t="s">
        <v>3474</v>
      </c>
      <c r="AA1" s="3182" t="s">
        <v>3475</v>
      </c>
      <c r="AB1" s="3182" t="s">
        <v>3476</v>
      </c>
      <c r="AC1" s="3182" t="s">
        <v>3477</v>
      </c>
      <c r="AD1" s="3182" t="s">
        <v>3478</v>
      </c>
      <c r="AE1" s="3182" t="s">
        <v>3479</v>
      </c>
      <c r="AF1" s="3182" t="s">
        <v>3480</v>
      </c>
      <c r="AG1" s="3182" t="s">
        <v>3481</v>
      </c>
      <c r="AH1" s="3182" t="s">
        <v>3482</v>
      </c>
      <c r="AI1" s="3182" t="s">
        <v>3483</v>
      </c>
      <c r="AJ1" s="3185" t="s">
        <v>3484</v>
      </c>
      <c r="AK1" s="3182" t="s">
        <v>3485</v>
      </c>
      <c r="AL1" s="3182" t="s">
        <v>3486</v>
      </c>
      <c r="AM1" s="3182" t="s">
        <v>3487</v>
      </c>
      <c r="AN1" s="3182" t="s">
        <v>3488</v>
      </c>
      <c r="AO1" s="3182" t="s">
        <v>3489</v>
      </c>
      <c r="AP1" s="3182" t="s">
        <v>3490</v>
      </c>
      <c r="AQ1" s="3182" t="s">
        <v>3491</v>
      </c>
      <c r="AR1" s="3186" t="s">
        <v>3492</v>
      </c>
      <c r="AS1" s="3186" t="s">
        <v>3474</v>
      </c>
      <c r="AT1" s="3186" t="s">
        <v>3475</v>
      </c>
      <c r="AU1" s="3186" t="s">
        <v>3493</v>
      </c>
      <c r="AV1" s="3187" t="s">
        <v>3494</v>
      </c>
      <c r="AW1" s="3188" t="s">
        <v>3495</v>
      </c>
      <c r="AX1" s="3189" t="s">
        <v>3496</v>
      </c>
      <c r="AY1" s="3190" t="s">
        <v>3497</v>
      </c>
      <c r="AZ1" s="3188" t="s">
        <v>3498</v>
      </c>
      <c r="BA1" s="3188" t="s">
        <v>3499</v>
      </c>
      <c r="BB1" s="3190" t="s">
        <v>3500</v>
      </c>
      <c r="BC1" s="3188" t="s">
        <v>3501</v>
      </c>
      <c r="BD1" s="3191" t="s">
        <v>3502</v>
      </c>
      <c r="BE1" s="3188" t="s">
        <v>3503</v>
      </c>
      <c r="BF1" s="3192" t="s">
        <v>3504</v>
      </c>
      <c r="BG1" s="3193" t="s">
        <v>3505</v>
      </c>
      <c r="BH1" s="3194" t="s">
        <v>3506</v>
      </c>
      <c r="BI1" s="3194" t="s">
        <v>3507</v>
      </c>
      <c r="BJ1" s="3195" t="s">
        <v>3508</v>
      </c>
      <c r="BK1" s="3196" t="s">
        <v>3509</v>
      </c>
    </row>
    <row r="2" spans="1:63" s="3198" customFormat="1" ht="12" hidden="1">
      <c r="A2" s="3198" t="s">
        <v>3510</v>
      </c>
      <c r="B2" s="3198" t="s">
        <v>3511</v>
      </c>
      <c r="C2" s="3199" t="s">
        <v>3512</v>
      </c>
      <c r="D2" s="3198">
        <v>13801111286</v>
      </c>
      <c r="E2" s="3198" t="s">
        <v>2683</v>
      </c>
      <c r="F2" s="3198" t="s">
        <v>3513</v>
      </c>
      <c r="I2" s="3198" t="s">
        <v>3514</v>
      </c>
      <c r="J2" s="3198" t="s">
        <v>3515</v>
      </c>
      <c r="K2" s="3198" t="s">
        <v>3516</v>
      </c>
      <c r="L2" s="3198">
        <v>112.26</v>
      </c>
      <c r="M2" s="3198">
        <v>2</v>
      </c>
      <c r="N2" s="3198" t="s">
        <v>3517</v>
      </c>
      <c r="O2" s="3198">
        <v>103.32</v>
      </c>
      <c r="P2" s="3198" t="s">
        <v>3518</v>
      </c>
      <c r="Q2" s="3198">
        <v>850930.8</v>
      </c>
      <c r="R2" s="3198">
        <v>7580</v>
      </c>
      <c r="S2" s="3198">
        <v>84.42</v>
      </c>
      <c r="T2" s="3200">
        <v>844200</v>
      </c>
      <c r="U2" s="3198">
        <v>7520</v>
      </c>
      <c r="V2" s="3201">
        <v>0.1</v>
      </c>
      <c r="W2" s="3198">
        <v>75.98</v>
      </c>
      <c r="X2" s="3200">
        <v>759800</v>
      </c>
      <c r="Y2" s="3198">
        <v>2000</v>
      </c>
      <c r="Z2" s="3198">
        <v>10</v>
      </c>
      <c r="AA2" s="3198">
        <v>11</v>
      </c>
      <c r="AB2" s="3198">
        <v>4220</v>
      </c>
      <c r="AC2" s="3198" t="s">
        <v>3519</v>
      </c>
      <c r="AE2" s="3198" t="s">
        <v>3520</v>
      </c>
      <c r="AF2" s="3198" t="s">
        <v>3521</v>
      </c>
      <c r="AG2" s="3198" t="s">
        <v>3522</v>
      </c>
      <c r="AH2" s="3198" t="s">
        <v>3523</v>
      </c>
      <c r="AI2" s="3198" t="s">
        <v>2152</v>
      </c>
      <c r="AJ2" s="3202">
        <v>36891</v>
      </c>
      <c r="AW2" s="3203" t="s">
        <v>3524</v>
      </c>
      <c r="AX2" s="3203" t="s">
        <v>3525</v>
      </c>
      <c r="AY2" s="3204" t="s">
        <v>3526</v>
      </c>
      <c r="AZ2" s="3203" t="s">
        <v>3516</v>
      </c>
      <c r="BB2" s="3205"/>
      <c r="BD2" s="3199"/>
      <c r="BF2" s="3206"/>
      <c r="BG2" s="3207">
        <v>36739</v>
      </c>
      <c r="BH2" s="3203" t="s">
        <v>3527</v>
      </c>
      <c r="BI2" s="3203" t="s">
        <v>3528</v>
      </c>
    </row>
    <row r="3" spans="1:63" s="3198" customFormat="1" ht="14.1" customHeight="1">
      <c r="A3" s="3198" t="s">
        <v>3569</v>
      </c>
      <c r="B3" s="3198" t="s">
        <v>3529</v>
      </c>
      <c r="C3" s="3199">
        <v>110108540216296</v>
      </c>
      <c r="D3" s="3198">
        <v>68216279</v>
      </c>
      <c r="E3" s="3198" t="s">
        <v>3530</v>
      </c>
      <c r="F3" s="3198" t="s">
        <v>3570</v>
      </c>
      <c r="H3" s="3198" t="s">
        <v>3531</v>
      </c>
      <c r="J3" s="3198" t="s">
        <v>3532</v>
      </c>
      <c r="K3" s="3198" t="s">
        <v>3533</v>
      </c>
      <c r="L3" s="3198">
        <v>95.56</v>
      </c>
      <c r="Q3" s="3198">
        <v>59465.24</v>
      </c>
      <c r="R3" s="3198">
        <v>6179</v>
      </c>
      <c r="S3" s="3208">
        <v>28.4</v>
      </c>
      <c r="T3" s="3200">
        <v>284000</v>
      </c>
      <c r="U3" s="3198">
        <v>2972</v>
      </c>
      <c r="V3" s="3201">
        <v>20</v>
      </c>
      <c r="W3" s="3198">
        <v>22.72</v>
      </c>
      <c r="X3" s="3200">
        <v>227200</v>
      </c>
      <c r="Y3" s="3198">
        <v>1999</v>
      </c>
      <c r="Z3" s="3198">
        <v>4</v>
      </c>
      <c r="AA3" s="3198">
        <v>23</v>
      </c>
      <c r="AB3" s="3198">
        <v>2500</v>
      </c>
      <c r="AC3" s="3198" t="s">
        <v>3534</v>
      </c>
      <c r="AF3" s="3198" t="s">
        <v>3535</v>
      </c>
      <c r="AJ3" s="3202"/>
      <c r="AW3" s="3209" t="s">
        <v>3536</v>
      </c>
      <c r="AX3" s="3209"/>
      <c r="AY3" s="3210" t="s">
        <v>3537</v>
      </c>
      <c r="AZ3" s="3209" t="s">
        <v>3538</v>
      </c>
      <c r="BA3" s="3209"/>
      <c r="BB3" s="3204"/>
      <c r="BC3" s="3209"/>
      <c r="BD3" s="3209"/>
      <c r="BE3" s="3204"/>
      <c r="BF3" s="3206"/>
      <c r="BG3" s="3211">
        <v>36237</v>
      </c>
      <c r="BH3" s="3209" t="s">
        <v>3539</v>
      </c>
      <c r="BI3" s="3209" t="s">
        <v>3528</v>
      </c>
      <c r="BJ3" s="3211">
        <v>36272</v>
      </c>
    </row>
    <row r="4" spans="1:63" s="3198" customFormat="1" ht="12">
      <c r="A4" s="3198" t="s">
        <v>3720</v>
      </c>
      <c r="B4" s="3198" t="s">
        <v>3721</v>
      </c>
      <c r="C4" s="3199" t="s">
        <v>3722</v>
      </c>
      <c r="D4" s="3198">
        <v>13601390976</v>
      </c>
      <c r="E4" s="3198" t="s">
        <v>2683</v>
      </c>
      <c r="F4" s="3198" t="s">
        <v>3723</v>
      </c>
      <c r="H4" s="3198" t="s">
        <v>3724</v>
      </c>
      <c r="J4" s="3198" t="s">
        <v>3725</v>
      </c>
      <c r="K4" s="3198" t="s">
        <v>3726</v>
      </c>
      <c r="L4" s="3198">
        <v>162.80000000000001</v>
      </c>
      <c r="M4" s="3198">
        <v>12</v>
      </c>
      <c r="N4" s="3198" t="s">
        <v>3727</v>
      </c>
      <c r="O4" s="3198">
        <v>131.6</v>
      </c>
      <c r="P4" s="3198" t="s">
        <v>3728</v>
      </c>
      <c r="Q4" s="3198">
        <v>1058200</v>
      </c>
      <c r="R4" s="3198">
        <v>6500</v>
      </c>
      <c r="S4" s="3198">
        <v>149.77600000000001</v>
      </c>
      <c r="T4" s="3200">
        <v>1497800</v>
      </c>
      <c r="U4" s="3198">
        <v>9200</v>
      </c>
      <c r="V4" s="3201">
        <v>0.1</v>
      </c>
      <c r="W4" s="3198">
        <v>134.79840000000002</v>
      </c>
      <c r="X4" s="3200">
        <v>1348000</v>
      </c>
      <c r="Y4" s="3198">
        <v>2000</v>
      </c>
      <c r="Z4" s="3198">
        <v>6</v>
      </c>
      <c r="AA4" s="3198">
        <v>14</v>
      </c>
      <c r="AB4" s="3198">
        <v>3500</v>
      </c>
      <c r="AC4" s="3198" t="s">
        <v>3519</v>
      </c>
      <c r="AE4" s="3198" t="s">
        <v>3729</v>
      </c>
      <c r="AF4" s="3198" t="s">
        <v>3730</v>
      </c>
      <c r="AG4" s="3198" t="s">
        <v>3522</v>
      </c>
      <c r="AI4" s="3198" t="s">
        <v>3565</v>
      </c>
      <c r="AJ4" s="3202">
        <v>36707</v>
      </c>
      <c r="AW4" s="3203"/>
      <c r="AX4" s="3203"/>
      <c r="AY4" s="3204"/>
      <c r="AZ4" s="3203" t="s">
        <v>3726</v>
      </c>
      <c r="BB4" s="3205"/>
      <c r="BD4" s="3199"/>
      <c r="BF4" s="3206"/>
      <c r="BG4" s="3207"/>
      <c r="BH4" s="3203"/>
      <c r="BI4" s="3203"/>
    </row>
    <row r="5" spans="1:63" s="3198" customFormat="1" ht="12">
      <c r="A5" s="3198" t="s">
        <v>3510</v>
      </c>
      <c r="B5" s="3198" t="s">
        <v>3511</v>
      </c>
      <c r="C5" s="3199" t="s">
        <v>3512</v>
      </c>
      <c r="D5" s="3198">
        <v>13801111286</v>
      </c>
      <c r="E5" s="3198" t="s">
        <v>2683</v>
      </c>
      <c r="F5" s="3198" t="s">
        <v>3513</v>
      </c>
      <c r="I5" s="3198" t="s">
        <v>3514</v>
      </c>
      <c r="J5" s="3198" t="s">
        <v>3515</v>
      </c>
      <c r="K5" s="3198" t="s">
        <v>3516</v>
      </c>
      <c r="L5" s="3198">
        <v>112.26</v>
      </c>
      <c r="M5" s="3198">
        <v>2</v>
      </c>
      <c r="N5" s="3198" t="s">
        <v>3517</v>
      </c>
      <c r="O5" s="3198">
        <v>103.32</v>
      </c>
      <c r="P5" s="3198" t="s">
        <v>3518</v>
      </c>
      <c r="Q5" s="3198">
        <v>850930.8</v>
      </c>
      <c r="R5" s="3198">
        <v>7580</v>
      </c>
      <c r="S5" s="3198">
        <v>84.42</v>
      </c>
      <c r="T5" s="3200">
        <v>844200</v>
      </c>
      <c r="U5" s="3198">
        <v>7520</v>
      </c>
      <c r="V5" s="3201">
        <v>0.1</v>
      </c>
      <c r="W5" s="3198">
        <v>75.98</v>
      </c>
      <c r="X5" s="3200">
        <v>759800</v>
      </c>
      <c r="Y5" s="3198">
        <v>2000</v>
      </c>
      <c r="Z5" s="3198">
        <v>10</v>
      </c>
      <c r="AA5" s="3198">
        <v>11</v>
      </c>
      <c r="AB5" s="3198">
        <v>4220</v>
      </c>
      <c r="AC5" s="3198" t="s">
        <v>3519</v>
      </c>
      <c r="AE5" s="3198" t="s">
        <v>3520</v>
      </c>
      <c r="AF5" s="3198" t="s">
        <v>3521</v>
      </c>
      <c r="AG5" s="3198" t="s">
        <v>3522</v>
      </c>
      <c r="AH5" s="3198" t="s">
        <v>3523</v>
      </c>
      <c r="AI5" s="3198" t="s">
        <v>2152</v>
      </c>
      <c r="AJ5" s="3202">
        <v>36891</v>
      </c>
      <c r="AW5" s="3203" t="s">
        <v>3524</v>
      </c>
      <c r="AX5" s="3203" t="s">
        <v>3525</v>
      </c>
      <c r="AY5" s="3204" t="s">
        <v>3526</v>
      </c>
      <c r="AZ5" s="3203" t="s">
        <v>3516</v>
      </c>
      <c r="BB5" s="3205"/>
      <c r="BD5" s="3199"/>
      <c r="BF5" s="3206"/>
      <c r="BG5" s="3207">
        <v>36739</v>
      </c>
      <c r="BH5" s="3203" t="s">
        <v>3527</v>
      </c>
      <c r="BI5" s="3203" t="s">
        <v>3528</v>
      </c>
    </row>
    <row r="6" spans="1:63" s="3232" customFormat="1" ht="12">
      <c r="A6" s="3232" t="s">
        <v>3540</v>
      </c>
      <c r="B6" s="3232" t="s">
        <v>3541</v>
      </c>
      <c r="C6" s="3233" t="s">
        <v>3542</v>
      </c>
      <c r="D6" s="3232" t="s">
        <v>3543</v>
      </c>
      <c r="E6" s="3232" t="s">
        <v>3544</v>
      </c>
      <c r="F6" s="3232" t="s">
        <v>3545</v>
      </c>
      <c r="H6" s="3232" t="s">
        <v>3546</v>
      </c>
      <c r="J6" s="3232" t="s">
        <v>3547</v>
      </c>
      <c r="K6" s="3232" t="s">
        <v>3548</v>
      </c>
      <c r="L6" s="3232">
        <v>65.78</v>
      </c>
      <c r="M6" s="3232">
        <v>23</v>
      </c>
      <c r="N6" s="3232" t="s">
        <v>3549</v>
      </c>
      <c r="O6" s="3232">
        <v>52.27</v>
      </c>
      <c r="P6" s="3232" t="s">
        <v>3518</v>
      </c>
      <c r="Q6" s="3232">
        <v>424149.44</v>
      </c>
      <c r="R6" s="3232">
        <v>6448</v>
      </c>
      <c r="S6" s="3232">
        <v>42.02</v>
      </c>
      <c r="T6" s="3234">
        <v>420200.00000000006</v>
      </c>
      <c r="U6" s="3232">
        <v>6388</v>
      </c>
      <c r="V6" s="3235">
        <v>0.1</v>
      </c>
      <c r="W6" s="3232">
        <v>37.82</v>
      </c>
      <c r="X6" s="3234">
        <v>378200</v>
      </c>
      <c r="Y6" s="3232">
        <v>2000</v>
      </c>
      <c r="Z6" s="3232">
        <v>9</v>
      </c>
      <c r="AA6" s="3232">
        <v>15</v>
      </c>
      <c r="AB6" s="3232">
        <v>2100</v>
      </c>
      <c r="AC6" s="3232" t="s">
        <v>3519</v>
      </c>
      <c r="AE6" s="3232" t="s">
        <v>3520</v>
      </c>
      <c r="AF6" s="3232" t="s">
        <v>3550</v>
      </c>
      <c r="AG6" s="3232" t="s">
        <v>3522</v>
      </c>
      <c r="AI6" s="3232" t="s">
        <v>2152</v>
      </c>
      <c r="AJ6" s="3236">
        <v>36799</v>
      </c>
      <c r="AK6" s="3232">
        <v>0</v>
      </c>
      <c r="AW6" s="3237" t="s">
        <v>3524</v>
      </c>
      <c r="AX6" s="3237" t="s">
        <v>3525</v>
      </c>
      <c r="AY6" s="3238" t="s">
        <v>3551</v>
      </c>
      <c r="AZ6" s="3237" t="s">
        <v>3548</v>
      </c>
      <c r="BB6" s="3239"/>
      <c r="BD6" s="3233"/>
      <c r="BF6" s="3240"/>
      <c r="BG6" s="3241">
        <v>36759</v>
      </c>
      <c r="BH6" s="3237" t="s">
        <v>3527</v>
      </c>
      <c r="BI6" s="3237" t="s">
        <v>3528</v>
      </c>
    </row>
    <row r="7" spans="1:63" s="3242" customFormat="1" ht="12">
      <c r="A7" s="3242" t="s">
        <v>3552</v>
      </c>
      <c r="B7" s="3242" t="s">
        <v>3553</v>
      </c>
      <c r="C7" s="3243" t="s">
        <v>3554</v>
      </c>
      <c r="D7" s="3243" t="s">
        <v>3555</v>
      </c>
      <c r="E7" s="3242" t="s">
        <v>3544</v>
      </c>
      <c r="F7" s="3244" t="s">
        <v>3556</v>
      </c>
      <c r="H7" s="3242" t="s">
        <v>3557</v>
      </c>
      <c r="J7" s="3243" t="s">
        <v>3558</v>
      </c>
      <c r="K7" s="3242" t="s">
        <v>3559</v>
      </c>
      <c r="L7" s="3242">
        <v>121.5</v>
      </c>
      <c r="M7" s="3242">
        <v>29</v>
      </c>
      <c r="N7" s="3242" t="s">
        <v>3560</v>
      </c>
      <c r="P7" s="3245" t="s">
        <v>3518</v>
      </c>
      <c r="Q7" s="3246">
        <v>805302</v>
      </c>
      <c r="R7" s="3242">
        <v>6628</v>
      </c>
      <c r="S7" s="3247">
        <v>79.94</v>
      </c>
      <c r="T7" s="3248">
        <v>799400</v>
      </c>
      <c r="U7" s="3242">
        <v>6580</v>
      </c>
      <c r="V7" s="3249">
        <v>0.1</v>
      </c>
      <c r="W7" s="3247">
        <v>71.94</v>
      </c>
      <c r="X7" s="3250">
        <v>719400</v>
      </c>
      <c r="Y7" s="3251">
        <v>2000</v>
      </c>
      <c r="Z7" s="3251">
        <v>1</v>
      </c>
      <c r="AA7" s="3251">
        <v>21</v>
      </c>
      <c r="AB7" s="3242">
        <v>4000</v>
      </c>
      <c r="AC7" s="3245" t="s">
        <v>3561</v>
      </c>
      <c r="AE7" s="3251" t="s">
        <v>3562</v>
      </c>
      <c r="AF7" s="3242" t="s">
        <v>3563</v>
      </c>
      <c r="AG7" s="3252" t="s">
        <v>3564</v>
      </c>
      <c r="AI7" s="3242" t="s">
        <v>3565</v>
      </c>
      <c r="AJ7" s="3253" t="s">
        <v>3566</v>
      </c>
      <c r="AK7" s="3254"/>
      <c r="AL7" s="3251"/>
      <c r="AM7" s="3251"/>
      <c r="AN7" s="3251"/>
      <c r="AO7" s="3251"/>
      <c r="AP7" s="3251"/>
      <c r="AQ7" s="3251"/>
      <c r="AR7" s="3251"/>
      <c r="AS7" s="3251"/>
      <c r="AT7" s="3251"/>
      <c r="AU7" s="3251"/>
      <c r="AV7" s="3251"/>
      <c r="AW7" s="3251" t="s">
        <v>3567</v>
      </c>
      <c r="AX7" s="3251" t="s">
        <v>3525</v>
      </c>
      <c r="AY7" s="3255" t="s">
        <v>3568</v>
      </c>
      <c r="AZ7" s="3251"/>
      <c r="BA7" s="3251"/>
      <c r="BB7" s="3251"/>
      <c r="BC7" s="3251"/>
      <c r="BD7" s="3251"/>
      <c r="BE7" s="3251"/>
      <c r="BF7" s="3251"/>
      <c r="BG7" s="3256">
        <v>36541</v>
      </c>
      <c r="BH7" s="3251" t="s">
        <v>3527</v>
      </c>
      <c r="BI7" s="3251" t="s">
        <v>3528</v>
      </c>
    </row>
    <row r="10" spans="1:63" ht="43.5" customHeight="1">
      <c r="A10" s="3140"/>
    </row>
    <row r="11" spans="1:63" customFormat="1">
      <c r="A11" s="3212"/>
      <c r="B11" s="3213"/>
      <c r="C11" s="3212"/>
      <c r="D11" s="3212"/>
      <c r="E11" s="3212"/>
      <c r="F11" s="3212"/>
      <c r="G11" s="3212"/>
      <c r="H11" s="3212"/>
      <c r="I11" s="3212" t="s">
        <v>3576</v>
      </c>
      <c r="J11" s="3212" t="s">
        <v>3577</v>
      </c>
      <c r="K11" s="3212" t="s">
        <v>3578</v>
      </c>
      <c r="L11" s="3212" t="s">
        <v>3576</v>
      </c>
      <c r="M11" s="3212" t="s">
        <v>3577</v>
      </c>
      <c r="N11" s="3212" t="s">
        <v>3578</v>
      </c>
      <c r="O11" s="3212" t="s">
        <v>3576</v>
      </c>
      <c r="P11" s="3212" t="s">
        <v>3577</v>
      </c>
      <c r="Q11" s="3212" t="s">
        <v>3578</v>
      </c>
      <c r="R11" s="3212"/>
      <c r="S11" s="3212" t="s">
        <v>3576</v>
      </c>
      <c r="T11" s="3212" t="s">
        <v>3577</v>
      </c>
      <c r="U11" s="3212" t="s">
        <v>3578</v>
      </c>
      <c r="V11" s="3212"/>
      <c r="W11" s="3212" t="s">
        <v>3579</v>
      </c>
      <c r="X11" s="3212"/>
      <c r="Y11" s="3212"/>
      <c r="Z11" s="3212"/>
      <c r="AA11" s="3212"/>
      <c r="AB11" s="3212"/>
      <c r="AC11" s="3212"/>
      <c r="AD11" s="3212"/>
      <c r="AE11" s="3212"/>
      <c r="AF11" s="3212"/>
      <c r="AG11" s="3212"/>
      <c r="AH11" s="3212"/>
      <c r="AI11" s="3212"/>
      <c r="AJ11" s="3212"/>
      <c r="AK11" s="3212"/>
      <c r="AL11" s="3212"/>
      <c r="AM11" s="3212"/>
      <c r="AN11" s="3212"/>
      <c r="AO11" s="3212"/>
      <c r="AP11" s="3214"/>
      <c r="AQ11" s="3212"/>
      <c r="AR11" s="3212"/>
      <c r="AS11" s="3212"/>
      <c r="AT11" s="3212"/>
      <c r="AU11" s="3212" t="s">
        <v>3580</v>
      </c>
      <c r="AV11" s="3212"/>
      <c r="AW11" s="3212"/>
      <c r="AX11" s="3212"/>
      <c r="AY11" s="3212"/>
    </row>
    <row r="12" spans="1:63" customFormat="1">
      <c r="A12" s="3215" t="s">
        <v>3581</v>
      </c>
      <c r="B12" s="3216" t="s">
        <v>3582</v>
      </c>
      <c r="C12" s="3215" t="s">
        <v>3453</v>
      </c>
      <c r="D12" s="3215" t="s">
        <v>3583</v>
      </c>
      <c r="E12" s="3215" t="s">
        <v>3584</v>
      </c>
      <c r="F12" s="3215" t="s">
        <v>3585</v>
      </c>
      <c r="G12" s="3215" t="s">
        <v>3586</v>
      </c>
      <c r="H12" s="3215" t="s">
        <v>3587</v>
      </c>
      <c r="I12" s="3215" t="s">
        <v>3588</v>
      </c>
      <c r="J12" s="3215" t="s">
        <v>3588</v>
      </c>
      <c r="K12" s="3215" t="s">
        <v>3588</v>
      </c>
      <c r="L12" s="3215" t="s">
        <v>3589</v>
      </c>
      <c r="M12" s="3215" t="s">
        <v>3589</v>
      </c>
      <c r="N12" s="3215" t="s">
        <v>3589</v>
      </c>
      <c r="O12" s="3215" t="s">
        <v>3590</v>
      </c>
      <c r="P12" s="3215" t="s">
        <v>3590</v>
      </c>
      <c r="Q12" s="3215" t="s">
        <v>3590</v>
      </c>
      <c r="R12" s="3215" t="s">
        <v>3591</v>
      </c>
      <c r="S12" s="3215" t="s">
        <v>3592</v>
      </c>
      <c r="T12" s="3215" t="s">
        <v>3592</v>
      </c>
      <c r="U12" s="3215" t="s">
        <v>3592</v>
      </c>
      <c r="V12" s="3215" t="s">
        <v>3593</v>
      </c>
      <c r="W12" s="3215" t="s">
        <v>3594</v>
      </c>
      <c r="X12" s="3215" t="s">
        <v>3595</v>
      </c>
      <c r="Y12" s="3215" t="s">
        <v>3596</v>
      </c>
      <c r="Z12" s="3215" t="s">
        <v>3597</v>
      </c>
      <c r="AA12" s="3215" t="s">
        <v>3598</v>
      </c>
      <c r="AB12" s="3215" t="s">
        <v>3599</v>
      </c>
      <c r="AC12" s="3215" t="s">
        <v>3600</v>
      </c>
      <c r="AD12" s="3215" t="s">
        <v>3601</v>
      </c>
      <c r="AE12" s="3215" t="s">
        <v>3602</v>
      </c>
      <c r="AF12" s="3215" t="s">
        <v>3603</v>
      </c>
      <c r="AG12" s="3215" t="s">
        <v>3604</v>
      </c>
      <c r="AH12" s="3215" t="s">
        <v>3605</v>
      </c>
      <c r="AI12" s="3215" t="s">
        <v>3606</v>
      </c>
      <c r="AJ12" s="3215" t="s">
        <v>3607</v>
      </c>
      <c r="AK12" s="3215" t="s">
        <v>3608</v>
      </c>
      <c r="AL12" s="3215" t="s">
        <v>3609</v>
      </c>
      <c r="AM12" s="3215" t="s">
        <v>3610</v>
      </c>
      <c r="AN12" s="3215" t="s">
        <v>3611</v>
      </c>
      <c r="AO12" s="3215" t="s">
        <v>3612</v>
      </c>
      <c r="AP12" s="3217" t="s">
        <v>3613</v>
      </c>
      <c r="AQ12" s="3215" t="s">
        <v>3614</v>
      </c>
      <c r="AR12" s="3215" t="s">
        <v>3615</v>
      </c>
      <c r="AS12" s="3215" t="s">
        <v>3616</v>
      </c>
      <c r="AT12" s="3215" t="s">
        <v>3617</v>
      </c>
      <c r="AU12" s="3215" t="s">
        <v>3618</v>
      </c>
      <c r="AV12" s="3215" t="s">
        <v>3619</v>
      </c>
      <c r="AW12" s="3215" t="s">
        <v>3620</v>
      </c>
      <c r="AX12" s="3215" t="s">
        <v>3621</v>
      </c>
      <c r="AY12" s="3215" t="s">
        <v>3622</v>
      </c>
    </row>
    <row r="13" spans="1:63" customFormat="1">
      <c r="A13" s="3218" t="s">
        <v>3623</v>
      </c>
      <c r="B13" s="3218" t="s">
        <v>3572</v>
      </c>
      <c r="C13" s="3218" t="s">
        <v>3573</v>
      </c>
      <c r="D13" s="3218" t="s">
        <v>3624</v>
      </c>
      <c r="E13" s="3218"/>
      <c r="F13" s="3218"/>
      <c r="G13" s="3218" t="s">
        <v>3625</v>
      </c>
      <c r="H13" s="3218" t="s">
        <v>3626</v>
      </c>
      <c r="I13" s="3218" t="s">
        <v>3627</v>
      </c>
      <c r="J13" s="3218" t="s">
        <v>3627</v>
      </c>
      <c r="K13" s="3218" t="s">
        <v>3627</v>
      </c>
      <c r="L13" s="3218" t="s">
        <v>3627</v>
      </c>
      <c r="M13" s="3218" t="s">
        <v>3627</v>
      </c>
      <c r="N13" s="3218" t="s">
        <v>3627</v>
      </c>
      <c r="O13" s="3218" t="s">
        <v>3628</v>
      </c>
      <c r="P13" s="3218" t="s">
        <v>3628</v>
      </c>
      <c r="Q13" s="3218" t="s">
        <v>3628</v>
      </c>
      <c r="R13" s="3218" t="s">
        <v>3629</v>
      </c>
      <c r="S13" s="3218" t="s">
        <v>3389</v>
      </c>
      <c r="T13" s="3218" t="s">
        <v>3630</v>
      </c>
      <c r="U13" s="3218" t="s">
        <v>3631</v>
      </c>
      <c r="V13" s="3218"/>
      <c r="W13" s="3218"/>
      <c r="X13" s="3218"/>
      <c r="Y13" s="3218"/>
      <c r="Z13" s="3218" t="s">
        <v>3632</v>
      </c>
      <c r="AA13" s="3218" t="s">
        <v>3633</v>
      </c>
      <c r="AB13" s="3218" t="s">
        <v>3634</v>
      </c>
      <c r="AC13" s="3218" t="s">
        <v>3635</v>
      </c>
      <c r="AD13" s="3218" t="s">
        <v>3636</v>
      </c>
      <c r="AE13" s="3218" t="s">
        <v>3637</v>
      </c>
      <c r="AF13" s="3218" t="s">
        <v>3638</v>
      </c>
      <c r="AG13" s="3218" t="s">
        <v>3639</v>
      </c>
      <c r="AH13" s="3218" t="s">
        <v>3640</v>
      </c>
      <c r="AI13" s="3218" t="s">
        <v>3641</v>
      </c>
      <c r="AJ13" s="3218" t="s">
        <v>3642</v>
      </c>
      <c r="AK13" s="3218" t="s">
        <v>3643</v>
      </c>
      <c r="AL13" s="3218" t="s">
        <v>3644</v>
      </c>
      <c r="AM13" s="3218" t="s">
        <v>3645</v>
      </c>
      <c r="AN13" s="3218" t="s">
        <v>3663</v>
      </c>
      <c r="AO13" s="3218" t="s">
        <v>3646</v>
      </c>
      <c r="AP13" s="3219">
        <v>0.25</v>
      </c>
      <c r="AQ13" s="3218"/>
      <c r="AR13" s="3218" t="s">
        <v>3647</v>
      </c>
      <c r="AS13" s="3218" t="s">
        <v>3648</v>
      </c>
      <c r="AT13" s="3218"/>
      <c r="AU13" s="3218">
        <v>2000</v>
      </c>
      <c r="AV13" s="3218">
        <v>9</v>
      </c>
      <c r="AW13" s="3218">
        <v>15</v>
      </c>
      <c r="AX13" s="3218"/>
      <c r="AY13" s="3218"/>
      <c r="AZ13" s="3220"/>
      <c r="BA13" s="3220"/>
      <c r="BB13" s="3220"/>
      <c r="BC13" s="3220"/>
      <c r="BD13" s="3220"/>
      <c r="BE13" s="3220"/>
      <c r="BF13" s="3220"/>
      <c r="BG13" s="3220"/>
      <c r="BH13" s="3220"/>
      <c r="BI13" s="3220"/>
      <c r="BJ13" s="3220"/>
      <c r="BK13" s="3220"/>
    </row>
    <row r="14" spans="1:63" customFormat="1">
      <c r="A14" s="3218" t="s">
        <v>3649</v>
      </c>
      <c r="B14" s="3218" t="s">
        <v>3650</v>
      </c>
      <c r="C14" s="3218" t="s">
        <v>3573</v>
      </c>
      <c r="D14" s="3218" t="s">
        <v>3624</v>
      </c>
      <c r="E14" s="3218"/>
      <c r="F14" s="3218"/>
      <c r="G14" s="3218" t="s">
        <v>3651</v>
      </c>
      <c r="H14" s="3218" t="s">
        <v>3652</v>
      </c>
      <c r="I14" s="3218" t="s">
        <v>3627</v>
      </c>
      <c r="J14" s="3218" t="s">
        <v>3653</v>
      </c>
      <c r="K14" s="3218" t="s">
        <v>3653</v>
      </c>
      <c r="L14" s="3218" t="s">
        <v>3627</v>
      </c>
      <c r="M14" s="3218" t="s">
        <v>3653</v>
      </c>
      <c r="N14" s="3218" t="s">
        <v>3653</v>
      </c>
      <c r="O14" s="3218" t="s">
        <v>3628</v>
      </c>
      <c r="P14" s="3218" t="s">
        <v>3628</v>
      </c>
      <c r="Q14" s="3218" t="s">
        <v>3628</v>
      </c>
      <c r="R14" s="3218" t="s">
        <v>3389</v>
      </c>
      <c r="S14" s="3218" t="s">
        <v>3389</v>
      </c>
      <c r="T14" s="3218" t="s">
        <v>3654</v>
      </c>
      <c r="U14" s="3218" t="s">
        <v>3389</v>
      </c>
      <c r="V14" s="3218" t="s">
        <v>3655</v>
      </c>
      <c r="W14" s="3218"/>
      <c r="X14" s="3218"/>
      <c r="Y14" s="3218"/>
      <c r="Z14" s="3218" t="s">
        <v>3632</v>
      </c>
      <c r="AA14" s="3218" t="s">
        <v>3656</v>
      </c>
      <c r="AB14" s="3218" t="s">
        <v>3657</v>
      </c>
      <c r="AC14" s="3218" t="s">
        <v>3635</v>
      </c>
      <c r="AD14" s="3218" t="s">
        <v>3636</v>
      </c>
      <c r="AE14" s="3218"/>
      <c r="AF14" s="3218"/>
      <c r="AG14" s="3218" t="s">
        <v>3658</v>
      </c>
      <c r="AH14" s="3218" t="s">
        <v>3659</v>
      </c>
      <c r="AI14" s="3218" t="s">
        <v>3660</v>
      </c>
      <c r="AJ14" s="3218" t="s">
        <v>3661</v>
      </c>
      <c r="AK14" s="3218" t="s">
        <v>3643</v>
      </c>
      <c r="AL14" s="3218" t="s">
        <v>3644</v>
      </c>
      <c r="AM14" s="3218" t="s">
        <v>3645</v>
      </c>
      <c r="AN14" s="3218" t="s">
        <v>3669</v>
      </c>
      <c r="AO14" s="3218" t="s">
        <v>3662</v>
      </c>
      <c r="AP14" s="3219"/>
      <c r="AQ14" s="3218"/>
      <c r="AR14" s="3218" t="s">
        <v>3647</v>
      </c>
      <c r="AS14" s="3218"/>
      <c r="AT14" s="3218"/>
      <c r="AU14" s="3218"/>
      <c r="AV14" s="3218"/>
      <c r="AW14" s="3218"/>
      <c r="AX14" s="3218"/>
      <c r="AY14" s="3218"/>
    </row>
    <row r="15" spans="1:63" s="3259" customFormat="1" ht="12" customHeight="1">
      <c r="A15" s="3257" t="s">
        <v>3733</v>
      </c>
      <c r="B15" s="3257" t="s">
        <v>3712</v>
      </c>
      <c r="C15" s="3257" t="s">
        <v>3711</v>
      </c>
      <c r="D15" s="3257" t="s">
        <v>3624</v>
      </c>
      <c r="E15" s="3257" t="s">
        <v>3734</v>
      </c>
      <c r="F15" s="3257" t="s">
        <v>3735</v>
      </c>
      <c r="G15" s="3257" t="s">
        <v>3736</v>
      </c>
      <c r="H15" s="3257" t="s">
        <v>3737</v>
      </c>
      <c r="I15" s="3257" t="s">
        <v>3738</v>
      </c>
      <c r="J15" s="3257" t="s">
        <v>3738</v>
      </c>
      <c r="K15" s="3257" t="s">
        <v>3738</v>
      </c>
      <c r="L15" s="3257" t="s">
        <v>3738</v>
      </c>
      <c r="M15" s="3257" t="s">
        <v>3738</v>
      </c>
      <c r="N15" s="3257" t="s">
        <v>3738</v>
      </c>
      <c r="O15" s="3257" t="s">
        <v>3628</v>
      </c>
      <c r="P15" s="3257" t="s">
        <v>3739</v>
      </c>
      <c r="Q15" s="3257" t="s">
        <v>3739</v>
      </c>
      <c r="R15" s="3257" t="s">
        <v>3389</v>
      </c>
      <c r="S15" s="3257" t="s">
        <v>3389</v>
      </c>
      <c r="T15" s="3257" t="s">
        <v>3389</v>
      </c>
      <c r="U15" s="3257" t="s">
        <v>3389</v>
      </c>
      <c r="V15" s="3257"/>
      <c r="W15" s="3257"/>
      <c r="X15" s="3257" t="s">
        <v>3740</v>
      </c>
      <c r="Y15" s="3257"/>
      <c r="Z15" s="3257" t="s">
        <v>3741</v>
      </c>
      <c r="AA15" s="3257" t="s">
        <v>3633</v>
      </c>
      <c r="AB15" s="3257" t="s">
        <v>3742</v>
      </c>
      <c r="AC15" s="3257" t="s">
        <v>3743</v>
      </c>
      <c r="AD15" s="3257" t="s">
        <v>3744</v>
      </c>
      <c r="AE15" s="3257" t="s">
        <v>3745</v>
      </c>
      <c r="AF15" s="3257" t="s">
        <v>3746</v>
      </c>
      <c r="AG15" s="3257" t="s">
        <v>3389</v>
      </c>
      <c r="AH15" s="3257" t="s">
        <v>3747</v>
      </c>
      <c r="AI15" s="3257" t="s">
        <v>3748</v>
      </c>
      <c r="AJ15" s="3257" t="s">
        <v>3642</v>
      </c>
      <c r="AK15" s="3257" t="s">
        <v>3749</v>
      </c>
      <c r="AL15" s="3257" t="s">
        <v>3750</v>
      </c>
      <c r="AM15" s="3257" t="s">
        <v>3751</v>
      </c>
      <c r="AN15" s="3257" t="s">
        <v>3752</v>
      </c>
      <c r="AO15" s="3257" t="s">
        <v>3753</v>
      </c>
      <c r="AP15" s="3258">
        <v>0.254</v>
      </c>
      <c r="AQ15" s="3257"/>
      <c r="AR15" s="3257" t="s">
        <v>3754</v>
      </c>
      <c r="AS15" s="3257" t="s">
        <v>3562</v>
      </c>
      <c r="AT15" s="3257" t="s">
        <v>3755</v>
      </c>
      <c r="AU15" s="3257">
        <v>2001</v>
      </c>
      <c r="AV15" s="3257">
        <v>8</v>
      </c>
      <c r="AW15" s="3257">
        <v>3</v>
      </c>
      <c r="AX15" s="3257"/>
      <c r="AY15" s="3257"/>
    </row>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75" spans="2:3" ht="27">
      <c r="B75" s="3222" t="s">
        <v>3679</v>
      </c>
      <c r="C75" s="3221" t="s">
        <v>3680</v>
      </c>
    </row>
    <row r="93" spans="2:4" ht="27">
      <c r="B93" s="3222" t="s">
        <v>3677</v>
      </c>
      <c r="C93" s="3222"/>
      <c r="D93" s="3221" t="s">
        <v>3678</v>
      </c>
    </row>
  </sheetData>
  <phoneticPr fontId="134" type="noConversion"/>
  <hyperlinks>
    <hyperlink ref="D93" r:id="rId1" xr:uid="{BB32CC48-DFD5-44FE-9A0F-8814EE530C0D}"/>
    <hyperlink ref="C75" r:id="rId2" xr:uid="{290B8290-74ED-473D-80B0-4459E34E91EC}"/>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1922</v>
      </c>
      <c r="B1" s="189"/>
      <c r="C1" s="193" t="s">
        <v>1923</v>
      </c>
      <c r="D1" s="333">
        <f>SUM(D33:D34,D37:D42)</f>
        <v>69.099999999999994</v>
      </c>
      <c r="E1" s="1838"/>
      <c r="F1" s="1838"/>
      <c r="G1" s="1838"/>
      <c r="H1" s="1838"/>
      <c r="I1" s="1838"/>
      <c r="J1" s="1838"/>
      <c r="K1" s="1056"/>
      <c r="L1" s="1839" t="s">
        <v>1924</v>
      </c>
      <c r="M1" s="810">
        <f>SUMPRODUCT((区片价!B5:B9=I2)*(区片价!C3:G3=E2)*(区片价!C5:G9))</f>
        <v>0</v>
      </c>
      <c r="N1" s="813">
        <f>SUMPRODUCT((因素修正幅度!B5:B9=I2)*(因素修正幅度!C3:G3=E2)*(因素修正幅度!C5:G9))</f>
        <v>0</v>
      </c>
      <c r="O1" s="1840"/>
      <c r="P1" s="1840"/>
      <c r="Q1" s="1056"/>
      <c r="R1" s="1128" t="s">
        <v>1925</v>
      </c>
      <c r="S1" s="1128" t="s">
        <v>1926</v>
      </c>
      <c r="T1" s="1128" t="s">
        <v>1927</v>
      </c>
      <c r="U1" s="1128" t="s">
        <v>1928</v>
      </c>
      <c r="V1" s="1128" t="s">
        <v>1929</v>
      </c>
      <c r="W1" s="1132"/>
      <c r="X1" s="1132"/>
      <c r="Y1" s="1132"/>
      <c r="Z1" s="1132"/>
      <c r="AA1" s="1132"/>
      <c r="AB1" s="1132"/>
      <c r="AC1" s="1133"/>
      <c r="AD1" s="1134"/>
      <c r="AE1" s="1134"/>
      <c r="AF1" s="1134"/>
      <c r="AG1" s="1134"/>
      <c r="AH1" s="1134"/>
      <c r="AI1" s="1134"/>
      <c r="AJ1" s="1135"/>
    </row>
    <row r="2" spans="1:36" ht="15.75">
      <c r="A2" s="193" t="s">
        <v>1930</v>
      </c>
      <c r="B2" s="196">
        <f>C30</f>
        <v>0</v>
      </c>
      <c r="C2" s="1842" t="s">
        <v>1931</v>
      </c>
      <c r="D2" s="162" t="s">
        <v>1932</v>
      </c>
      <c r="E2" s="3116" t="s">
        <v>3374</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38"/>
      <c r="K2" s="1056"/>
      <c r="L2" s="1843" t="s">
        <v>1935</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1936</v>
      </c>
      <c r="B3" s="196">
        <f>ROUND(B2*10000/D1,0)</f>
        <v>0</v>
      </c>
      <c r="C3" s="1842" t="s">
        <v>1937</v>
      </c>
      <c r="D3" s="162" t="s">
        <v>1938</v>
      </c>
      <c r="E3" s="3114" t="s">
        <v>3392</v>
      </c>
      <c r="F3" s="1844" t="s">
        <v>3393</v>
      </c>
      <c r="G3" s="708">
        <f>IF(F3="宗地容积率",'数据-汇总表'!I4,IF(F3="估价对象容积率",'数据-汇总表'!I6,'数据-汇总表'!I7))</f>
        <v>3.35</v>
      </c>
      <c r="H3" s="162" t="s">
        <v>1939</v>
      </c>
      <c r="I3" s="729"/>
      <c r="J3" s="1838" t="s">
        <v>1940</v>
      </c>
      <c r="K3" s="1056"/>
      <c r="L3" s="1843" t="s">
        <v>1941</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557"/>
      <c r="B4" s="3558"/>
      <c r="C4" s="3558"/>
      <c r="D4" s="3559"/>
      <c r="E4" s="3559"/>
      <c r="F4" s="3559"/>
      <c r="G4" s="3559"/>
      <c r="H4" s="3559"/>
      <c r="I4" s="3559"/>
      <c r="J4" s="3560"/>
      <c r="K4" s="1056"/>
      <c r="L4" s="1843" t="s">
        <v>1942</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1943</v>
      </c>
      <c r="C5" s="709">
        <f>ROUND(IF(E2="商业",C6*C7*C17+C20,(IF(E2="住宅",C6*C13*C17+C20,IF(E2="办公",C6*C12*C17+C20,C6+C20)))),0)</f>
        <v>33726</v>
      </c>
      <c r="D5" s="1251">
        <f>ROUND(C6*C17+C20,0)</f>
        <v>32120</v>
      </c>
      <c r="E5" s="1251"/>
      <c r="F5" s="1847"/>
      <c r="G5" s="1848"/>
      <c r="H5" s="1848"/>
      <c r="I5" s="1848"/>
      <c r="J5" s="1849"/>
      <c r="K5" s="1850"/>
      <c r="L5" s="1843" t="s">
        <v>1944</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1945</v>
      </c>
      <c r="B6" s="1856" t="s">
        <v>1946</v>
      </c>
      <c r="C6" s="710">
        <f>SUMIF(L1:L12,G2,M1:M12)</f>
        <v>32120</v>
      </c>
      <c r="D6" s="1857"/>
      <c r="E6" s="1858"/>
      <c r="F6" s="1858"/>
      <c r="G6" s="1859"/>
      <c r="H6" s="1859"/>
      <c r="I6" s="1859"/>
      <c r="J6" s="1860"/>
      <c r="K6" s="1291"/>
      <c r="L6" s="1843" t="s">
        <v>1947</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3236</v>
      </c>
      <c r="B7" s="1861" t="s">
        <v>1948</v>
      </c>
      <c r="C7" s="711" t="e">
        <f>IF(C8="不临65条商业街",1,ROUND(1+(1.6*E8+1.2*E9+0.8*E10+0.4*E11)*C9,4))</f>
        <v>#DIV/0!</v>
      </c>
      <c r="D7" s="1862" t="s">
        <v>1949</v>
      </c>
      <c r="E7" s="730"/>
      <c r="F7" s="1863"/>
      <c r="G7" s="1864"/>
      <c r="H7" s="1864"/>
      <c r="I7" s="1864"/>
      <c r="J7" s="1865"/>
      <c r="K7" s="1291"/>
      <c r="L7" s="1843" t="s">
        <v>1950</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1951</v>
      </c>
      <c r="X7" s="1130" t="str">
        <f>G2</f>
        <v>二级</v>
      </c>
      <c r="Y7" s="1130" t="s">
        <v>1952</v>
      </c>
      <c r="Z7" s="1131">
        <f>G3</f>
        <v>3.35</v>
      </c>
      <c r="AA7" s="1132"/>
      <c r="AB7" s="1132"/>
      <c r="AC7" s="1133"/>
      <c r="AD7" s="1134"/>
      <c r="AE7" s="1134"/>
      <c r="AF7" s="1134"/>
      <c r="AG7" s="1134"/>
      <c r="AH7" s="1134"/>
      <c r="AI7" s="1134"/>
      <c r="AJ7" s="1135"/>
    </row>
    <row r="8" spans="1:36" ht="15">
      <c r="A8" s="3005"/>
      <c r="B8" s="162" t="s">
        <v>1953</v>
      </c>
      <c r="C8" s="1866"/>
      <c r="D8" s="712" t="s">
        <v>112</v>
      </c>
      <c r="E8" s="713" t="e">
        <f>ROUND(C11/E7,4)</f>
        <v>#DIV/0!</v>
      </c>
      <c r="F8" s="1867" t="s">
        <v>1954</v>
      </c>
      <c r="G8" s="1868"/>
      <c r="H8" s="1868"/>
      <c r="I8" s="1868"/>
      <c r="J8" s="1869"/>
      <c r="K8" s="1056"/>
      <c r="L8" s="1843" t="s">
        <v>1955</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54" t="s">
        <v>1956</v>
      </c>
      <c r="X8" s="3555"/>
      <c r="Y8" s="1136" t="s">
        <v>1957</v>
      </c>
      <c r="Z8" s="1136" t="s">
        <v>1958</v>
      </c>
      <c r="AA8" s="1136" t="s">
        <v>1959</v>
      </c>
      <c r="AB8" s="1136" t="s">
        <v>1960</v>
      </c>
      <c r="AC8" s="1136" t="s">
        <v>1961</v>
      </c>
      <c r="AD8" s="1136" t="s">
        <v>1962</v>
      </c>
      <c r="AE8" s="1136" t="s">
        <v>1963</v>
      </c>
      <c r="AF8" s="1136" t="s">
        <v>1964</v>
      </c>
      <c r="AG8" s="1136" t="s">
        <v>1965</v>
      </c>
      <c r="AH8" s="1136" t="s">
        <v>1966</v>
      </c>
      <c r="AI8" s="1136" t="s">
        <v>1967</v>
      </c>
      <c r="AJ8" s="1136" t="s">
        <v>1968</v>
      </c>
    </row>
    <row r="9" spans="1:36" ht="15">
      <c r="A9" s="3005"/>
      <c r="B9" s="162" t="s">
        <v>1969</v>
      </c>
      <c r="C9" s="714">
        <f>SUMIF(修正!C71:C138,C8,修正!E71:E138)</f>
        <v>0</v>
      </c>
      <c r="D9" s="163" t="s">
        <v>113</v>
      </c>
      <c r="E9" s="163" t="e">
        <f>ROUND(C11/E7,4)</f>
        <v>#DIV/0!</v>
      </c>
      <c r="F9" s="1867" t="s">
        <v>1970</v>
      </c>
      <c r="G9" s="1868"/>
      <c r="H9" s="1868"/>
      <c r="I9" s="1868"/>
      <c r="J9" s="1869"/>
      <c r="K9" s="1056"/>
      <c r="L9" s="1843" t="s">
        <v>1971</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56"/>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1972</v>
      </c>
      <c r="C10" s="163">
        <f>SUMIF(修正!C71:C138,C8,修正!F71:F138)</f>
        <v>0</v>
      </c>
      <c r="D10" s="163" t="s">
        <v>114</v>
      </c>
      <c r="E10" s="163" t="e">
        <f>ROUND(C11/E7,4)</f>
        <v>#DIV/0!</v>
      </c>
      <c r="F10" s="1867" t="s">
        <v>1973</v>
      </c>
      <c r="G10" s="1868"/>
      <c r="H10" s="1868"/>
      <c r="I10" s="1868"/>
      <c r="J10" s="1869"/>
      <c r="K10" s="1056"/>
      <c r="L10" s="1843" t="s">
        <v>1974</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5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1975</v>
      </c>
      <c r="C11" s="715">
        <f>C10/4</f>
        <v>0</v>
      </c>
      <c r="D11" s="715" t="s">
        <v>115</v>
      </c>
      <c r="E11" s="715" t="e">
        <f>ROUND(C11/E7,4)</f>
        <v>#DIV/0!</v>
      </c>
      <c r="F11" s="1871" t="s">
        <v>1976</v>
      </c>
      <c r="G11" s="1872"/>
      <c r="H11" s="1872"/>
      <c r="I11" s="1872"/>
      <c r="J11" s="1873"/>
      <c r="K11" s="1056"/>
      <c r="L11" s="1843" t="s">
        <v>1977</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6"/>
      <c r="L12" s="1792" t="s">
        <v>1980</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3241</v>
      </c>
      <c r="B13" s="1874" t="s">
        <v>1978</v>
      </c>
      <c r="C13" s="711">
        <f>ROUND(C16*D16*E16*F16*G16*H16*I16*J16,4)</f>
        <v>1.05</v>
      </c>
      <c r="D13" s="1875" t="s">
        <v>1979</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1981</v>
      </c>
      <c r="C14" s="1880" t="s">
        <v>1982</v>
      </c>
      <c r="D14" s="1260" t="s">
        <v>1983</v>
      </c>
      <c r="E14" s="27" t="s">
        <v>1984</v>
      </c>
      <c r="F14" s="3016" t="s">
        <v>3242</v>
      </c>
      <c r="G14" s="3016" t="s">
        <v>3242</v>
      </c>
      <c r="H14" s="3016" t="s">
        <v>3242</v>
      </c>
      <c r="I14" s="3016" t="s">
        <v>3242</v>
      </c>
      <c r="J14" s="3016" t="s">
        <v>3242</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3243</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1985</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3248</v>
      </c>
      <c r="E19" s="3039"/>
      <c r="F19" s="3040" t="s">
        <v>3251</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561" t="s">
        <v>3253</v>
      </c>
      <c r="B20" s="159" t="s">
        <v>1990</v>
      </c>
      <c r="C20" s="3027">
        <f>ROUND(IF(F21="与级别开发程度一致",0,(G21-E21)/C21),0)</f>
        <v>0</v>
      </c>
      <c r="D20" s="3042" t="s">
        <v>1994</v>
      </c>
      <c r="E20" s="3043"/>
      <c r="F20" s="3567" t="s">
        <v>1991</v>
      </c>
      <c r="G20" s="3568"/>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562"/>
      <c r="B21" s="1998" t="s">
        <v>1993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1996</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1997</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1998</v>
      </c>
      <c r="E23" s="717">
        <v>44197</v>
      </c>
      <c r="F23" s="1892" t="s">
        <v>1999</v>
      </c>
      <c r="G23" s="718">
        <f>'数据-取费表'!B2</f>
        <v>36799</v>
      </c>
      <c r="H23" s="3044" t="s">
        <v>3255</v>
      </c>
      <c r="I23" s="3045" t="str">
        <f>IF(H23="季度增幅（自定义）",SUMIF(N25:N28,E2,O25:O28),"")</f>
        <v/>
      </c>
      <c r="J23" s="3137" t="s">
        <v>3254</v>
      </c>
      <c r="K23" s="1061"/>
      <c r="L23" s="1893" t="s">
        <v>2000</v>
      </c>
      <c r="M23" s="1240">
        <f>ROUND(SUMIF(地价!B2:G2,E2,地价!B16:G16),0)</f>
        <v>687</v>
      </c>
      <c r="N23" s="1894" t="s">
        <v>2001</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2002</v>
      </c>
      <c r="C24" s="720">
        <f>ROUND(POWER(1+G24,J24-I24)*(POWER(1+G24,I24)-1)/(POWER(1+G24,J24)-1),4)</f>
        <v>1</v>
      </c>
      <c r="D24" s="1898" t="s">
        <v>2003</v>
      </c>
      <c r="E24" s="1247">
        <f>存贷款利率!E22/100</f>
        <v>4.3499999999999997E-2</v>
      </c>
      <c r="F24" s="1898" t="s">
        <v>1995</v>
      </c>
      <c r="G24" s="724">
        <f>SUMIF(M30:Q30,E2,M33:Q33)</f>
        <v>0.05</v>
      </c>
      <c r="H24" s="1898" t="s">
        <v>2004</v>
      </c>
      <c r="I24" s="725">
        <f>SUMIF('数据-取费表'!C6:C15,E2,'数据-取费表'!F6:F15)/COUNTIF('数据-取费表'!C6:C15,E2)</f>
        <v>70</v>
      </c>
      <c r="J24" s="726">
        <f>IF(E2="住宅",70,IF(E2="商业",40,50))</f>
        <v>70</v>
      </c>
      <c r="K24" s="1061"/>
      <c r="L24" s="1899" t="s">
        <v>2005</v>
      </c>
      <c r="M24" s="1241">
        <f>ROUND(SUMPRODUCT((地价!A4:A16=YEAR(G23)&amp;"-"&amp;ROUNDUP(MONTH(G23)/3,0))*(地价!B2:G2=E2)*(地价!B4:G16)),0)</f>
        <v>0</v>
      </c>
      <c r="N24" s="1900" t="s">
        <v>2006</v>
      </c>
      <c r="O24" s="1901" t="s">
        <v>2007</v>
      </c>
      <c r="P24" s="1902" t="s">
        <v>2008</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3334</v>
      </c>
      <c r="C25" s="461">
        <f>IF(B25="容积率修正",IF(G3&lt;10,D26,J26),C27)</f>
        <v>0.95130000000000003</v>
      </c>
      <c r="D25" s="1905"/>
      <c r="E25" s="1905"/>
      <c r="F25" s="1905"/>
      <c r="G25" s="1905"/>
      <c r="H25" s="1905"/>
      <c r="I25" s="1905"/>
      <c r="J25" s="1906"/>
      <c r="K25" s="1061"/>
      <c r="L25" s="2548"/>
      <c r="M25" s="2548"/>
      <c r="N25" s="1907" t="s">
        <v>2009</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2010</v>
      </c>
      <c r="B26" s="1908" t="s">
        <v>2011</v>
      </c>
      <c r="C26" s="1908" t="s">
        <v>3256</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3257</v>
      </c>
      <c r="J26" s="374" t="str">
        <f>IF(G3&gt;=10,D115,"——")</f>
        <v>——</v>
      </c>
      <c r="K26" s="1061"/>
      <c r="L26" s="2548"/>
      <c r="M26" s="2548"/>
      <c r="N26" s="1907" t="s">
        <v>2012</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2013</v>
      </c>
      <c r="B27" s="1909" t="s">
        <v>2014</v>
      </c>
      <c r="C27" s="791">
        <f>ROUND(IF(I3&lt;6,SUMPRODUCT((B106:B110=I3)*(C105:N105=G2)*(C106:N110)),SUMIF(C105:N105,G2,C112:N112)),4)</f>
        <v>0</v>
      </c>
      <c r="D27" s="1838"/>
      <c r="E27" s="1838"/>
      <c r="F27" s="1910"/>
      <c r="G27" s="1911"/>
      <c r="H27" s="1912"/>
      <c r="I27" s="1913"/>
      <c r="J27" s="1914"/>
      <c r="K27" s="1056"/>
      <c r="L27" s="1840"/>
      <c r="M27" s="1840"/>
      <c r="N27" s="1907" t="s">
        <v>2015</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2016</v>
      </c>
      <c r="C28" s="716">
        <f>SUMIF(A47:A101,E2,B47:B101)</f>
        <v>1.0448999999999999</v>
      </c>
      <c r="D28" s="1890"/>
      <c r="E28" s="1915"/>
      <c r="F28" s="1915"/>
      <c r="G28" s="1915"/>
      <c r="H28" s="1915"/>
      <c r="I28" s="1915"/>
      <c r="J28" s="1916"/>
      <c r="K28" s="1061"/>
      <c r="L28" s="2548"/>
      <c r="M28" s="2548"/>
      <c r="N28" s="1917"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2018</v>
      </c>
      <c r="C29" s="721"/>
      <c r="D29" s="1864"/>
      <c r="E29" s="1864"/>
      <c r="F29" s="1919"/>
      <c r="G29" s="1864"/>
      <c r="H29" s="1864"/>
      <c r="I29" s="1864"/>
      <c r="J29" s="1865"/>
      <c r="K29" s="1056"/>
      <c r="L29" s="1840"/>
      <c r="M29" s="1840"/>
      <c r="N29" s="2545" t="s">
        <v>2019</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2020</v>
      </c>
      <c r="C30" s="2141">
        <f>IF(B25="容积率修正",E33+SUM(E37:E42),SUM(V2:V16)+SUM(E37:E42))</f>
        <v>0</v>
      </c>
      <c r="D30" s="1921"/>
      <c r="E30" s="1838"/>
      <c r="F30" s="1922"/>
      <c r="G30" s="1838"/>
      <c r="H30" s="1838"/>
      <c r="I30" s="1838"/>
      <c r="J30" s="1923"/>
      <c r="K30" s="1056"/>
      <c r="L30" s="3051" t="s">
        <v>1932</v>
      </c>
      <c r="M30" s="3052" t="s">
        <v>1986</v>
      </c>
      <c r="N30" s="3052" t="s">
        <v>1987</v>
      </c>
      <c r="O30" s="3052" t="s">
        <v>1988</v>
      </c>
      <c r="P30" s="3052" t="s">
        <v>1989</v>
      </c>
      <c r="Q30" s="3055" t="s">
        <v>3261</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2021</v>
      </c>
      <c r="C31" s="722">
        <f>E34+SUM(I37:I42)</f>
        <v>0</v>
      </c>
      <c r="D31" s="1925"/>
      <c r="E31" s="1926"/>
      <c r="F31" s="1927"/>
      <c r="G31" s="1926"/>
      <c r="H31" s="1926"/>
      <c r="I31" s="1926"/>
      <c r="J31" s="1928"/>
      <c r="K31" s="1056"/>
      <c r="L31" s="3053" t="s">
        <v>1992</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2022</v>
      </c>
      <c r="C32" s="1931" t="s">
        <v>2023</v>
      </c>
      <c r="D32" s="1931" t="s">
        <v>2024</v>
      </c>
      <c r="E32" s="1932" t="s">
        <v>2025</v>
      </c>
      <c r="F32" s="1933"/>
      <c r="G32" s="1877"/>
      <c r="H32" s="1877"/>
      <c r="I32" s="1877"/>
      <c r="J32" s="1878"/>
      <c r="K32" s="1056"/>
      <c r="L32" s="3054" t="s">
        <v>1995</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2026</v>
      </c>
      <c r="C33" s="167">
        <f>ROUND(C5*C22*C23*C24*C25*C28,0)</f>
        <v>0</v>
      </c>
      <c r="D33" s="1936">
        <f>'数据-汇总表'!F19</f>
        <v>69.099999999999994</v>
      </c>
      <c r="E33" s="727">
        <f>ROUND(C33*D33/10000,0)</f>
        <v>0</v>
      </c>
      <c r="F33" s="3046" t="s">
        <v>3259</v>
      </c>
      <c r="G33" s="1937"/>
      <c r="H33" s="1937"/>
      <c r="I33" s="1937"/>
      <c r="J33" s="1938"/>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2027</v>
      </c>
      <c r="C34" s="179">
        <f>ROUND(IF(E2="工业",C33*M42,IF(B25="楼层修正",SUM(V2:V16)*M41*10000/D34,C33*M41)),0)</f>
        <v>0</v>
      </c>
      <c r="D34" s="1941"/>
      <c r="E34" s="727">
        <f>ROUND(IF(B25="楼层修正",SUM(V2:V16)*M40,C34*D34/10000),0)</f>
        <v>0</v>
      </c>
      <c r="F34" s="1942" t="s">
        <v>2028</v>
      </c>
      <c r="G34" s="1943"/>
      <c r="H34" s="1943"/>
      <c r="I34" s="1943"/>
      <c r="J34" s="1944"/>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2029</v>
      </c>
      <c r="C35" s="3047" t="s">
        <v>3260</v>
      </c>
      <c r="D35" s="1877"/>
      <c r="E35" s="1947"/>
      <c r="F35" s="1947"/>
      <c r="G35" s="1875" t="s">
        <v>2030</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2023</v>
      </c>
      <c r="D36" s="433" t="s">
        <v>2024</v>
      </c>
      <c r="E36" s="433" t="s">
        <v>2025</v>
      </c>
      <c r="F36" s="333" t="s">
        <v>2031</v>
      </c>
      <c r="G36" s="1950" t="s">
        <v>2023</v>
      </c>
      <c r="H36" s="1950" t="s">
        <v>2024</v>
      </c>
      <c r="I36" s="1950" t="s">
        <v>2025</v>
      </c>
      <c r="J36" s="235"/>
      <c r="K36" s="1960" t="s">
        <v>3264</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65"/>
      <c r="B37" s="1951" t="s">
        <v>2032</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3265</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66"/>
      <c r="B38" s="1880" t="s">
        <v>2033</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66"/>
      <c r="B39" s="1880" t="s">
        <v>3258</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2034</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2035</v>
      </c>
      <c r="M40" s="1954"/>
      <c r="Z40" s="1057"/>
      <c r="AA40" s="1057"/>
      <c r="AB40" s="1057"/>
      <c r="AC40" s="1057"/>
      <c r="AD40" s="1057"/>
      <c r="AE40" s="1057"/>
      <c r="AF40" s="1057"/>
      <c r="AG40" s="1057"/>
      <c r="AH40" s="1057"/>
      <c r="AI40" s="1057"/>
      <c r="AJ40" s="1057"/>
    </row>
    <row r="41" spans="1:37" s="1056" customFormat="1">
      <c r="A41" s="1952"/>
      <c r="B41" s="1880" t="s">
        <v>2036</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3266</v>
      </c>
      <c r="M41" s="1955">
        <v>0.25</v>
      </c>
      <c r="Z41" s="1057"/>
      <c r="AA41" s="1057"/>
      <c r="AB41" s="1057"/>
      <c r="AC41" s="1057"/>
      <c r="AD41" s="1057"/>
      <c r="AE41" s="1057"/>
      <c r="AF41" s="1057"/>
      <c r="AG41" s="1057"/>
      <c r="AH41" s="1057"/>
      <c r="AI41" s="1057"/>
      <c r="AJ41" s="1057"/>
    </row>
    <row r="42" spans="1:37" s="1056" customFormat="1" ht="13.5" thickBot="1">
      <c r="A42" s="1939"/>
      <c r="B42" s="1956" t="s">
        <v>2037</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1989</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2118</v>
      </c>
      <c r="C44" s="333">
        <f>ROUND(POWER(1+E44,H44-G44)*(POWER(1+E44,G44)-1)/(POWER(1+E44,H44)-1),4)</f>
        <v>0</v>
      </c>
      <c r="D44" s="163" t="s">
        <v>1995</v>
      </c>
      <c r="E44" s="1987">
        <f>G24</f>
        <v>0.05</v>
      </c>
      <c r="F44" s="163" t="s">
        <v>2004</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2038</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2039</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2040</v>
      </c>
      <c r="B49" s="1261" t="s">
        <v>2041</v>
      </c>
      <c r="C49" s="1261" t="s">
        <v>2042</v>
      </c>
      <c r="D49" s="1261" t="s">
        <v>2043</v>
      </c>
      <c r="E49" s="701" t="s">
        <v>2044</v>
      </c>
      <c r="F49" s="1967" t="s">
        <v>2045</v>
      </c>
      <c r="G49" s="1261" t="s">
        <v>310</v>
      </c>
      <c r="H49" s="1968" t="s">
        <v>2046</v>
      </c>
      <c r="I49" s="1261" t="s">
        <v>2047</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2048</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2049</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3268</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2050</v>
      </c>
      <c r="B53" s="1970" t="s">
        <v>2051</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2052</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2053</v>
      </c>
      <c r="B55" s="1971" t="s">
        <v>2054</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2055</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2056</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2057</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2058</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2040</v>
      </c>
      <c r="B60" s="1261"/>
      <c r="C60" s="1261" t="s">
        <v>2042</v>
      </c>
      <c r="D60" s="1261" t="s">
        <v>2043</v>
      </c>
      <c r="E60" s="701" t="s">
        <v>2044</v>
      </c>
      <c r="F60" s="1967" t="s">
        <v>2059</v>
      </c>
      <c r="G60" s="1261" t="s">
        <v>310</v>
      </c>
      <c r="H60" s="1968" t="s">
        <v>2046</v>
      </c>
      <c r="I60" s="1261" t="s">
        <v>2047</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2060</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2049</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3268</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2050</v>
      </c>
      <c r="B64" s="1970" t="s">
        <v>2051</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2052</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2053</v>
      </c>
      <c r="B66" s="1971" t="s">
        <v>2054</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2055</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2056</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2057</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2061</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2040</v>
      </c>
      <c r="B71" s="1261"/>
      <c r="C71" s="1261" t="s">
        <v>2042</v>
      </c>
      <c r="D71" s="1261" t="s">
        <v>2043</v>
      </c>
      <c r="E71" s="701" t="s">
        <v>2044</v>
      </c>
      <c r="F71" s="1967" t="s">
        <v>2059</v>
      </c>
      <c r="G71" s="1261" t="s">
        <v>310</v>
      </c>
      <c r="H71" s="1968" t="s">
        <v>2046</v>
      </c>
      <c r="I71" s="1261" t="s">
        <v>2047</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2062</v>
      </c>
      <c r="B72" s="1969" t="str">
        <f>估价对象房地状况!C15</f>
        <v>周边有三里河一区5号院、月坛西街乙2号院、月坛北小街小区等住宅小区，居住社区成熟度好。</v>
      </c>
      <c r="C72" s="1883" t="s">
        <v>3394</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2049</v>
      </c>
      <c r="B73" s="1261" t="str">
        <f>估价对象房地状况!C18</f>
        <v>周边有10路、13路、21路等多条公交线路及地铁1号线南礼士路站，综合评价交通便捷度较好</v>
      </c>
      <c r="C73" s="1883" t="s">
        <v>3394</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3268</v>
      </c>
      <c r="B74" s="1261">
        <f>估价对象房地状况!C19</f>
        <v>0</v>
      </c>
      <c r="C74" s="1883" t="s">
        <v>3394</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2063</v>
      </c>
      <c r="B75" s="1261">
        <f>估价对象房地状况!C24</f>
        <v>0</v>
      </c>
      <c r="C75" s="1883" t="s">
        <v>3395</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2055</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3394</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2056</v>
      </c>
      <c r="B77" s="1239" t="str">
        <f>估价对象房地状况!C22</f>
        <v>估价对象所在区域基础设施水平</v>
      </c>
      <c r="C77" s="1883" t="s">
        <v>3396</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2053</v>
      </c>
      <c r="B78" s="1971" t="s">
        <v>2054</v>
      </c>
      <c r="C78" s="1883" t="s">
        <v>3394</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2057</v>
      </c>
      <c r="B79" s="1969" t="str">
        <f>估价对象房地状况!C20</f>
        <v>自然环境：月坛公园等自然水系景观；
人文环境：二七剧场等人文场所；
综合评价环境状况较好。</v>
      </c>
      <c r="C79" s="1883" t="s">
        <v>3395</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2064</v>
      </c>
      <c r="B80" s="1977"/>
      <c r="C80" s="1883" t="s">
        <v>3394</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2065</v>
      </c>
      <c r="B81" s="1964">
        <f>1+E83</f>
        <v>1</v>
      </c>
      <c r="C81" s="699"/>
      <c r="D81" s="699"/>
      <c r="E81" s="700"/>
      <c r="F81" s="1965"/>
      <c r="G81" s="3"/>
      <c r="H81" s="3"/>
      <c r="I81" s="3"/>
      <c r="J81" s="4"/>
      <c r="K81" s="4"/>
      <c r="L81" s="4"/>
      <c r="M81" s="4"/>
      <c r="N81" s="4"/>
      <c r="Z81" s="1841"/>
      <c r="AA81" s="1891"/>
      <c r="AG81" s="1058"/>
      <c r="AK81" s="1891"/>
    </row>
    <row r="82" spans="1:37" ht="24.75">
      <c r="A82" s="1966" t="s">
        <v>2040</v>
      </c>
      <c r="B82" s="1261"/>
      <c r="C82" s="1261" t="s">
        <v>2042</v>
      </c>
      <c r="D82" s="1261" t="s">
        <v>2043</v>
      </c>
      <c r="E82" s="701" t="s">
        <v>2044</v>
      </c>
      <c r="F82" s="1967" t="s">
        <v>2059</v>
      </c>
      <c r="G82" s="1261" t="s">
        <v>310</v>
      </c>
      <c r="H82" s="1968" t="s">
        <v>2046</v>
      </c>
      <c r="I82" s="1261" t="s">
        <v>2047</v>
      </c>
      <c r="J82" s="530" t="s">
        <v>1719</v>
      </c>
      <c r="K82" s="530" t="s">
        <v>1720</v>
      </c>
      <c r="L82" s="530" t="s">
        <v>1721</v>
      </c>
      <c r="M82" s="530" t="s">
        <v>1722</v>
      </c>
      <c r="N82" s="530" t="s">
        <v>1723</v>
      </c>
      <c r="Z82" s="1841"/>
      <c r="AA82" s="1891"/>
      <c r="AG82" s="1058"/>
      <c r="AK82" s="1891"/>
    </row>
    <row r="83" spans="1:37" ht="38.25">
      <c r="A83" s="1966" t="s">
        <v>2066</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2049</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3269</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2063</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2055</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2056</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2053</v>
      </c>
      <c r="B89" s="1971" t="s">
        <v>2067</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2068</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2609</v>
      </c>
      <c r="B91" s="3075">
        <f>1+E93</f>
        <v>1</v>
      </c>
      <c r="C91" s="3068"/>
      <c r="D91" s="3069"/>
      <c r="E91" s="1674"/>
      <c r="F91" s="1674"/>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6" t="s">
        <v>3288</v>
      </c>
      <c r="K92" s="2146" t="s">
        <v>3289</v>
      </c>
      <c r="L92" s="2146" t="s">
        <v>3290</v>
      </c>
      <c r="M92" s="2146" t="s">
        <v>3291</v>
      </c>
      <c r="N92" s="2146" t="s">
        <v>3292</v>
      </c>
    </row>
    <row r="93" spans="1:37" ht="24">
      <c r="A93" s="3066" t="s">
        <v>3271</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3272</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3268</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3273</v>
      </c>
      <c r="B96" s="3082" t="s">
        <v>3284</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3274</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3275</v>
      </c>
      <c r="B98" s="3083" t="s">
        <v>3285</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3276</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3277</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3278</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563" t="s">
        <v>3293</v>
      </c>
      <c r="B103" s="3563"/>
      <c r="C103" s="3563"/>
      <c r="D103" s="3563"/>
      <c r="E103" s="3563"/>
      <c r="F103" s="3563"/>
      <c r="G103" s="3563"/>
      <c r="H103" s="3563"/>
      <c r="I103" s="3563"/>
      <c r="J103" s="3563"/>
      <c r="K103" s="1666"/>
      <c r="L103" s="1666"/>
      <c r="M103" s="1666"/>
      <c r="N103" s="1666"/>
    </row>
    <row r="104" spans="1:14">
      <c r="A104" s="3564" t="s">
        <v>3294</v>
      </c>
      <c r="B104" s="3564" t="s">
        <v>3295</v>
      </c>
      <c r="C104" s="3086" t="s">
        <v>3296</v>
      </c>
      <c r="D104" s="3087"/>
      <c r="E104" s="3087"/>
      <c r="F104" s="3087"/>
      <c r="G104" s="3087"/>
      <c r="H104" s="3087"/>
      <c r="I104" s="3087"/>
      <c r="J104" s="3088"/>
      <c r="K104" s="3089"/>
      <c r="L104" s="3089"/>
      <c r="M104" s="3089"/>
      <c r="N104" s="3089"/>
    </row>
    <row r="105" spans="1:14">
      <c r="A105" s="3564"/>
      <c r="B105" s="3564"/>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0"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1"/>
      <c r="B111" s="3090" t="s">
        <v>3267</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552"/>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553" t="s">
        <v>3310</v>
      </c>
      <c r="B113" s="3553"/>
      <c r="C113" s="3553"/>
      <c r="D113" s="3553"/>
      <c r="E113" s="3553"/>
      <c r="F113" s="3553"/>
      <c r="G113" s="3553"/>
      <c r="H113" s="3553"/>
      <c r="I113" s="3553"/>
      <c r="J113" s="355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3.35</v>
      </c>
      <c r="C116" s="3095" t="s">
        <v>3312</v>
      </c>
      <c r="D116" s="3096">
        <f>SUMPRODUCT((A118:A122=F116)*(B117:M117=H116)*B118:M122)</f>
        <v>0.90629999999999999</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3328</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3329</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3330</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2609</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78" t="s">
        <v>2604</v>
      </c>
      <c r="B20" s="3573" t="s">
        <v>2625</v>
      </c>
      <c r="C20" s="2838" t="s">
        <v>2436</v>
      </c>
      <c r="D20" s="2839"/>
      <c r="E20" s="2840">
        <v>1</v>
      </c>
      <c r="F20" s="2841" t="s">
        <v>2437</v>
      </c>
      <c r="G20" s="2841"/>
    </row>
    <row r="21" spans="1:13" ht="19.5" customHeight="1">
      <c r="A21" s="3579"/>
      <c r="B21" s="3572"/>
      <c r="C21" s="2842" t="s">
        <v>2438</v>
      </c>
      <c r="D21" s="2843"/>
      <c r="E21" s="2844">
        <v>1</v>
      </c>
      <c r="F21" s="2841" t="s">
        <v>2439</v>
      </c>
      <c r="G21" s="2841"/>
    </row>
    <row r="22" spans="1:13" ht="19.5" customHeight="1">
      <c r="A22" s="3579"/>
      <c r="B22" s="3572"/>
      <c r="C22" s="2842" t="s">
        <v>2440</v>
      </c>
      <c r="D22" s="2843"/>
      <c r="E22" s="2844">
        <v>0.9</v>
      </c>
      <c r="F22" s="2841" t="s">
        <v>2441</v>
      </c>
      <c r="G22" s="2841"/>
    </row>
    <row r="23" spans="1:13" ht="19.5" customHeight="1">
      <c r="A23" s="3579"/>
      <c r="B23" s="3572"/>
      <c r="C23" s="2842" t="s">
        <v>2442</v>
      </c>
      <c r="D23" s="2843"/>
      <c r="E23" s="2844">
        <v>0.9</v>
      </c>
      <c r="F23" s="2841" t="s">
        <v>2443</v>
      </c>
      <c r="G23" s="2841"/>
    </row>
    <row r="24" spans="1:13" ht="19.5" customHeight="1">
      <c r="A24" s="3579"/>
      <c r="B24" s="3572"/>
      <c r="C24" s="2842" t="s">
        <v>2444</v>
      </c>
      <c r="D24" s="2843"/>
      <c r="E24" s="2844">
        <v>0.8</v>
      </c>
      <c r="F24" s="2841" t="s">
        <v>2445</v>
      </c>
      <c r="G24" s="2841"/>
    </row>
    <row r="25" spans="1:13" ht="19.5" customHeight="1" thickBot="1">
      <c r="A25" s="3580"/>
      <c r="B25" s="3574"/>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5" t="s">
        <v>2628</v>
      </c>
      <c r="B27" s="3573" t="s">
        <v>2609</v>
      </c>
      <c r="C27" s="2838" t="s">
        <v>2449</v>
      </c>
      <c r="D27" s="2839"/>
      <c r="E27" s="2840">
        <v>1</v>
      </c>
      <c r="F27" s="2841" t="s">
        <v>2450</v>
      </c>
      <c r="G27" s="2841"/>
    </row>
    <row r="28" spans="1:13" ht="19.5" customHeight="1">
      <c r="A28" s="3576"/>
      <c r="B28" s="3572"/>
      <c r="C28" s="2842" t="s">
        <v>2451</v>
      </c>
      <c r="D28" s="2843"/>
      <c r="E28" s="2844">
        <v>1</v>
      </c>
      <c r="F28" s="2841" t="s">
        <v>2452</v>
      </c>
      <c r="G28" s="2841"/>
    </row>
    <row r="29" spans="1:13" ht="19.5" customHeight="1">
      <c r="A29" s="3576"/>
      <c r="B29" s="3572"/>
      <c r="C29" s="2842" t="s">
        <v>2453</v>
      </c>
      <c r="D29" s="2843"/>
      <c r="E29" s="2844">
        <v>0.8</v>
      </c>
      <c r="F29" s="2841" t="s">
        <v>2454</v>
      </c>
      <c r="G29" s="2841"/>
    </row>
    <row r="30" spans="1:13" ht="19.5" customHeight="1">
      <c r="A30" s="3576"/>
      <c r="B30" s="3572"/>
      <c r="C30" s="2842" t="s">
        <v>2455</v>
      </c>
      <c r="D30" s="2843"/>
      <c r="E30" s="2844">
        <v>0.8</v>
      </c>
      <c r="F30" s="2841" t="s">
        <v>2456</v>
      </c>
      <c r="G30" s="2841"/>
    </row>
    <row r="31" spans="1:13" ht="19.5" customHeight="1">
      <c r="A31" s="3576"/>
      <c r="B31" s="3572"/>
      <c r="C31" s="2842" t="s">
        <v>2457</v>
      </c>
      <c r="D31" s="2843"/>
      <c r="E31" s="2844">
        <v>0.8</v>
      </c>
      <c r="F31" s="2841" t="s">
        <v>2458</v>
      </c>
      <c r="G31" s="2841"/>
    </row>
    <row r="32" spans="1:13" ht="19.5" customHeight="1">
      <c r="A32" s="3576"/>
      <c r="B32" s="3572"/>
      <c r="C32" s="2842" t="s">
        <v>2459</v>
      </c>
      <c r="D32" s="2843"/>
      <c r="E32" s="2844">
        <v>0.7</v>
      </c>
      <c r="F32" s="2841" t="s">
        <v>2460</v>
      </c>
      <c r="G32" s="2841"/>
    </row>
    <row r="33" spans="1:7" ht="19.5" customHeight="1">
      <c r="A33" s="3576"/>
      <c r="B33" s="3572"/>
      <c r="C33" s="2842" t="s">
        <v>2461</v>
      </c>
      <c r="D33" s="2843"/>
      <c r="E33" s="2844">
        <v>0.8</v>
      </c>
      <c r="F33" s="2841" t="s">
        <v>2462</v>
      </c>
      <c r="G33" s="2841"/>
    </row>
    <row r="34" spans="1:7" ht="19.5" customHeight="1">
      <c r="A34" s="3576"/>
      <c r="B34" s="3572"/>
      <c r="C34" s="2842" t="s">
        <v>2463</v>
      </c>
      <c r="D34" s="2843"/>
      <c r="E34" s="2844">
        <v>0.6</v>
      </c>
      <c r="F34" s="2841" t="s">
        <v>2464</v>
      </c>
      <c r="G34" s="2841"/>
    </row>
    <row r="35" spans="1:7" ht="19.5" customHeight="1">
      <c r="A35" s="3576"/>
      <c r="B35" s="3572"/>
      <c r="C35" s="2842" t="s">
        <v>2465</v>
      </c>
      <c r="D35" s="2843"/>
      <c r="E35" s="2844">
        <v>0.2</v>
      </c>
      <c r="F35" s="2841" t="s">
        <v>2466</v>
      </c>
      <c r="G35" s="2841"/>
    </row>
    <row r="36" spans="1:7" ht="19.5" customHeight="1">
      <c r="A36" s="3576"/>
      <c r="B36" s="3572"/>
      <c r="C36" s="2842" t="s">
        <v>2467</v>
      </c>
      <c r="D36" s="2843"/>
      <c r="E36" s="2844">
        <v>0.2</v>
      </c>
      <c r="F36" s="2841" t="s">
        <v>2468</v>
      </c>
      <c r="G36" s="2841"/>
    </row>
    <row r="37" spans="1:7" ht="19.5" customHeight="1">
      <c r="A37" s="3576"/>
      <c r="B37" s="3570" t="s">
        <v>2629</v>
      </c>
      <c r="C37" s="2842" t="s">
        <v>2469</v>
      </c>
      <c r="D37" s="2843"/>
      <c r="E37" s="2844">
        <v>0.6</v>
      </c>
      <c r="F37" s="2841" t="s">
        <v>2470</v>
      </c>
      <c r="G37" s="2841"/>
    </row>
    <row r="38" spans="1:7" ht="19.5" customHeight="1">
      <c r="A38" s="3576"/>
      <c r="B38" s="3572"/>
      <c r="C38" s="2842" t="s">
        <v>2471</v>
      </c>
      <c r="D38" s="2843"/>
      <c r="E38" s="2844">
        <v>0.6</v>
      </c>
      <c r="F38" s="2841" t="s">
        <v>2472</v>
      </c>
      <c r="G38" s="2841"/>
    </row>
    <row r="39" spans="1:7" ht="19.5" customHeight="1" thickBot="1">
      <c r="A39" s="3577"/>
      <c r="B39" s="3574"/>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78" t="s">
        <v>2607</v>
      </c>
      <c r="B41" s="3573" t="s">
        <v>2631</v>
      </c>
      <c r="C41" s="2838" t="s">
        <v>2476</v>
      </c>
      <c r="D41" s="2839"/>
      <c r="E41" s="2840">
        <v>1</v>
      </c>
      <c r="F41" s="2841" t="s">
        <v>2477</v>
      </c>
      <c r="G41" s="2841"/>
    </row>
    <row r="42" spans="1:7" ht="19.5" customHeight="1">
      <c r="A42" s="3579"/>
      <c r="B42" s="3572"/>
      <c r="C42" s="2842" t="s">
        <v>2478</v>
      </c>
      <c r="D42" s="2843"/>
      <c r="E42" s="2844">
        <v>1</v>
      </c>
      <c r="F42" s="2841" t="s">
        <v>2479</v>
      </c>
      <c r="G42" s="2841"/>
    </row>
    <row r="43" spans="1:7" ht="19.5" customHeight="1">
      <c r="A43" s="3579"/>
      <c r="B43" s="3571"/>
      <c r="C43" s="2842" t="s">
        <v>2480</v>
      </c>
      <c r="D43" s="2843"/>
      <c r="E43" s="2844">
        <v>1.5</v>
      </c>
      <c r="F43" s="2841" t="s">
        <v>2481</v>
      </c>
      <c r="G43" s="2841"/>
    </row>
    <row r="44" spans="1:7" ht="19.5" customHeight="1">
      <c r="A44" s="3579"/>
      <c r="B44" s="2853" t="s">
        <v>2632</v>
      </c>
      <c r="C44" s="2842" t="s">
        <v>2633</v>
      </c>
      <c r="D44" s="2843"/>
      <c r="E44" s="2844">
        <v>2</v>
      </c>
      <c r="F44" s="2841" t="s">
        <v>2482</v>
      </c>
      <c r="G44" s="2841"/>
    </row>
    <row r="45" spans="1:7" ht="19.5" customHeight="1">
      <c r="A45" s="3579"/>
      <c r="B45" s="3570" t="s">
        <v>2634</v>
      </c>
      <c r="C45" s="2842" t="s">
        <v>2483</v>
      </c>
      <c r="D45" s="2843"/>
      <c r="E45" s="2844">
        <v>1</v>
      </c>
      <c r="F45" s="2841" t="s">
        <v>2484</v>
      </c>
      <c r="G45" s="2841"/>
    </row>
    <row r="46" spans="1:7" ht="19.5" customHeight="1">
      <c r="A46" s="3579"/>
      <c r="B46" s="3572"/>
      <c r="C46" s="2842" t="s">
        <v>2485</v>
      </c>
      <c r="D46" s="2843"/>
      <c r="E46" s="2844">
        <v>1</v>
      </c>
      <c r="F46" s="2841" t="s">
        <v>2486</v>
      </c>
      <c r="G46" s="2841"/>
    </row>
    <row r="47" spans="1:7" ht="19.5" customHeight="1">
      <c r="A47" s="3579"/>
      <c r="B47" s="3572"/>
      <c r="C47" s="2842" t="s">
        <v>2487</v>
      </c>
      <c r="D47" s="2843"/>
      <c r="E47" s="2844">
        <v>1</v>
      </c>
      <c r="F47" s="2841" t="s">
        <v>2488</v>
      </c>
      <c r="G47" s="2841"/>
    </row>
    <row r="48" spans="1:7" ht="19.5" customHeight="1">
      <c r="A48" s="3579"/>
      <c r="B48" s="3572"/>
      <c r="C48" s="2842" t="s">
        <v>2489</v>
      </c>
      <c r="D48" s="2843"/>
      <c r="E48" s="2844">
        <v>1</v>
      </c>
      <c r="F48" s="2841" t="s">
        <v>2490</v>
      </c>
      <c r="G48" s="2841"/>
    </row>
    <row r="49" spans="1:7" ht="19.5" customHeight="1">
      <c r="A49" s="3579"/>
      <c r="B49" s="3572"/>
      <c r="C49" s="2842" t="s">
        <v>2491</v>
      </c>
      <c r="D49" s="2843"/>
      <c r="E49" s="2844">
        <v>1</v>
      </c>
      <c r="F49" s="2841" t="s">
        <v>2492</v>
      </c>
      <c r="G49" s="2841"/>
    </row>
    <row r="50" spans="1:7" ht="19.5" customHeight="1">
      <c r="A50" s="3579"/>
      <c r="B50" s="3572"/>
      <c r="C50" s="2842" t="s">
        <v>2493</v>
      </c>
      <c r="D50" s="2843"/>
      <c r="E50" s="2844">
        <v>1</v>
      </c>
      <c r="F50" s="2841" t="s">
        <v>2494</v>
      </c>
      <c r="G50" s="2841"/>
    </row>
    <row r="51" spans="1:7" ht="19.5" customHeight="1" thickBot="1">
      <c r="A51" s="3580"/>
      <c r="B51" s="3574"/>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0" t="s">
        <v>2648</v>
      </c>
      <c r="C73" s="2827" t="s">
        <v>2649</v>
      </c>
      <c r="D73" s="2827" t="s">
        <v>2650</v>
      </c>
      <c r="E73" s="2853">
        <v>0.2</v>
      </c>
      <c r="F73" s="2853">
        <v>25</v>
      </c>
    </row>
    <row r="74" spans="1:7" ht="24">
      <c r="A74" s="2853">
        <v>2</v>
      </c>
      <c r="B74" s="3572"/>
      <c r="C74" s="2827" t="s">
        <v>2651</v>
      </c>
      <c r="D74" s="2827" t="s">
        <v>2652</v>
      </c>
      <c r="E74" s="2853">
        <v>0.2</v>
      </c>
      <c r="F74" s="2853">
        <v>25</v>
      </c>
    </row>
    <row r="75" spans="1:7" ht="24">
      <c r="A75" s="2853">
        <v>3</v>
      </c>
      <c r="B75" s="3572"/>
      <c r="C75" s="2827" t="s">
        <v>2653</v>
      </c>
      <c r="D75" s="2827" t="s">
        <v>2654</v>
      </c>
      <c r="E75" s="2853">
        <v>0.2</v>
      </c>
      <c r="F75" s="2853">
        <v>25</v>
      </c>
    </row>
    <row r="76" spans="1:7" ht="13.5">
      <c r="A76" s="2853">
        <v>4</v>
      </c>
      <c r="B76" s="3572"/>
      <c r="C76" s="2827" t="s">
        <v>2655</v>
      </c>
      <c r="D76" s="2827" t="s">
        <v>2656</v>
      </c>
      <c r="E76" s="2853">
        <v>0.15</v>
      </c>
      <c r="F76" s="2853">
        <v>20</v>
      </c>
    </row>
    <row r="77" spans="1:7" ht="24">
      <c r="A77" s="2853">
        <v>5</v>
      </c>
      <c r="B77" s="3572"/>
      <c r="C77" s="2827" t="s">
        <v>2657</v>
      </c>
      <c r="D77" s="2827" t="s">
        <v>2658</v>
      </c>
      <c r="E77" s="2853">
        <v>0.15</v>
      </c>
      <c r="F77" s="2853">
        <v>20</v>
      </c>
    </row>
    <row r="78" spans="1:7" ht="24">
      <c r="A78" s="2853">
        <v>6</v>
      </c>
      <c r="B78" s="3572"/>
      <c r="C78" s="2827" t="s">
        <v>2659</v>
      </c>
      <c r="D78" s="2827" t="s">
        <v>2660</v>
      </c>
      <c r="E78" s="2853">
        <v>0.15</v>
      </c>
      <c r="F78" s="2853">
        <v>20</v>
      </c>
    </row>
    <row r="79" spans="1:7" ht="24">
      <c r="A79" s="2853">
        <v>7</v>
      </c>
      <c r="B79" s="3572"/>
      <c r="C79" s="2827" t="s">
        <v>2661</v>
      </c>
      <c r="D79" s="2827" t="s">
        <v>2662</v>
      </c>
      <c r="E79" s="2853">
        <v>0.15</v>
      </c>
      <c r="F79" s="2853">
        <v>20</v>
      </c>
    </row>
    <row r="80" spans="1:7" ht="24">
      <c r="A80" s="2853">
        <v>8</v>
      </c>
      <c r="B80" s="3572"/>
      <c r="C80" s="2827" t="s">
        <v>2663</v>
      </c>
      <c r="D80" s="2827" t="s">
        <v>2664</v>
      </c>
      <c r="E80" s="2853">
        <v>0.1</v>
      </c>
      <c r="F80" s="2853">
        <v>15</v>
      </c>
    </row>
    <row r="81" spans="1:6" ht="24">
      <c r="A81" s="2853">
        <v>9</v>
      </c>
      <c r="B81" s="3572"/>
      <c r="C81" s="2827" t="s">
        <v>2665</v>
      </c>
      <c r="D81" s="2827" t="s">
        <v>2666</v>
      </c>
      <c r="E81" s="2853">
        <v>0.1</v>
      </c>
      <c r="F81" s="2853">
        <v>15</v>
      </c>
    </row>
    <row r="82" spans="1:6" ht="24">
      <c r="A82" s="2853">
        <v>10</v>
      </c>
      <c r="B82" s="3572"/>
      <c r="C82" s="2827" t="s">
        <v>2667</v>
      </c>
      <c r="D82" s="2827" t="s">
        <v>2668</v>
      </c>
      <c r="E82" s="2853">
        <v>0.1</v>
      </c>
      <c r="F82" s="2853">
        <v>15</v>
      </c>
    </row>
    <row r="83" spans="1:6" ht="24">
      <c r="A83" s="2853">
        <v>11</v>
      </c>
      <c r="B83" s="3572"/>
      <c r="C83" s="2827" t="s">
        <v>2669</v>
      </c>
      <c r="D83" s="2827" t="s">
        <v>2670</v>
      </c>
      <c r="E83" s="2853">
        <v>0.1</v>
      </c>
      <c r="F83" s="2853">
        <v>15</v>
      </c>
    </row>
    <row r="84" spans="1:6" ht="24">
      <c r="A84" s="2853">
        <v>12</v>
      </c>
      <c r="B84" s="3572"/>
      <c r="C84" s="2827" t="s">
        <v>2671</v>
      </c>
      <c r="D84" s="2827" t="s">
        <v>2672</v>
      </c>
      <c r="E84" s="2853">
        <v>0.1</v>
      </c>
      <c r="F84" s="2853">
        <v>15</v>
      </c>
    </row>
    <row r="85" spans="1:6" ht="13.5">
      <c r="A85" s="2853">
        <v>13</v>
      </c>
      <c r="B85" s="3572"/>
      <c r="C85" s="2827" t="s">
        <v>2673</v>
      </c>
      <c r="D85" s="2827" t="s">
        <v>2674</v>
      </c>
      <c r="E85" s="2853">
        <v>0.1</v>
      </c>
      <c r="F85" s="2853">
        <v>15</v>
      </c>
    </row>
    <row r="86" spans="1:6" ht="13.5">
      <c r="A86" s="2853">
        <v>14</v>
      </c>
      <c r="B86" s="3572"/>
      <c r="C86" s="2827" t="s">
        <v>2675</v>
      </c>
      <c r="D86" s="2827" t="s">
        <v>2676</v>
      </c>
      <c r="E86" s="2853">
        <v>0.1</v>
      </c>
      <c r="F86" s="2853">
        <v>15</v>
      </c>
    </row>
    <row r="87" spans="1:6" ht="13.5">
      <c r="A87" s="2853">
        <v>15</v>
      </c>
      <c r="B87" s="3572"/>
      <c r="C87" s="2827" t="s">
        <v>2677</v>
      </c>
      <c r="D87" s="2827" t="s">
        <v>2678</v>
      </c>
      <c r="E87" s="2853">
        <v>0.1</v>
      </c>
      <c r="F87" s="2853">
        <v>15</v>
      </c>
    </row>
    <row r="88" spans="1:6" ht="24">
      <c r="A88" s="2853">
        <v>16</v>
      </c>
      <c r="B88" s="3572"/>
      <c r="C88" s="2827" t="s">
        <v>2679</v>
      </c>
      <c r="D88" s="2827" t="s">
        <v>2680</v>
      </c>
      <c r="E88" s="2853">
        <v>0.1</v>
      </c>
      <c r="F88" s="2853">
        <v>15</v>
      </c>
    </row>
    <row r="89" spans="1:6" ht="24">
      <c r="A89" s="2853">
        <v>17</v>
      </c>
      <c r="B89" s="3571"/>
      <c r="C89" s="2827" t="s">
        <v>2681</v>
      </c>
      <c r="D89" s="2827" t="s">
        <v>2682</v>
      </c>
      <c r="E89" s="2853">
        <v>0.1</v>
      </c>
      <c r="F89" s="2853">
        <v>15</v>
      </c>
    </row>
    <row r="90" spans="1:6" ht="13.5">
      <c r="A90" s="2853">
        <v>18</v>
      </c>
      <c r="B90" s="3570" t="s">
        <v>2683</v>
      </c>
      <c r="C90" s="2827" t="s">
        <v>2684</v>
      </c>
      <c r="D90" s="2827" t="s">
        <v>2685</v>
      </c>
      <c r="E90" s="2853">
        <v>0.2</v>
      </c>
      <c r="F90" s="2853">
        <v>25</v>
      </c>
    </row>
    <row r="91" spans="1:6" ht="24">
      <c r="A91" s="2853">
        <v>19</v>
      </c>
      <c r="B91" s="3572"/>
      <c r="C91" s="2827" t="s">
        <v>2686</v>
      </c>
      <c r="D91" s="2827" t="s">
        <v>2687</v>
      </c>
      <c r="E91" s="2853">
        <v>0.2</v>
      </c>
      <c r="F91" s="2853">
        <v>25</v>
      </c>
    </row>
    <row r="92" spans="1:6" ht="13.5">
      <c r="A92" s="2853">
        <v>20</v>
      </c>
      <c r="B92" s="3572"/>
      <c r="C92" s="2827" t="s">
        <v>2688</v>
      </c>
      <c r="D92" s="2827" t="s">
        <v>2689</v>
      </c>
      <c r="E92" s="2853">
        <v>0.15</v>
      </c>
      <c r="F92" s="2853">
        <v>20</v>
      </c>
    </row>
    <row r="93" spans="1:6" ht="13.5">
      <c r="A93" s="2853">
        <v>21</v>
      </c>
      <c r="B93" s="3572"/>
      <c r="C93" s="2827" t="s">
        <v>2690</v>
      </c>
      <c r="D93" s="2827" t="s">
        <v>2691</v>
      </c>
      <c r="E93" s="2853">
        <v>0.15</v>
      </c>
      <c r="F93" s="2853">
        <v>20</v>
      </c>
    </row>
    <row r="94" spans="1:6" ht="13.5">
      <c r="A94" s="2853">
        <v>22</v>
      </c>
      <c r="B94" s="3572"/>
      <c r="C94" s="2827" t="s">
        <v>2692</v>
      </c>
      <c r="D94" s="2827" t="s">
        <v>2693</v>
      </c>
      <c r="E94" s="2853">
        <v>0.15</v>
      </c>
      <c r="F94" s="2853">
        <v>20</v>
      </c>
    </row>
    <row r="95" spans="1:6" ht="36">
      <c r="A95" s="2853">
        <v>23</v>
      </c>
      <c r="B95" s="3572"/>
      <c r="C95" s="2827" t="s">
        <v>2694</v>
      </c>
      <c r="D95" s="2827" t="s">
        <v>2695</v>
      </c>
      <c r="E95" s="2853">
        <v>0.15</v>
      </c>
      <c r="F95" s="2853">
        <v>20</v>
      </c>
    </row>
    <row r="96" spans="1:6" ht="13.5">
      <c r="A96" s="2853">
        <v>24</v>
      </c>
      <c r="B96" s="3572"/>
      <c r="C96" s="2827" t="s">
        <v>2696</v>
      </c>
      <c r="D96" s="2827" t="s">
        <v>2697</v>
      </c>
      <c r="E96" s="2853">
        <v>0.1</v>
      </c>
      <c r="F96" s="2853">
        <v>15</v>
      </c>
    </row>
    <row r="97" spans="1:6" ht="13.5">
      <c r="A97" s="2853">
        <v>25</v>
      </c>
      <c r="B97" s="3572"/>
      <c r="C97" s="2827" t="s">
        <v>2698</v>
      </c>
      <c r="D97" s="2827" t="s">
        <v>2699</v>
      </c>
      <c r="E97" s="2853">
        <v>0.1</v>
      </c>
      <c r="F97" s="2853">
        <v>15</v>
      </c>
    </row>
    <row r="98" spans="1:6" ht="24">
      <c r="A98" s="2853">
        <v>26</v>
      </c>
      <c r="B98" s="3572"/>
      <c r="C98" s="2827" t="s">
        <v>2700</v>
      </c>
      <c r="D98" s="2827" t="s">
        <v>2701</v>
      </c>
      <c r="E98" s="2853">
        <v>0.1</v>
      </c>
      <c r="F98" s="2853">
        <v>15</v>
      </c>
    </row>
    <row r="99" spans="1:6" ht="24">
      <c r="A99" s="2853">
        <v>27</v>
      </c>
      <c r="B99" s="3572"/>
      <c r="C99" s="2827" t="s">
        <v>2702</v>
      </c>
      <c r="D99" s="2827" t="s">
        <v>2703</v>
      </c>
      <c r="E99" s="2853">
        <v>0.1</v>
      </c>
      <c r="F99" s="2853">
        <v>15</v>
      </c>
    </row>
    <row r="100" spans="1:6" ht="13.5">
      <c r="A100" s="2853">
        <v>28</v>
      </c>
      <c r="B100" s="3572"/>
      <c r="C100" s="2827" t="s">
        <v>2704</v>
      </c>
      <c r="D100" s="2827" t="s">
        <v>2705</v>
      </c>
      <c r="E100" s="2853">
        <v>0.1</v>
      </c>
      <c r="F100" s="2853">
        <v>15</v>
      </c>
    </row>
    <row r="101" spans="1:6" ht="13.5">
      <c r="A101" s="2853">
        <v>29</v>
      </c>
      <c r="B101" s="3572"/>
      <c r="C101" s="2827" t="s">
        <v>2706</v>
      </c>
      <c r="D101" s="2827" t="s">
        <v>2707</v>
      </c>
      <c r="E101" s="2853">
        <v>0.1</v>
      </c>
      <c r="F101" s="2853">
        <v>15</v>
      </c>
    </row>
    <row r="102" spans="1:6" ht="13.5">
      <c r="A102" s="2853">
        <v>30</v>
      </c>
      <c r="B102" s="3572"/>
      <c r="C102" s="2827" t="s">
        <v>2708</v>
      </c>
      <c r="D102" s="2827" t="s">
        <v>2709</v>
      </c>
      <c r="E102" s="2853">
        <v>0.1</v>
      </c>
      <c r="F102" s="2853">
        <v>15</v>
      </c>
    </row>
    <row r="103" spans="1:6" ht="24">
      <c r="A103" s="2853">
        <v>31</v>
      </c>
      <c r="B103" s="3572"/>
      <c r="C103" s="2827" t="s">
        <v>2710</v>
      </c>
      <c r="D103" s="2827" t="s">
        <v>2711</v>
      </c>
      <c r="E103" s="2853">
        <v>0.1</v>
      </c>
      <c r="F103" s="2853">
        <v>15</v>
      </c>
    </row>
    <row r="104" spans="1:6" ht="24">
      <c r="A104" s="2853">
        <v>32</v>
      </c>
      <c r="B104" s="3572"/>
      <c r="C104" s="2827" t="s">
        <v>2712</v>
      </c>
      <c r="D104" s="2827" t="s">
        <v>2713</v>
      </c>
      <c r="E104" s="2853">
        <v>0.1</v>
      </c>
      <c r="F104" s="2853">
        <v>15</v>
      </c>
    </row>
    <row r="105" spans="1:6" ht="24">
      <c r="A105" s="2853">
        <v>33</v>
      </c>
      <c r="B105" s="3572"/>
      <c r="C105" s="2827" t="s">
        <v>2714</v>
      </c>
      <c r="D105" s="2827" t="s">
        <v>2715</v>
      </c>
      <c r="E105" s="2853">
        <v>0.1</v>
      </c>
      <c r="F105" s="2853">
        <v>15</v>
      </c>
    </row>
    <row r="106" spans="1:6" ht="24">
      <c r="A106" s="2853">
        <v>34</v>
      </c>
      <c r="B106" s="3571"/>
      <c r="C106" s="2827" t="s">
        <v>2716</v>
      </c>
      <c r="D106" s="2827" t="s">
        <v>2717</v>
      </c>
      <c r="E106" s="2853">
        <v>0.1</v>
      </c>
      <c r="F106" s="2853">
        <v>15</v>
      </c>
    </row>
    <row r="107" spans="1:6" ht="24">
      <c r="A107" s="2853">
        <v>35</v>
      </c>
      <c r="B107" s="3570" t="s">
        <v>2718</v>
      </c>
      <c r="C107" s="2853" t="s">
        <v>2719</v>
      </c>
      <c r="D107" s="2827" t="s">
        <v>2720</v>
      </c>
      <c r="E107" s="2853">
        <v>0.15</v>
      </c>
      <c r="F107" s="2853">
        <v>20</v>
      </c>
    </row>
    <row r="108" spans="1:6" ht="13.5">
      <c r="A108" s="2853">
        <v>36</v>
      </c>
      <c r="B108" s="3572"/>
      <c r="C108" s="2853" t="s">
        <v>2721</v>
      </c>
      <c r="D108" s="2827" t="s">
        <v>2722</v>
      </c>
      <c r="E108" s="2853">
        <v>0.15</v>
      </c>
      <c r="F108" s="2853">
        <v>20</v>
      </c>
    </row>
    <row r="109" spans="1:6" ht="13.5">
      <c r="A109" s="2853">
        <v>37</v>
      </c>
      <c r="B109" s="3572"/>
      <c r="C109" s="2853" t="s">
        <v>2723</v>
      </c>
      <c r="D109" s="2827" t="s">
        <v>2724</v>
      </c>
      <c r="E109" s="2853">
        <v>0.15</v>
      </c>
      <c r="F109" s="2853">
        <v>20</v>
      </c>
    </row>
    <row r="110" spans="1:6" ht="13.5">
      <c r="A110" s="2853">
        <v>38</v>
      </c>
      <c r="B110" s="3572"/>
      <c r="C110" s="2853" t="s">
        <v>2725</v>
      </c>
      <c r="D110" s="2827" t="s">
        <v>2726</v>
      </c>
      <c r="E110" s="2853">
        <v>0.1</v>
      </c>
      <c r="F110" s="2853">
        <v>15</v>
      </c>
    </row>
    <row r="111" spans="1:6" ht="24">
      <c r="A111" s="2853">
        <v>39</v>
      </c>
      <c r="B111" s="3572"/>
      <c r="C111" s="2853" t="s">
        <v>2727</v>
      </c>
      <c r="D111" s="2827" t="s">
        <v>2728</v>
      </c>
      <c r="E111" s="2853">
        <v>0.1</v>
      </c>
      <c r="F111" s="2853">
        <v>15</v>
      </c>
    </row>
    <row r="112" spans="1:6" ht="24">
      <c r="A112" s="2853">
        <v>40</v>
      </c>
      <c r="B112" s="3571"/>
      <c r="C112" s="2853" t="s">
        <v>2729</v>
      </c>
      <c r="D112" s="2827" t="s">
        <v>2730</v>
      </c>
      <c r="E112" s="2853">
        <v>0.1</v>
      </c>
      <c r="F112" s="2853">
        <v>15</v>
      </c>
    </row>
    <row r="113" spans="1:6" ht="13.5">
      <c r="A113" s="2853">
        <v>41</v>
      </c>
      <c r="B113" s="3569" t="s">
        <v>2731</v>
      </c>
      <c r="C113" s="2853" t="s">
        <v>2732</v>
      </c>
      <c r="D113" s="2827" t="s">
        <v>2733</v>
      </c>
      <c r="E113" s="2853">
        <v>0.1</v>
      </c>
      <c r="F113" s="2853">
        <v>15</v>
      </c>
    </row>
    <row r="114" spans="1:6" ht="13.5">
      <c r="A114" s="2853">
        <v>42</v>
      </c>
      <c r="B114" s="3569"/>
      <c r="C114" s="2853" t="s">
        <v>2734</v>
      </c>
      <c r="D114" s="2827" t="s">
        <v>2735</v>
      </c>
      <c r="E114" s="2853">
        <v>0.1</v>
      </c>
      <c r="F114" s="2853">
        <v>15</v>
      </c>
    </row>
    <row r="115" spans="1:6" ht="24">
      <c r="A115" s="2853">
        <v>43</v>
      </c>
      <c r="B115" s="3569"/>
      <c r="C115" s="2853" t="s">
        <v>2736</v>
      </c>
      <c r="D115" s="2827" t="s">
        <v>2737</v>
      </c>
      <c r="E115" s="2853">
        <v>0.1</v>
      </c>
      <c r="F115" s="2853">
        <v>15</v>
      </c>
    </row>
    <row r="116" spans="1:6" ht="13.5">
      <c r="A116" s="2853">
        <v>44</v>
      </c>
      <c r="B116" s="3570" t="s">
        <v>2738</v>
      </c>
      <c r="C116" s="2853" t="s">
        <v>2739</v>
      </c>
      <c r="D116" s="2827" t="s">
        <v>2740</v>
      </c>
      <c r="E116" s="2853">
        <v>0.1</v>
      </c>
      <c r="F116" s="2853">
        <v>15</v>
      </c>
    </row>
    <row r="117" spans="1:6" ht="24">
      <c r="A117" s="2853">
        <v>45</v>
      </c>
      <c r="B117" s="3571"/>
      <c r="C117" s="2827" t="s">
        <v>2741</v>
      </c>
      <c r="D117" s="2827" t="s">
        <v>2742</v>
      </c>
      <c r="E117" s="2853">
        <v>0.1</v>
      </c>
      <c r="F117" s="2853">
        <v>15</v>
      </c>
    </row>
    <row r="118" spans="1:6" ht="24">
      <c r="A118" s="2853">
        <v>46</v>
      </c>
      <c r="B118" s="3570" t="s">
        <v>2743</v>
      </c>
      <c r="C118" s="2853" t="s">
        <v>2744</v>
      </c>
      <c r="D118" s="2827" t="s">
        <v>2745</v>
      </c>
      <c r="E118" s="2853">
        <v>0.1</v>
      </c>
      <c r="F118" s="2853">
        <v>15</v>
      </c>
    </row>
    <row r="119" spans="1:6" ht="24">
      <c r="A119" s="2853">
        <v>47</v>
      </c>
      <c r="B119" s="3571"/>
      <c r="C119" s="2853" t="s">
        <v>2746</v>
      </c>
      <c r="D119" s="2827" t="s">
        <v>2747</v>
      </c>
      <c r="E119" s="2853">
        <v>0.1</v>
      </c>
      <c r="F119" s="2853">
        <v>15</v>
      </c>
    </row>
    <row r="120" spans="1:6" ht="13.5">
      <c r="A120" s="2853">
        <v>48</v>
      </c>
      <c r="B120" s="3570" t="s">
        <v>2748</v>
      </c>
      <c r="C120" s="2853" t="s">
        <v>2749</v>
      </c>
      <c r="D120" s="2827" t="s">
        <v>2750</v>
      </c>
      <c r="E120" s="2853">
        <v>0.1</v>
      </c>
      <c r="F120" s="2853">
        <v>15</v>
      </c>
    </row>
    <row r="121" spans="1:6" ht="13.5">
      <c r="A121" s="2853">
        <v>49</v>
      </c>
      <c r="B121" s="3571"/>
      <c r="C121" s="2853" t="s">
        <v>2751</v>
      </c>
      <c r="D121" s="2827" t="s">
        <v>2752</v>
      </c>
      <c r="E121" s="2853">
        <v>0.1</v>
      </c>
      <c r="F121" s="2853">
        <v>15</v>
      </c>
    </row>
    <row r="122" spans="1:6" ht="24">
      <c r="A122" s="2853">
        <v>50</v>
      </c>
      <c r="B122" s="3569" t="s">
        <v>2753</v>
      </c>
      <c r="C122" s="2853" t="s">
        <v>2754</v>
      </c>
      <c r="D122" s="2827" t="s">
        <v>2755</v>
      </c>
      <c r="E122" s="2853">
        <v>0.1</v>
      </c>
      <c r="F122" s="2853">
        <v>15</v>
      </c>
    </row>
    <row r="123" spans="1:6" ht="24">
      <c r="A123" s="2853">
        <v>51</v>
      </c>
      <c r="B123" s="3569"/>
      <c r="C123" s="2853" t="s">
        <v>2756</v>
      </c>
      <c r="D123" s="2827" t="s">
        <v>2757</v>
      </c>
      <c r="E123" s="2853">
        <v>0.1</v>
      </c>
      <c r="F123" s="2853">
        <v>15</v>
      </c>
    </row>
    <row r="124" spans="1:6" ht="24">
      <c r="A124" s="2853">
        <v>52</v>
      </c>
      <c r="B124" s="3569" t="s">
        <v>2758</v>
      </c>
      <c r="C124" s="2853" t="s">
        <v>2759</v>
      </c>
      <c r="D124" s="2827" t="s">
        <v>2760</v>
      </c>
      <c r="E124" s="2853">
        <v>0.1</v>
      </c>
      <c r="F124" s="2853">
        <v>15</v>
      </c>
    </row>
    <row r="125" spans="1:6" ht="24">
      <c r="A125" s="2853">
        <v>53</v>
      </c>
      <c r="B125" s="3569"/>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69" t="s">
        <v>2766</v>
      </c>
      <c r="C127" s="2853" t="s">
        <v>2767</v>
      </c>
      <c r="D127" s="2827" t="s">
        <v>2768</v>
      </c>
      <c r="E127" s="2853">
        <v>0.1</v>
      </c>
      <c r="F127" s="2853">
        <v>15</v>
      </c>
    </row>
    <row r="128" spans="1:6" ht="13.5">
      <c r="A128" s="2853">
        <v>56</v>
      </c>
      <c r="B128" s="3569"/>
      <c r="C128" s="2853" t="s">
        <v>2769</v>
      </c>
      <c r="D128" s="2827" t="s">
        <v>2770</v>
      </c>
      <c r="E128" s="2853">
        <v>0.1</v>
      </c>
      <c r="F128" s="2853">
        <v>15</v>
      </c>
    </row>
    <row r="129" spans="1:6" ht="24">
      <c r="A129" s="2853">
        <v>57</v>
      </c>
      <c r="B129" s="3569"/>
      <c r="C129" s="2853" t="s">
        <v>2771</v>
      </c>
      <c r="D129" s="2827" t="s">
        <v>2772</v>
      </c>
      <c r="E129" s="2853">
        <v>0.1</v>
      </c>
      <c r="F129" s="2853">
        <v>15</v>
      </c>
    </row>
    <row r="130" spans="1:6" ht="24">
      <c r="A130" s="2853">
        <v>58</v>
      </c>
      <c r="B130" s="3569" t="s">
        <v>2773</v>
      </c>
      <c r="C130" s="2853" t="s">
        <v>2774</v>
      </c>
      <c r="D130" s="2827" t="s">
        <v>2775</v>
      </c>
      <c r="E130" s="2853">
        <v>0.1</v>
      </c>
      <c r="F130" s="2853">
        <v>15</v>
      </c>
    </row>
    <row r="131" spans="1:6" ht="13.5">
      <c r="A131" s="2853">
        <v>59</v>
      </c>
      <c r="B131" s="3569"/>
      <c r="C131" s="2853" t="s">
        <v>2776</v>
      </c>
      <c r="D131" s="2827" t="s">
        <v>2777</v>
      </c>
      <c r="E131" s="2853">
        <v>0.1</v>
      </c>
      <c r="F131" s="2853">
        <v>15</v>
      </c>
    </row>
    <row r="132" spans="1:6" ht="13.5">
      <c r="A132" s="2853">
        <v>60</v>
      </c>
      <c r="B132" s="3570" t="s">
        <v>2778</v>
      </c>
      <c r="C132" s="2853" t="s">
        <v>2779</v>
      </c>
      <c r="D132" s="2827" t="s">
        <v>2780</v>
      </c>
      <c r="E132" s="2853">
        <v>0.1</v>
      </c>
      <c r="F132" s="2853">
        <v>15</v>
      </c>
    </row>
    <row r="133" spans="1:6" ht="13.5">
      <c r="A133" s="2853">
        <v>61</v>
      </c>
      <c r="B133" s="3571"/>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69" t="s">
        <v>2786</v>
      </c>
      <c r="C135" s="2853" t="s">
        <v>2787</v>
      </c>
      <c r="D135" s="2827" t="s">
        <v>2788</v>
      </c>
      <c r="E135" s="2853">
        <v>0.1</v>
      </c>
      <c r="F135" s="2853">
        <v>15</v>
      </c>
    </row>
    <row r="136" spans="1:6" ht="13.5">
      <c r="A136" s="2853">
        <v>64</v>
      </c>
      <c r="B136" s="3569"/>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1.0082</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0.95489999999999997</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v>
      </c>
      <c r="B3" s="3266"/>
      <c r="C3" s="3266"/>
      <c r="D3" s="3266"/>
      <c r="E3" s="3266"/>
    </row>
    <row r="4" spans="1:5" ht="19.5" thickBot="1">
      <c r="A4" s="1390"/>
      <c r="B4" s="3264" t="s">
        <v>917</v>
      </c>
      <c r="C4" s="3264"/>
      <c r="D4" s="3264"/>
      <c r="E4" s="1390"/>
    </row>
    <row r="5" spans="1:5" ht="16.5" thickTop="1">
      <c r="B5" s="3262" t="s">
        <v>909</v>
      </c>
      <c r="C5" s="1391" t="s">
        <v>910</v>
      </c>
      <c r="D5" s="797" t="e">
        <f ca="1">结果表!H101</f>
        <v>#REF!</v>
      </c>
    </row>
    <row r="6" spans="1:5" ht="15.75">
      <c r="B6" s="3262"/>
      <c r="C6" s="1391" t="s">
        <v>911</v>
      </c>
      <c r="D6" s="797" t="e">
        <f ca="1">NUMBERSTRING(INT(D5*10000),2)&amp;"元整"</f>
        <v>#REF!</v>
      </c>
    </row>
    <row r="7" spans="1:5" ht="15.75">
      <c r="B7" s="3267"/>
      <c r="C7" s="1392" t="s">
        <v>912</v>
      </c>
      <c r="D7" s="798" t="e">
        <f ca="1">结果表!H102</f>
        <v>#REF!</v>
      </c>
    </row>
    <row r="8" spans="1:5" ht="15.75">
      <c r="B8" s="3268" t="str">
        <f>结果表!E103</f>
        <v>2.估价师知悉的法定优先受偿款</v>
      </c>
      <c r="C8" s="1393" t="s">
        <v>913</v>
      </c>
      <c r="D8" s="798">
        <f>结果表!H103</f>
        <v>0</v>
      </c>
    </row>
    <row r="9" spans="1:5" ht="15.75">
      <c r="B9" s="327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61" t="str">
        <f>结果表!E107</f>
        <v>3.房地产抵押价值</v>
      </c>
      <c r="C13" s="1396" t="s">
        <v>910</v>
      </c>
      <c r="D13" s="800" t="e">
        <f ca="1">结果表!H107</f>
        <v>#REF!</v>
      </c>
    </row>
    <row r="14" spans="1:5" ht="15.75">
      <c r="B14" s="3262"/>
      <c r="C14" s="1391" t="s">
        <v>911</v>
      </c>
      <c r="D14" s="797" t="e">
        <f ca="1">NUMBERSTRING(INT(D13*10000),2)&amp;"元整"</f>
        <v>#REF!</v>
      </c>
    </row>
    <row r="15" spans="1:5" ht="15">
      <c r="B15" s="3267"/>
      <c r="C15" s="1392" t="s">
        <v>921</v>
      </c>
      <c r="D15" s="806" t="e">
        <f ca="1">结果表!H108</f>
        <v>#REF!</v>
      </c>
    </row>
    <row r="16" spans="1:5" ht="15">
      <c r="B16" s="3268" t="str">
        <f>结果表!E109</f>
        <v>——</v>
      </c>
      <c r="C16" s="1396" t="s">
        <v>922</v>
      </c>
      <c r="D16" s="1397" t="str">
        <f>结果表!H109</f>
        <v>——</v>
      </c>
    </row>
    <row r="17" spans="1:5" ht="15.75">
      <c r="B17" s="3269"/>
      <c r="C17" s="1391" t="s">
        <v>923</v>
      </c>
      <c r="D17" s="797" t="e">
        <f>NUMBERSTRING(INT(D16*10000),2)&amp;"元整"</f>
        <v>#VALUE!</v>
      </c>
    </row>
    <row r="18" spans="1:5" ht="15">
      <c r="B18" s="3270"/>
      <c r="C18" s="1392" t="s">
        <v>912</v>
      </c>
      <c r="D18" s="806" t="str">
        <f>结果表!H110</f>
        <v>——</v>
      </c>
    </row>
    <row r="19" spans="1:5" ht="15.75">
      <c r="B19" s="3261" t="str">
        <f>结果表!E111</f>
        <v>——</v>
      </c>
      <c r="C19" s="1396" t="s">
        <v>910</v>
      </c>
      <c r="D19" s="798" t="str">
        <f>结果表!H111</f>
        <v>——</v>
      </c>
    </row>
    <row r="20" spans="1:5" ht="15.75">
      <c r="B20" s="3262"/>
      <c r="C20" s="1391" t="s">
        <v>923</v>
      </c>
      <c r="D20" s="797" t="e">
        <f>NUMBERSTRING(INT(D19*10000),2)&amp;"元整"</f>
        <v>#VALUE!</v>
      </c>
    </row>
    <row r="21" spans="1:5" ht="15.75" thickBot="1">
      <c r="B21" s="3263"/>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25347</v>
      </c>
      <c r="C2" s="2" t="s">
        <v>106</v>
      </c>
      <c r="D2" s="191"/>
      <c r="E2" s="191"/>
      <c r="F2" s="191"/>
      <c r="G2" s="191"/>
    </row>
    <row r="3" spans="1:7" s="192" customFormat="1" ht="18" customHeight="1" thickBot="1">
      <c r="A3" s="195" t="s">
        <v>58</v>
      </c>
      <c r="B3" s="196">
        <f ca="1">ROUND(B2*10000/'数据-汇总表'!E3,0)</f>
        <v>3668162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69.099999999999994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42" t="s">
        <v>94</v>
      </c>
    </row>
    <row r="43" spans="1:7" ht="13.5" customHeight="1">
      <c r="A43" s="734" t="s">
        <v>347</v>
      </c>
      <c r="B43" s="207" t="s">
        <v>426</v>
      </c>
      <c r="C43" s="230">
        <f ca="1">ROUND(IF('数据-取费表'!B22&lt;=1,C39*F22*'数据-取费表'!B21/2,C39*(POWER((1+F22),'数据-取费表'!B21/2)-1)),0)</f>
        <v>0</v>
      </c>
      <c r="D43" s="230"/>
      <c r="E43" s="230"/>
      <c r="F43" s="231"/>
      <c r="G43" s="3443"/>
    </row>
    <row r="44" spans="1:7" ht="13.5" customHeight="1">
      <c r="A44" s="734" t="s">
        <v>348</v>
      </c>
      <c r="B44" s="207" t="s">
        <v>428</v>
      </c>
      <c r="C44" s="230">
        <f ca="1">ROUND(IF('数据-取费表'!B22&lt;=1,C40*F22*'数据-取费表'!B21/2,C40*(POWER((1+F22),'数据-取费表'!B21/2)-1)),4)</f>
        <v>4.0000000000000002E-4</v>
      </c>
      <c r="D44" s="230"/>
      <c r="E44" s="230"/>
      <c r="F44" s="231"/>
      <c r="G44" s="3444"/>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25347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3" t="s">
        <v>2838</v>
      </c>
      <c r="B1" s="3583"/>
      <c r="C1" s="3583"/>
      <c r="D1" s="3583"/>
      <c r="E1" s="3583"/>
      <c r="F1" s="3583"/>
      <c r="G1" s="3584"/>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1"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2"/>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5" t="s">
        <v>3180</v>
      </c>
      <c r="B1" s="3585"/>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86" t="s">
        <v>3231</v>
      </c>
      <c r="B1" s="3586"/>
      <c r="C1" s="3586"/>
      <c r="D1" s="3586"/>
      <c r="E1" s="3586"/>
      <c r="F1" s="3587"/>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2837</v>
      </c>
      <c r="C1" s="2926"/>
      <c r="D1" s="2926"/>
      <c r="E1" s="2926"/>
      <c r="F1" s="2926"/>
      <c r="G1" s="2926"/>
      <c r="H1" s="2926"/>
      <c r="I1" s="2926"/>
      <c r="J1" s="2892"/>
      <c r="K1" s="2926" t="s">
        <v>454</v>
      </c>
      <c r="L1" s="2926"/>
      <c r="M1" s="2926"/>
      <c r="N1" s="2926"/>
      <c r="O1" s="2926"/>
      <c r="P1" s="2926"/>
      <c r="Q1" s="2892"/>
      <c r="R1" s="3588" t="s">
        <v>456</v>
      </c>
      <c r="S1" s="3589"/>
      <c r="T1" s="3589"/>
      <c r="U1" s="3589"/>
      <c r="V1" s="3589"/>
      <c r="W1" s="3589"/>
      <c r="X1" s="2892"/>
      <c r="Y1" s="3588" t="s">
        <v>457</v>
      </c>
      <c r="Z1" s="3589"/>
      <c r="AA1" s="3589"/>
      <c r="AB1" s="3589"/>
      <c r="AC1" s="3589"/>
      <c r="AD1" s="3589"/>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3368</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3369</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3367</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3370</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3371</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3363</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3354</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2817</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2818</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2819</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2820</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3365</v>
      </c>
    </row>
    <row r="19" spans="1:30">
      <c r="I19" s="1404" t="s">
        <v>2822</v>
      </c>
    </row>
    <row r="21" spans="1:30" s="2005" customFormat="1" ht="12.75">
      <c r="B21" s="2925" t="s">
        <v>2823</v>
      </c>
      <c r="C21" s="2926"/>
      <c r="D21" s="2926"/>
      <c r="E21" s="2926"/>
      <c r="F21" s="2926"/>
      <c r="G21" s="2926"/>
      <c r="H21" s="2926"/>
      <c r="I21" s="2926"/>
      <c r="J21" s="2892"/>
      <c r="K21" s="2926" t="s">
        <v>2824</v>
      </c>
      <c r="L21" s="2926"/>
      <c r="M21" s="2926"/>
      <c r="N21" s="2926"/>
      <c r="O21" s="2926"/>
      <c r="P21" s="2926"/>
      <c r="Q21" s="2892"/>
      <c r="R21" s="3588" t="s">
        <v>2825</v>
      </c>
      <c r="S21" s="3589"/>
      <c r="T21" s="3589"/>
      <c r="U21" s="3589"/>
      <c r="V21" s="3589"/>
      <c r="W21" s="3589"/>
      <c r="X21" s="2892"/>
      <c r="Y21" s="3588" t="s">
        <v>2826</v>
      </c>
      <c r="Z21" s="3589"/>
      <c r="AA21" s="3589"/>
      <c r="AB21" s="3589"/>
      <c r="AC21" s="3589"/>
      <c r="AD21" s="3589"/>
    </row>
    <row r="22" spans="1:30" s="2006" customFormat="1" ht="14.25" thickBot="1">
      <c r="B22" s="2877"/>
      <c r="C22" s="2878"/>
      <c r="D22" s="2007" t="s">
        <v>2827</v>
      </c>
      <c r="E22" s="2008" t="s">
        <v>2828</v>
      </c>
      <c r="F22" s="2008" t="s">
        <v>2829</v>
      </c>
      <c r="G22" s="2008" t="s">
        <v>2830</v>
      </c>
      <c r="H22" s="2008"/>
      <c r="I22" s="2008" t="s">
        <v>2831</v>
      </c>
      <c r="J22" s="2879"/>
      <c r="K22" s="2007" t="s">
        <v>2827</v>
      </c>
      <c r="L22" s="2008" t="s">
        <v>2828</v>
      </c>
      <c r="M22" s="2008" t="s">
        <v>2829</v>
      </c>
      <c r="N22" s="2008" t="s">
        <v>2830</v>
      </c>
      <c r="O22" s="2008"/>
      <c r="P22" s="2008" t="s">
        <v>2831</v>
      </c>
      <c r="Q22" s="2879"/>
      <c r="R22" s="2007" t="s">
        <v>2827</v>
      </c>
      <c r="S22" s="2008" t="s">
        <v>2828</v>
      </c>
      <c r="T22" s="2008" t="s">
        <v>2829</v>
      </c>
      <c r="U22" s="2008" t="s">
        <v>2830</v>
      </c>
      <c r="V22" s="2008"/>
      <c r="W22" s="2008" t="s">
        <v>2831</v>
      </c>
      <c r="X22" s="2879"/>
      <c r="Y22" s="2007" t="s">
        <v>2827</v>
      </c>
      <c r="Z22" s="2008" t="s">
        <v>2828</v>
      </c>
      <c r="AA22" s="2008" t="s">
        <v>2829</v>
      </c>
      <c r="AB22" s="2008" t="s">
        <v>2830</v>
      </c>
      <c r="AC22" s="2008"/>
      <c r="AD22" s="2008" t="s">
        <v>2831</v>
      </c>
    </row>
    <row r="23" spans="1:30" s="2882" customFormat="1" ht="12.75">
      <c r="A23" s="2880" t="s">
        <v>2832</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3368</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3369</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3367</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3370</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3371</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3364</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3354</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2833</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2834</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2835</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2836</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2821</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93" t="s">
        <v>452</v>
      </c>
      <c r="C1" s="3593"/>
      <c r="D1" s="3593"/>
      <c r="E1" s="3593"/>
      <c r="F1" s="3593"/>
      <c r="G1" s="3589" t="s">
        <v>453</v>
      </c>
      <c r="H1" s="3589"/>
      <c r="I1" s="3589"/>
      <c r="J1" s="3589"/>
      <c r="K1" s="3589"/>
      <c r="L1" s="3589"/>
      <c r="N1" s="3589" t="s">
        <v>454</v>
      </c>
      <c r="O1" s="3589"/>
      <c r="P1" s="3589"/>
      <c r="Q1" s="3589"/>
      <c r="S1" s="3589" t="s">
        <v>455</v>
      </c>
      <c r="T1" s="3589"/>
      <c r="U1" s="3589"/>
      <c r="V1" s="3589"/>
      <c r="X1" s="3588" t="s">
        <v>456</v>
      </c>
      <c r="Y1" s="3589"/>
      <c r="Z1" s="3589"/>
      <c r="AA1" s="3589"/>
      <c r="AB1" s="3589"/>
      <c r="AD1" s="3588" t="s">
        <v>457</v>
      </c>
      <c r="AE1" s="3589"/>
      <c r="AF1" s="3589"/>
      <c r="AG1" s="3589"/>
      <c r="AH1" s="3589"/>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3362</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3359</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3360</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3361</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2433</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2310</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2309</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2308</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2306</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2305</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2126</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2124</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2123</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2122</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2120</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2119</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2121</v>
      </c>
      <c r="B21" s="2045">
        <f t="shared" si="0"/>
        <v>464.37293017158942</v>
      </c>
      <c r="C21" s="2045">
        <f t="shared" si="1"/>
        <v>344.73679941385956</v>
      </c>
      <c r="D21" s="2045">
        <f t="shared" si="2"/>
        <v>344.73679941385956</v>
      </c>
      <c r="E21" s="2045">
        <f t="shared" si="3"/>
        <v>663.2377795103107</v>
      </c>
      <c r="F21" s="2046">
        <f t="shared" si="4"/>
        <v>304.75936311478398</v>
      </c>
      <c r="G21" s="3591">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2117</v>
      </c>
      <c r="B22" s="2037">
        <f t="shared" si="0"/>
        <v>459.95733971036987</v>
      </c>
      <c r="C22" s="2037">
        <f t="shared" si="1"/>
        <v>341.22221064422405</v>
      </c>
      <c r="D22" s="2037">
        <f t="shared" si="2"/>
        <v>341.22221064422405</v>
      </c>
      <c r="E22" s="2037">
        <f t="shared" si="3"/>
        <v>657.19161663724799</v>
      </c>
      <c r="F22" s="2037">
        <f t="shared" si="4"/>
        <v>300.87803644464805</v>
      </c>
      <c r="G22" s="3591"/>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2116</v>
      </c>
      <c r="B23" s="2037">
        <f t="shared" si="0"/>
        <v>453.11529869999993</v>
      </c>
      <c r="C23" s="2037">
        <f t="shared" si="1"/>
        <v>336.47787264000004</v>
      </c>
      <c r="D23" s="2037">
        <f t="shared" si="2"/>
        <v>336.47787264000004</v>
      </c>
      <c r="E23" s="2037">
        <f t="shared" si="3"/>
        <v>647.35186823999993</v>
      </c>
      <c r="F23" s="2037">
        <f t="shared" si="4"/>
        <v>295.73229452000004</v>
      </c>
      <c r="G23" s="3591"/>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2109</v>
      </c>
      <c r="B24" s="2037">
        <f t="shared" si="0"/>
        <v>446.46299999999997</v>
      </c>
      <c r="C24" s="2037">
        <f t="shared" si="1"/>
        <v>333.27840000000003</v>
      </c>
      <c r="D24" s="2037">
        <f t="shared" si="2"/>
        <v>333.27840000000003</v>
      </c>
      <c r="E24" s="2037">
        <f t="shared" si="3"/>
        <v>637.28279999999995</v>
      </c>
      <c r="F24" s="2037">
        <f t="shared" si="4"/>
        <v>288.68830000000003</v>
      </c>
      <c r="G24" s="3598"/>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2107</v>
      </c>
      <c r="B25" s="2045">
        <v>439</v>
      </c>
      <c r="C25" s="2045">
        <v>327</v>
      </c>
      <c r="D25" s="2045">
        <f t="shared" si="2"/>
        <v>327</v>
      </c>
      <c r="E25" s="2045">
        <v>627</v>
      </c>
      <c r="F25" s="2046">
        <v>283</v>
      </c>
      <c r="G25" s="3594">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2108</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91"/>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91"/>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598"/>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94">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91"/>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91"/>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92"/>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90">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91"/>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91"/>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92"/>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90">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91"/>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91"/>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92"/>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95">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96"/>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96"/>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97"/>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90">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91"/>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91"/>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92"/>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90">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91">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91">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92">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90">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91">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91">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92">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90">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91">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91">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92">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90">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91">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91">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92">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90">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91">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91">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92">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90">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91">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91">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92">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90">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91">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91">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92">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90">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91">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91">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92">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90">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91">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91">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92">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90">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91">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91">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92">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2307</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928</v>
      </c>
      <c r="B2" s="3279" t="s">
        <v>929</v>
      </c>
      <c r="C2" s="3279" t="s">
        <v>930</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4"/>
      <c r="B3" s="3274"/>
      <c r="C3" s="3274"/>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4" t="s">
        <v>927</v>
      </c>
      <c r="B5" s="3274"/>
      <c r="C5" s="3274"/>
      <c r="D5" s="3274" t="e">
        <f ca="1">结果表!D119</f>
        <v>#REF!</v>
      </c>
      <c r="E5" s="3274"/>
      <c r="F5" s="3274" t="e">
        <f ca="1">结果表!F119</f>
        <v>#REF!</v>
      </c>
      <c r="G5" s="3274"/>
      <c r="H5" s="3274" t="e">
        <f ca="1">结果表!H119</f>
        <v>#REF!</v>
      </c>
      <c r="I5" s="3274"/>
    </row>
    <row r="6" spans="1:9" ht="15.75">
      <c r="A6" s="3273" t="str">
        <f>结果表!A120</f>
        <v>估价师知悉的法定优先受偿款</v>
      </c>
      <c r="B6" s="3273"/>
      <c r="C6" s="3273"/>
      <c r="D6" s="3273">
        <f>结果表!D120</f>
        <v>0</v>
      </c>
      <c r="E6" s="3273"/>
      <c r="F6" s="3273"/>
      <c r="G6" s="3273"/>
      <c r="H6" s="3273"/>
      <c r="I6" s="3273"/>
    </row>
    <row r="7" spans="1:9" ht="15">
      <c r="A7" s="3274" t="s">
        <v>927</v>
      </c>
      <c r="B7" s="3274"/>
      <c r="C7" s="3274"/>
      <c r="D7" s="3275" t="str">
        <f>结果表!D121</f>
        <v>零元整</v>
      </c>
      <c r="E7" s="3276"/>
      <c r="F7" s="3276"/>
      <c r="G7" s="3276"/>
      <c r="H7" s="3276"/>
      <c r="I7" s="3277"/>
    </row>
    <row r="8" spans="1:9" ht="15.75">
      <c r="A8" s="3273" t="str">
        <f>结果表!A122</f>
        <v>房地产抵押价值</v>
      </c>
      <c r="B8" s="3273"/>
      <c r="C8" s="3273"/>
      <c r="D8" s="3273" t="e">
        <f ca="1">结果表!D122</f>
        <v>#REF!</v>
      </c>
      <c r="E8" s="3273"/>
      <c r="F8" s="3273"/>
      <c r="G8" s="3273"/>
      <c r="H8" s="3273"/>
      <c r="I8" s="3273"/>
    </row>
    <row r="9" spans="1:9" ht="15">
      <c r="A9" s="3274" t="s">
        <v>927</v>
      </c>
      <c r="B9" s="3274"/>
      <c r="C9" s="3274"/>
      <c r="D9" s="3274" t="e">
        <f ca="1">结果表!D123</f>
        <v>#REF!</v>
      </c>
      <c r="E9" s="3274"/>
      <c r="F9" s="3274"/>
      <c r="G9" s="3274"/>
      <c r="H9" s="3274"/>
      <c r="I9" s="3274"/>
    </row>
    <row r="10" spans="1:9" ht="15.75">
      <c r="A10" s="3273" t="str">
        <f>结果表!A124</f>
        <v/>
      </c>
      <c r="B10" s="3273"/>
      <c r="C10" s="3273"/>
      <c r="D10" s="3273" t="str">
        <f>结果表!D124</f>
        <v>——</v>
      </c>
      <c r="E10" s="3273"/>
      <c r="F10" s="3273"/>
      <c r="G10" s="3273"/>
      <c r="H10" s="3273"/>
      <c r="I10" s="3273"/>
    </row>
    <row r="11" spans="1:9" ht="15">
      <c r="A11" s="3274" t="s">
        <v>927</v>
      </c>
      <c r="B11" s="3274"/>
      <c r="C11" s="3274"/>
      <c r="D11" s="3274" t="e">
        <f>结果表!D125</f>
        <v>#VALUE!</v>
      </c>
      <c r="E11" s="3274"/>
      <c r="F11" s="3274"/>
      <c r="G11" s="3274"/>
      <c r="H11" s="3274"/>
      <c r="I11" s="3274"/>
    </row>
    <row r="12" spans="1:9" ht="15.75">
      <c r="A12" s="3273" t="str">
        <f>结果表!A126</f>
        <v/>
      </c>
      <c r="B12" s="3273"/>
      <c r="C12" s="3273"/>
      <c r="D12" s="3273" t="str">
        <f>结果表!D126</f>
        <v>——</v>
      </c>
      <c r="E12" s="3273"/>
      <c r="F12" s="3273"/>
      <c r="G12" s="3273"/>
      <c r="H12" s="3273"/>
      <c r="I12" s="3273"/>
    </row>
    <row r="13" spans="1:9" ht="15.75" thickBot="1">
      <c r="A13" s="3271" t="s">
        <v>927</v>
      </c>
      <c r="B13" s="3271"/>
      <c r="C13" s="3271"/>
      <c r="D13" s="3271" t="e">
        <f>结果表!D127</f>
        <v>#VALUE!</v>
      </c>
      <c r="E13" s="3271"/>
      <c r="F13" s="3271"/>
      <c r="G13" s="3271"/>
      <c r="H13" s="3271"/>
      <c r="I13" s="3271"/>
    </row>
    <row r="14" spans="1:9" ht="15" thickTop="1">
      <c r="A14" s="3272" t="s">
        <v>932</v>
      </c>
      <c r="B14" s="3272"/>
      <c r="C14" s="3272"/>
      <c r="D14" s="3272"/>
      <c r="E14" s="3272"/>
      <c r="F14" s="3272"/>
      <c r="G14" s="3272"/>
      <c r="H14" s="3272"/>
      <c r="I14" s="327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6" t="s">
        <v>949</v>
      </c>
      <c r="B1" s="3286"/>
      <c r="C1" s="3286"/>
      <c r="D1" s="3286"/>
    </row>
    <row r="2" spans="1:4" ht="18">
      <c r="A2" s="3287" t="s">
        <v>933</v>
      </c>
      <c r="B2" s="3287"/>
      <c r="C2" s="3287"/>
      <c r="D2" s="328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87" t="s">
        <v>939</v>
      </c>
      <c r="B6" s="3287"/>
      <c r="C6" s="3287"/>
      <c r="D6" s="328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88" t="s">
        <v>942</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5"/>
      <c r="C12" s="3285"/>
      <c r="D12" s="3285"/>
    </row>
    <row r="13" spans="1:4" ht="30" customHeight="1">
      <c r="A13" s="3280" t="str">
        <f>IF(项目基本情况!B8="抵押","3.抵押双方在办理抵押登记手续时，应使用本公司出具的正式《房地产评估报告》，特提醒报告使用者注意。","——")</f>
        <v>——</v>
      </c>
      <c r="B13" s="3285"/>
      <c r="C13" s="3285"/>
      <c r="D13" s="3285"/>
    </row>
    <row r="14" spans="1:4" ht="15.75" customHeight="1">
      <c r="A14" s="3280" t="str">
        <f>IF(项目基本情况!B8="抵押","4.本次评估估价师所知悉的法定优先受偿款情况说明如下：","——")</f>
        <v>——</v>
      </c>
      <c r="B14" s="3285"/>
      <c r="C14" s="3285"/>
      <c r="D14" s="3285"/>
    </row>
    <row r="15" spans="1:4" ht="42" customHeight="1">
      <c r="A15" s="3280" t="str">
        <f>IF(项目基本情况!B8="抵押","（1）"&amp;CONCATENATE(项目基本情况!L20,项目基本情况!L21,项目基本情况!L22),"——")</f>
        <v>——</v>
      </c>
      <c r="B15" s="3280"/>
      <c r="C15" s="3280"/>
      <c r="D15" s="3280"/>
    </row>
    <row r="16" spans="1:4" ht="30" customHeight="1">
      <c r="A16" s="3282" t="s">
        <v>943</v>
      </c>
      <c r="B16" s="3282"/>
      <c r="C16" s="3282"/>
      <c r="D16" s="3282"/>
    </row>
    <row r="17" spans="1:4" ht="144" customHeight="1">
      <c r="A17" s="3282" t="s">
        <v>944</v>
      </c>
      <c r="B17" s="3282"/>
      <c r="C17" s="3282"/>
      <c r="D17" s="3282"/>
    </row>
    <row r="18" spans="1:4" ht="15.75" customHeight="1">
      <c r="A18" s="3280" t="str">
        <f>IF(项目基本情况!B8="抵押",结果表!K120,"——")</f>
        <v>——</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945</v>
      </c>
      <c r="B22" s="3284"/>
      <c r="C22" s="3284"/>
      <c r="D22" s="328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4" t="s">
        <v>956</v>
      </c>
      <c r="B15" s="3289" t="s">
        <v>109</v>
      </c>
      <c r="C15" s="3290"/>
    </row>
    <row r="16" spans="1:7" ht="13.5">
      <c r="A16" s="3295"/>
      <c r="B16" s="3289" t="s">
        <v>42</v>
      </c>
      <c r="C16" s="3290"/>
    </row>
    <row r="17" spans="1:3" ht="13.5">
      <c r="A17" s="3295"/>
      <c r="B17" s="3292" t="s">
        <v>957</v>
      </c>
      <c r="C17" s="1428" t="s">
        <v>956</v>
      </c>
    </row>
    <row r="18" spans="1:3" ht="13.5">
      <c r="A18" s="3295"/>
      <c r="B18" s="3292"/>
      <c r="C18" s="1428" t="s">
        <v>958</v>
      </c>
    </row>
    <row r="19" spans="1:3" ht="13.5">
      <c r="A19" s="3295"/>
      <c r="B19" s="3292"/>
      <c r="C19" s="1428" t="s">
        <v>959</v>
      </c>
    </row>
    <row r="20" spans="1:3" ht="13.5">
      <c r="A20" s="3296"/>
      <c r="B20" s="3291" t="s">
        <v>960</v>
      </c>
      <c r="C20" s="3290"/>
    </row>
    <row r="21" spans="1:3" ht="13.5">
      <c r="A21" s="1429" t="s">
        <v>961</v>
      </c>
      <c r="B21" s="1430"/>
      <c r="C21" s="1431"/>
    </row>
    <row r="22" spans="1:3" ht="13.5">
      <c r="A22" s="3293" t="s">
        <v>962</v>
      </c>
      <c r="B22" s="3291" t="s">
        <v>963</v>
      </c>
      <c r="C22" s="3290"/>
    </row>
    <row r="23" spans="1:3" ht="13.5">
      <c r="A23" s="3293"/>
      <c r="B23" s="3291" t="s">
        <v>964</v>
      </c>
      <c r="C23" s="3290"/>
    </row>
    <row r="24" spans="1:3" ht="13.5">
      <c r="A24" s="3293"/>
      <c r="B24" s="3291" t="s">
        <v>965</v>
      </c>
      <c r="C24" s="3290"/>
    </row>
    <row r="25" spans="1:3" ht="13.5">
      <c r="A25" s="3293"/>
      <c r="B25" s="3292" t="s">
        <v>966</v>
      </c>
      <c r="C25" s="1428" t="s">
        <v>967</v>
      </c>
    </row>
    <row r="26" spans="1:3" ht="13.5">
      <c r="A26" s="3293"/>
      <c r="B26" s="3292"/>
      <c r="C26" s="1428" t="s">
        <v>968</v>
      </c>
    </row>
    <row r="27" spans="1:3" ht="13.5">
      <c r="A27" s="3293"/>
      <c r="B27" s="3292"/>
      <c r="C27" s="1428" t="s">
        <v>969</v>
      </c>
    </row>
    <row r="28" spans="1:3" ht="13.5">
      <c r="A28" s="3293"/>
      <c r="B28" s="3292"/>
      <c r="C28" s="1428" t="s">
        <v>970</v>
      </c>
    </row>
    <row r="29" spans="1:3" ht="13.5">
      <c r="A29" s="3293"/>
      <c r="B29" s="3292"/>
      <c r="C29" s="1428" t="s">
        <v>971</v>
      </c>
    </row>
    <row r="30" spans="1:3" ht="13.5">
      <c r="A30" s="3293"/>
      <c r="B30" s="3292"/>
      <c r="C30" s="1428" t="s">
        <v>972</v>
      </c>
    </row>
    <row r="31" spans="1:3" ht="13.5">
      <c r="A31" s="3293"/>
      <c r="B31" s="3292"/>
      <c r="C31" s="1428" t="s">
        <v>973</v>
      </c>
    </row>
    <row r="32" spans="1:3" ht="13.5">
      <c r="A32" s="3293"/>
      <c r="B32" s="3292"/>
      <c r="C32" s="1428" t="s">
        <v>974</v>
      </c>
    </row>
    <row r="33" spans="1:3" ht="13.5">
      <c r="A33" s="3293"/>
      <c r="B33" s="329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45302</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f ca="1">IF(C13&lt;B2,"已过期",1120020033)</f>
        <v>1120020033</v>
      </c>
      <c r="C13" s="2158">
        <v>45375</v>
      </c>
      <c r="D13" s="2159" t="str">
        <f t="shared" ca="1" si="0"/>
        <v>刘敬东（注册号：1120020033）</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97" t="s">
        <v>2156</v>
      </c>
      <c r="B17" s="3297"/>
      <c r="C17" s="3297"/>
      <c r="D17" s="3297"/>
      <c r="E17" s="3297"/>
      <c r="F17" s="3297"/>
      <c r="G17" s="3297"/>
      <c r="H17" s="3297"/>
    </row>
    <row r="18" spans="1:8" ht="24" customHeight="1">
      <c r="A18" s="3298" t="s">
        <v>2157</v>
      </c>
      <c r="B18" s="3298"/>
      <c r="C18" s="3298"/>
      <c r="D18" s="2156"/>
      <c r="E18" s="3299" t="s">
        <v>2158</v>
      </c>
      <c r="F18" s="3298"/>
      <c r="G18" s="3298"/>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2024-01-11T05:24:48Z</dcterms:modified>
</cp:coreProperties>
</file>