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D17" i="74" l="1"/>
  <c r="D16" i="74"/>
  <c r="D15" i="74"/>
  <c r="B14" i="74"/>
  <c r="D14" i="74" s="1"/>
  <c r="D33" i="43" l="1"/>
  <c r="G73" i="43"/>
  <c r="G74" i="43"/>
  <c r="G75" i="43"/>
  <c r="G76" i="43"/>
  <c r="G77" i="43"/>
  <c r="G78" i="43"/>
  <c r="G79" i="43"/>
  <c r="G80" i="43"/>
  <c r="G72" i="43"/>
  <c r="E19" i="43"/>
  <c r="Y6" i="1" l="1"/>
  <c r="N6" i="1"/>
  <c r="B59" i="1"/>
  <c r="B21" i="1"/>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F15" i="74"/>
  <c r="F16"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E5" i="6"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32" i="6"/>
  <c r="G1" i="68"/>
  <c r="K1" i="12"/>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1" i="12"/>
  <c r="F52" i="9"/>
  <c r="F30" i="69"/>
  <c r="F48" i="69" s="1"/>
  <c r="F32" i="15"/>
  <c r="F60" i="15" s="1"/>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15"/>
  <c r="M28" i="67"/>
  <c r="D7" i="73"/>
  <c r="F7" i="67"/>
  <c r="B7" i="76"/>
  <c r="E8" i="76"/>
  <c r="D34" i="9"/>
  <c r="F36" i="67"/>
  <c r="L48" i="15"/>
  <c r="E9" i="76"/>
  <c r="D5" i="73"/>
  <c r="E11" i="76"/>
  <c r="F13" i="15"/>
  <c r="F5" i="73"/>
  <c r="C76" i="15"/>
  <c r="F6" i="67"/>
  <c r="M29" i="67"/>
  <c r="L47" i="67"/>
  <c r="M9" i="15"/>
  <c r="M22" i="15"/>
  <c r="AO13" i="1"/>
  <c r="F43" i="67"/>
  <c r="F20" i="31"/>
  <c r="E10" i="76"/>
  <c r="M26" i="15"/>
  <c r="C76" i="67"/>
  <c r="F4" i="73"/>
  <c r="M6" i="15"/>
  <c r="M23" i="67"/>
  <c r="E2" i="68"/>
  <c r="D6" i="73"/>
  <c r="M26" i="67"/>
  <c r="F42" i="15"/>
  <c r="E2" i="69"/>
  <c r="F36" i="15"/>
  <c r="B8" i="76"/>
  <c r="E7" i="76"/>
  <c r="F6" i="15"/>
  <c r="M28" i="15"/>
  <c r="M22" i="67"/>
  <c r="F3" i="73"/>
  <c r="F42" i="67"/>
  <c r="F7" i="73"/>
  <c r="B11" i="76"/>
  <c r="F40" i="67"/>
  <c r="F6" i="73"/>
  <c r="E13" i="76"/>
  <c r="F26" i="15"/>
  <c r="D3" i="73"/>
  <c r="B13" i="76"/>
  <c r="M6" i="67"/>
  <c r="D35" i="9"/>
  <c r="M9" i="67"/>
  <c r="L47" i="15"/>
  <c r="J15" i="15"/>
  <c r="B9" i="76"/>
  <c r="M24" i="15"/>
  <c r="F38" i="67"/>
  <c r="F38" i="15"/>
  <c r="F16" i="67"/>
  <c r="B12" i="76"/>
  <c r="F16" i="15"/>
  <c r="L48" i="67"/>
  <c r="F8" i="67"/>
  <c r="F8" i="15"/>
  <c r="M24" i="67"/>
  <c r="F9" i="15"/>
  <c r="F7" i="15"/>
  <c r="D4" i="73"/>
  <c r="M23" i="15"/>
  <c r="M8" i="67"/>
  <c r="F40" i="15"/>
  <c r="M8" i="15"/>
  <c r="F26" i="67"/>
  <c r="B10" i="76"/>
  <c r="F37" i="67"/>
  <c r="E12" i="76"/>
  <c r="F13" i="67"/>
  <c r="M29" i="15"/>
  <c r="J15" i="67"/>
  <c r="F43" i="15"/>
  <c r="F9" i="67"/>
  <c r="H69" i="43" l="1"/>
  <c r="F28" i="15"/>
  <c r="F32" i="67"/>
  <c r="F60" i="67" s="1"/>
  <c r="F28" i="67"/>
  <c r="C28" i="67" s="1"/>
  <c r="M18" i="15"/>
  <c r="M18" i="67"/>
  <c r="F30" i="11"/>
  <c r="C48" i="11" s="1"/>
  <c r="D93" i="9"/>
  <c r="C40" i="69"/>
  <c r="C21" i="68"/>
  <c r="D19" i="53"/>
  <c r="B38" i="72" s="1"/>
  <c r="D21" i="53"/>
  <c r="B39" i="72" s="1"/>
  <c r="G14" i="3"/>
  <c r="E14" i="3" s="1"/>
  <c r="H5" i="3"/>
  <c r="G5" i="3"/>
  <c r="B3" i="3" s="1"/>
  <c r="E122" i="3" s="1"/>
  <c r="G28" i="6"/>
  <c r="BA13" i="3"/>
  <c r="BA5"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453" i="3"/>
  <c r="E568" i="3"/>
  <c r="E85" i="3"/>
  <c r="E181" i="3"/>
  <c r="E314" i="3"/>
  <c r="E545" i="3"/>
  <c r="E511" i="3"/>
  <c r="AK6" i="3"/>
  <c r="E99" i="3"/>
  <c r="E228" i="3"/>
  <c r="E45" i="3"/>
  <c r="E277" i="3"/>
  <c r="E193" i="3"/>
  <c r="E133" i="3"/>
  <c r="E519" i="3"/>
  <c r="K6" i="3"/>
  <c r="E573" i="3"/>
  <c r="E560" i="3"/>
  <c r="E458" i="3"/>
  <c r="E472" i="3"/>
  <c r="E527" i="3"/>
  <c r="E406" i="3"/>
  <c r="E457" i="3"/>
  <c r="E465" i="3"/>
  <c r="E562" i="3"/>
  <c r="E587" i="3"/>
  <c r="E571" i="3"/>
  <c r="E577" i="3"/>
  <c r="E450" i="3"/>
  <c r="E468" i="3"/>
  <c r="E433" i="3"/>
  <c r="E454" i="3"/>
  <c r="E72" i="3"/>
  <c r="E106" i="3"/>
  <c r="E111" i="3"/>
  <c r="E146" i="3"/>
  <c r="E150" i="3"/>
  <c r="E171" i="3"/>
  <c r="E279" i="3"/>
  <c r="E214" i="3"/>
  <c r="E351" i="3"/>
  <c r="E315" i="3"/>
  <c r="E394" i="3"/>
  <c r="E318" i="3"/>
  <c r="E362" i="3"/>
  <c r="E580" i="3"/>
  <c r="E31" i="3"/>
  <c r="E74" i="3"/>
  <c r="E32" i="3"/>
  <c r="E567" i="3"/>
  <c r="E227" i="3"/>
  <c r="I6" i="3"/>
  <c r="E549" i="3"/>
  <c r="E368" i="3"/>
  <c r="E236" i="3"/>
  <c r="E269" i="3"/>
  <c r="E89" i="3"/>
  <c r="E252" i="3"/>
  <c r="E271" i="3"/>
  <c r="E204" i="3"/>
  <c r="E164" i="3"/>
  <c r="E107" i="3"/>
  <c r="E327" i="3"/>
  <c r="E576" i="3"/>
  <c r="E585" i="3"/>
  <c r="Z6" i="3"/>
  <c r="AG6" i="3"/>
  <c r="E515" i="3"/>
  <c r="AO6" i="3"/>
  <c r="E448" i="3"/>
  <c r="E478" i="3"/>
  <c r="E485" i="3"/>
  <c r="P6" i="3"/>
  <c r="E414" i="3"/>
  <c r="E400" i="3"/>
  <c r="E443" i="3"/>
  <c r="E477" i="3"/>
  <c r="E345" i="3"/>
  <c r="E558" i="3"/>
  <c r="E505" i="3"/>
  <c r="E557" i="3"/>
  <c r="E581" i="3"/>
  <c r="AS6" i="3"/>
  <c r="E531" i="3"/>
  <c r="E444" i="3"/>
  <c r="E476" i="3"/>
  <c r="E489" i="3"/>
  <c r="E404" i="3"/>
  <c r="E447" i="3"/>
  <c r="E28" i="3"/>
  <c r="E88" i="3"/>
  <c r="E27" i="3"/>
  <c r="E70" i="3"/>
  <c r="E121" i="3"/>
  <c r="E162" i="3"/>
  <c r="E182" i="3"/>
  <c r="E166" i="3"/>
  <c r="E186" i="3"/>
  <c r="E211" i="3"/>
  <c r="E295" i="3"/>
  <c r="E210" i="3"/>
  <c r="E273" i="3"/>
  <c r="E316" i="3"/>
  <c r="E331" i="3"/>
  <c r="E377" i="3"/>
  <c r="E334" i="3"/>
  <c r="E384" i="3"/>
  <c r="E572" i="3"/>
  <c r="E30" i="3"/>
  <c r="E44" i="3"/>
  <c r="E10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25" i="3"/>
  <c r="E175" i="3"/>
  <c r="E217" i="3"/>
  <c r="E366" i="3"/>
  <c r="E530" i="3"/>
  <c r="E526" i="3"/>
  <c r="E553" i="3"/>
  <c r="E343" i="3"/>
  <c r="E268" i="3"/>
  <c r="E282" i="3"/>
  <c r="E305" i="3"/>
  <c r="E322" i="3"/>
  <c r="N6" i="3"/>
  <c r="E508" i="3"/>
  <c r="AJ6" i="3"/>
  <c r="E239" i="3"/>
  <c r="E388" i="3"/>
  <c r="E509" i="3"/>
  <c r="E516" i="3"/>
  <c r="E555" i="3"/>
  <c r="E579" i="3"/>
  <c r="E569" i="3"/>
  <c r="E410" i="3"/>
  <c r="E431" i="3"/>
  <c r="E396" i="3"/>
  <c r="E337" i="3"/>
  <c r="E247" i="3"/>
  <c r="E229" i="3"/>
  <c r="E143" i="3"/>
  <c r="E201" i="3"/>
  <c r="E151" i="3"/>
  <c r="E270" i="3"/>
  <c r="E311" i="3"/>
  <c r="E358" i="3"/>
  <c r="E533" i="3"/>
  <c r="E514" i="3"/>
  <c r="E559" i="3"/>
  <c r="AR6" i="3"/>
  <c r="E570" i="3"/>
  <c r="E551" i="3"/>
  <c r="E561" i="3"/>
  <c r="M6" i="3"/>
  <c r="V6" i="3"/>
  <c r="E538" i="3"/>
  <c r="AB6" i="3"/>
  <c r="E407" i="3"/>
  <c r="E439" i="3"/>
  <c r="E387" i="3"/>
  <c r="E320" i="3"/>
  <c r="E380" i="3"/>
  <c r="E335" i="3"/>
  <c r="E294" i="3"/>
  <c r="E231" i="3"/>
  <c r="E215"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6" i="68" s="1"/>
  <c r="G1" i="73"/>
  <c r="C16" i="67"/>
  <c r="C16" i="15"/>
  <c r="C7" i="68" l="1"/>
  <c r="C5" i="68" s="1"/>
  <c r="C30" i="11"/>
  <c r="J7" i="37"/>
  <c r="F7" i="36"/>
  <c r="H7" i="36"/>
  <c r="P6" i="1"/>
  <c r="C13" i="12" s="1"/>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357" i="3"/>
  <c r="E257" i="3"/>
  <c r="E208" i="3"/>
  <c r="E168" i="3"/>
  <c r="E54" i="3"/>
  <c r="E475" i="3"/>
  <c r="E471" i="3"/>
  <c r="E537" i="3"/>
  <c r="W6" i="3"/>
  <c r="E288" i="3"/>
  <c r="E438" i="3"/>
  <c r="E474" i="3"/>
  <c r="E529" i="3"/>
  <c r="E532" i="3"/>
  <c r="E313" i="3"/>
  <c r="E224" i="3"/>
  <c r="E157" i="3"/>
  <c r="E306" i="3"/>
  <c r="E352" i="3"/>
  <c r="E136" i="3"/>
  <c r="E461"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48" i="3"/>
  <c r="E575" i="3"/>
  <c r="E499" i="3"/>
  <c r="R6" i="3"/>
  <c r="E502" i="3"/>
  <c r="E442" i="3"/>
  <c r="E466" i="3"/>
  <c r="E449" i="3"/>
  <c r="E255" i="3"/>
  <c r="AP6" i="3"/>
  <c r="E554" i="3"/>
  <c r="E539" i="3"/>
  <c r="E536" i="3"/>
  <c r="E212" i="3"/>
  <c r="E199" i="3"/>
  <c r="E286" i="3"/>
  <c r="E541" i="3"/>
  <c r="E430" i="3"/>
  <c r="I3" i="6"/>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7" i="3"/>
  <c r="E542" i="3"/>
  <c r="E487" i="3"/>
  <c r="E374"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165" i="3"/>
  <c r="E141" i="3"/>
  <c r="E552" i="3"/>
  <c r="E398" i="3"/>
  <c r="E566"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44" i="3"/>
  <c r="E312" i="3"/>
  <c r="E421" i="3"/>
  <c r="E416" i="3"/>
  <c r="E500"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149" i="3"/>
  <c r="AD6" i="3"/>
  <c r="E464" i="3"/>
  <c r="E459"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274" i="3"/>
  <c r="E256" i="3"/>
  <c r="E203" i="3"/>
  <c r="E73" i="3"/>
  <c r="E55" i="3"/>
  <c r="E496" i="3"/>
  <c r="E429" i="3"/>
  <c r="AE6" i="3"/>
  <c r="E344" i="3"/>
  <c r="E424" i="3"/>
  <c r="E481" i="3"/>
  <c r="E437" i="3"/>
  <c r="Q6" i="3"/>
  <c r="E330" i="3"/>
  <c r="E177" i="3"/>
  <c r="E120" i="3"/>
  <c r="E262" i="3"/>
  <c r="E128" i="3"/>
  <c r="E434" i="3"/>
  <c r="E238" i="3"/>
  <c r="E156" i="3"/>
  <c r="D18" i="53"/>
  <c r="B35" i="72" s="1"/>
  <c r="E59" i="40"/>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C28" i="43" l="1"/>
  <c r="T15" i="43" s="1"/>
  <c r="V1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C42" i="43" l="1"/>
  <c r="E42" i="43" s="1"/>
  <c r="C33" i="43"/>
  <c r="T12" i="43"/>
  <c r="V12" i="43" s="1"/>
  <c r="C38" i="43"/>
  <c r="T3" i="43"/>
  <c r="V3" i="43" s="1"/>
  <c r="C39" i="43"/>
  <c r="G39" i="43" s="1"/>
  <c r="I39" i="43" s="1"/>
  <c r="T9" i="43"/>
  <c r="V9" i="43" s="1"/>
  <c r="C41" i="43"/>
  <c r="T5" i="43"/>
  <c r="V5" i="43" s="1"/>
  <c r="T4" i="43"/>
  <c r="V4" i="43" s="1"/>
  <c r="T14" i="43"/>
  <c r="V14" i="43" s="1"/>
  <c r="T11" i="43"/>
  <c r="V11" i="43" s="1"/>
  <c r="C37" i="43"/>
  <c r="E37" i="43" s="1"/>
  <c r="T6" i="43"/>
  <c r="V6" i="43" s="1"/>
  <c r="T8" i="43"/>
  <c r="V8" i="43" s="1"/>
  <c r="T16" i="43"/>
  <c r="V16" i="43" s="1"/>
  <c r="T13" i="43"/>
  <c r="V13" i="43" s="1"/>
  <c r="C40" i="43"/>
  <c r="E40" i="43" s="1"/>
  <c r="T2" i="43"/>
  <c r="V2" i="43" s="1"/>
  <c r="T10" i="43"/>
  <c r="V10" i="43" s="1"/>
  <c r="T7" i="43"/>
  <c r="V7" i="43"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1" i="43"/>
  <c r="G41" i="43"/>
  <c r="I41" i="43" s="1"/>
  <c r="G37" i="43"/>
  <c r="I37" i="43" s="1"/>
  <c r="G38" i="43"/>
  <c r="I38" i="43" s="1"/>
  <c r="E38" i="43"/>
  <c r="E39" i="43"/>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G42" i="43" l="1"/>
  <c r="I42" i="43" s="1"/>
  <c r="C31" i="43" s="1"/>
  <c r="G40" i="43"/>
  <c r="I40" i="43" s="1"/>
  <c r="C18" i="67"/>
  <c r="C15" i="67"/>
  <c r="H23" i="6"/>
  <c r="R23" i="6" s="1"/>
  <c r="R10" i="1" s="1"/>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39" i="68" l="1"/>
  <c r="C43" i="68" s="1"/>
  <c r="C91" i="9"/>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46" i="68" l="1"/>
  <c r="C45" i="68" s="1"/>
  <c r="C92" i="9"/>
  <c r="C94"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52" i="68" s="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C20" i="9"/>
  <c r="D2" i="21"/>
  <c r="C57" i="68" l="1"/>
  <c r="C56" i="68" s="1"/>
  <c r="C102" i="9"/>
  <c r="C21" i="9"/>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7" i="1"/>
  <c r="AO8" i="1"/>
  <c r="AO12" i="1"/>
  <c r="AO10" i="1"/>
  <c r="AO9" i="1"/>
  <c r="AO11" i="1"/>
  <c r="AO6"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5" i="74"/>
  <c r="D118" i="9"/>
  <c r="D119" i="9" s="1"/>
  <c r="D5" i="52" s="1"/>
  <c r="B49" i="72" s="1"/>
  <c r="H118" i="9"/>
  <c r="H4" i="52" s="1"/>
  <c r="F118" i="9"/>
  <c r="F4" i="52" s="1"/>
  <c r="B51" i="72" s="1"/>
  <c r="F119" i="9" l="1"/>
  <c r="F5" i="52" s="1"/>
  <c r="B53" i="72" s="1"/>
  <c r="D4" i="52"/>
  <c r="B47" i="72" s="1"/>
  <c r="G118" i="9"/>
  <c r="G4" i="52" s="1"/>
  <c r="B52" i="72" s="1"/>
  <c r="I118" i="9"/>
  <c r="H119" i="9"/>
  <c r="H5" i="52" s="1"/>
  <c r="C104" i="9"/>
  <c r="H101" i="9"/>
  <c r="M48" i="9" l="1"/>
  <c r="D5" i="53"/>
  <c r="H107" i="9"/>
  <c r="I4" i="52"/>
  <c r="H102" i="9"/>
  <c r="D7" i="53" s="1"/>
  <c r="B21" i="72" s="1"/>
  <c r="E118" i="9"/>
  <c r="E4" i="52" s="1"/>
  <c r="B48" i="72" s="1"/>
  <c r="C105" i="9"/>
  <c r="D122" i="9" l="1"/>
  <c r="D13" i="53"/>
  <c r="H108" i="9"/>
  <c r="M49" i="9"/>
  <c r="D6" i="53"/>
  <c r="B22" i="72" s="1"/>
  <c r="B20" i="72"/>
  <c r="D55" i="9"/>
  <c r="M53" i="9" s="1"/>
  <c r="D52" i="9"/>
  <c r="C78" i="9"/>
  <c r="C73" i="9" s="1"/>
  <c r="C72" i="9"/>
  <c r="D53" i="9"/>
  <c r="D48" i="9" s="1"/>
  <c r="M52" i="9" s="1"/>
  <c r="C93" i="9"/>
  <c r="C86" i="9" s="1"/>
  <c r="C64" i="9"/>
  <c r="C63" i="9" s="1"/>
  <c r="C67" i="9" s="1"/>
  <c r="C85" i="9"/>
  <c r="C68" i="9" l="1"/>
  <c r="D54" i="9" s="1"/>
  <c r="D59" i="9"/>
  <c r="M55" i="9" s="1"/>
  <c r="L65" i="9"/>
  <c r="M65" i="9" s="1"/>
  <c r="L68" i="9"/>
  <c r="M68" i="9" s="1"/>
  <c r="L66" i="9"/>
  <c r="M66" i="9" s="1"/>
  <c r="L63" i="9"/>
  <c r="M63" i="9" s="1"/>
  <c r="L64" i="9"/>
  <c r="M64" i="9" s="1"/>
  <c r="L67" i="9"/>
  <c r="M67" i="9" s="1"/>
  <c r="C6" i="74"/>
  <c r="D15" i="53"/>
  <c r="B31" i="72" s="1"/>
  <c r="C95" i="9"/>
  <c r="C79" i="9"/>
  <c r="B30" i="72"/>
  <c r="D14" i="53"/>
  <c r="B32" i="72" s="1"/>
  <c r="D8" i="52"/>
  <c r="D123" i="9"/>
  <c r="D9" i="52" s="1"/>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<sst xmlns="http://schemas.openxmlformats.org/spreadsheetml/2006/main" count="7821" uniqueCount="3420">
  <si>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</si>
  <si>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</si>
  <si>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</si>
  <si>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</si>
  <si>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</si>
  <si>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</si>
  <si>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</si>
  <si>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</si>
  <si>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</si>
  <si>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</si>
  <si>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</si>
  <si>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</si>
  <si>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</si>
  <si>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</si>
  <si>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</si>
  <si>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</si>
  <si>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</si>
  <si>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</si>
  <si>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</si>
  <si>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</si>
  <si>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</si>
  <si>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</si>
  <si>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</si>
  <si>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</si>
  <si>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</si>
  <si>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</si>
  <si>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</si>
  <si>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</si>
  <si>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</si>
  <si>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</si>
  <si>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</si>
  <si>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</si>
  <si>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</si>
  <si>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</si>
  <si>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</si>
  <si>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</si>
  <si>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</si>
  <si>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</si>
  <si>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</si>
  <si>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</si>
  <si>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</si>
  <si>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</si>
  <si>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</si>
  <si>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</si>
  <si>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</si>
  <si>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</si>
  <si>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</si>
  <si>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</si>
  <si>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</si>
  <si>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</si>
  <si>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</si>
  <si>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</si>
  <si>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</si>
  <si>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</si>
  <si>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</si>
  <si>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</si>
  <si>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</si>
  <si>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</si>
  <si>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</si>
  <si>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</si>
  <si>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</si>
  <si>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</si>
  <si>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</si>
  <si>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</si>
  <si>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</si>
  <si>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</si>
  <si>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</si>
  <si>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</si>
  <si>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</si>
  <si>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</si>
  <si>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</si>
  <si>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</si>
  <si>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</si>
  <si>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</si>
  <si>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</si>
  <si>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</si>
  <si>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</si>
  <si>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</si>
  <si>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</si>
  <si>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</si>
  <si>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</si>
  <si>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</si>
  <si>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</si>
  <si>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</si>
  <si>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</si>
  <si>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</si>
  <si>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</si>
  <si>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</si>
  <si>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</si>
  <si>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</si>
  <si>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</si>
  <si>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</si>
  <si>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</si>
  <si>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</si>
  <si>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</si>
  <si>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</si>
  <si>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</si>
  <si>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</si>
  <si>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</si>
  <si>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</si>
  <si>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</si>
  <si>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</si>
  <si>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</si>
  <si>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</si>
  <si>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</si>
  <si>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</si>
  <si>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</si>
  <si>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</si>
  <si>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</si>
  <si>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</si>
  <si>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</si>
  <si>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</si>
  <si>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</si>
  <si>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</si>
  <si>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</si>
  <si>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</si>
  <si>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</si>
  <si>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</si>
  <si>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</si>
  <si>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</si>
  <si>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</si>
  <si>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</si>
  <si>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</si>
  <si>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</si>
  <si>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</si>
  <si>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</si>
  <si>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</si>
  <si>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</si>
  <si>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</si>
  <si>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</si>
  <si>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</si>
  <si>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</si>
  <si>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</si>
  <si>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</si>
  <si>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</si>
  <si>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</si>
  <si>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</si>
  <si>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</si>
  <si>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</si>
  <si>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</si>
  <si>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</si>
  <si>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</si>
  <si>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</si>
  <si>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</si>
  <si>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</si>
  <si>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</si>
  <si>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</si>
  <si>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</si>
  <si>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</si>
  <si>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</si>
  <si>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</si>
  <si>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</si>
  <si>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</si>
  <si>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</si>
  <si>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</si>
  <si>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</si>
  <si>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</si>
  <si>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</si>
  <si>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</si>
  <si>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</si>
  <si>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</si>
  <si>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</si>
  <si>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</si>
  <si>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</si>
  <si>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</si>
  <si>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</si>
  <si>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</si>
  <si>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</si>
  <si>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</si>
  <si>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</si>
  <si>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</si>
  <si>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</si>
  <si>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</si>
  <si>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</si>
  <si>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</si>
  <si>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</si>
  <si>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</si>
  <si>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</si>
  <si>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</si>
  <si>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</si>
  <si>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</si>
  <si>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</si>
  <si>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</si>
  <si>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</si>
  <si>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</si>
  <si>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</si>
  <si>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</si>
  <si>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</si>
  <si>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</si>
  <si>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</si>
  <si>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</si>
  <si>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</si>
  <si>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</si>
  <si>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</si>
  <si>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</si>
  <si>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</si>
  <si>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</si>
  <si>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</si>
  <si>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</si>
  <si>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</si>
  <si>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</si>
  <si>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</si>
  <si>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</si>
  <si>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</si>
  <si>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</si>
  <si>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</si>
  <si>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</si>
  <si>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</si>
  <si>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</si>
  <si>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</si>
  <si>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</si>
  <si>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</si>
  <si>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</si>
  <si>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</si>
  <si>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</si>
  <si>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</si>
  <si>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</si>
  <si>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</si>
  <si>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</si>
  <si>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</si>
  <si>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</si>
  <si>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</si>
  <si>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</si>
  <si>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</si>
  <si>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</si>
  <si>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</si>
  <si>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</si>
  <si>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</si>
  <si>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</si>
  <si>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</si>
  <si>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</si>
  <si>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</si>
  <si>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</si>
  <si>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</si>
  <si>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</si>
  <si>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</si>
  <si>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</si>
  <si>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</si>
  <si>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</si>
  <si>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</si>
  <si>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</si>
  <si>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</si>
  <si>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</si>
  <si>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</si>
  <si>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</si>
  <si>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</si>
  <si>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</si>
  <si>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</si>
  <si>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</si>
  <si>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</si>
  <si>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</si>
  <si>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</si>
  <si>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</si>
  <si>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</si>
  <si>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</si>
  <si>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</si>
  <si>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</si>
  <si>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</si>
  <si>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</si>
  <si>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</si>
  <si>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</si>
  <si>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</si>
  <si>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</si>
  <si>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</si>
  <si>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</si>
  <si>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</si>
  <si>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</si>
  <si>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</si>
  <si>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</si>
  <si>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</si>
  <si>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</si>
  <si>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</si>
  <si>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</si>
  <si>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</si>
  <si>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</si>
  <si>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</si>
  <si>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</si>
  <si>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</si>
  <si>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</si>
  <si>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</si>
  <si>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</si>
  <si>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</si>
  <si>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</si>
  <si>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</si>
  <si>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</si>
  <si>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</si>
  <si>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</si>
  <si>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</si>
  <si>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</si>
  <si>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</si>
  <si>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</si>
  <si>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</si>
  <si>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</si>
  <si>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</si>
  <si>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</si>
  <si>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</si>
  <si>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</si>
  <si>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</si>
  <si>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</si>
  <si>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</si>
  <si>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</si>
  <si>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</si>
  <si>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</si>
  <si>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</si>
  <si>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</si>
  <si>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</si>
  <si>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</si>
  <si>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</si>
  <si>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</si>
  <si>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</si>
  <si>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</si>
  <si>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</si>
  <si>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</si>
  <si>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</si>
  <si>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</si>
  <si>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</si>
  <si>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</si>
  <si>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</si>
  <si>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</si>
  <si>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</si>
  <si>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</si>
  <si>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</si>
  <si>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</si>
  <si>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</si>
  <si>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</si>
  <si>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</si>
  <si>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</si>
  <si>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</si>
  <si>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</si>
  <si>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</si>
  <si>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</si>
  <si>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</si>
  <si>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</si>
  <si>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</si>
  <si>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</si>
  <si>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</si>
  <si>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</si>
  <si>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</si>
  <si>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</si>
  <si>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</si>
  <si>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</si>
  <si>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</si>
  <si>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</si>
  <si>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</si>
  <si>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</si>
  <si>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</si>
  <si>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</si>
  <si>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</si>
  <si>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</si>
  <si>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</si>
  <si>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</si>
  <si>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</si>
  <si>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</si>
  <si>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</si>
  <si>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</si>
  <si>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</si>
  <si>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</si>
  <si>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</si>
  <si>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</si>
  <si>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</si>
  <si>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</si>
  <si>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</si>
  <si>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</si>
  <si>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</si>
  <si>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</si>
  <si>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</si>
  <si>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</si>
  <si>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</si>
  <si>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</si>
  <si>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</si>
  <si>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</si>
  <si>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</si>
  <si>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</si>
  <si>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</si>
  <si>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</si>
  <si>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</si>
  <si>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</si>
  <si>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</si>
  <si>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</si>
  <si>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</si>
  <si>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</si>
  <si>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</si>
  <si>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</si>
  <si>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</si>
  <si>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</si>
  <si>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</si>
  <si>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</si>
  <si>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</si>
  <si>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</si>
  <si>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</si>
  <si>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</si>
  <si>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</si>
  <si>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</si>
  <si>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</si>
  <si>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</si>
  <si>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</si>
  <si>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</si>
  <si>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</si>
  <si>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</si>
  <si>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</si>
  <si>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</si>
  <si>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</si>
  <si>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</si>
  <si>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</si>
  <si>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</si>
  <si>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</si>
  <si>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</si>
  <si>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</si>
  <si>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</si>
  <si>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</si>
  <si>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</si>
  <si>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</si>
  <si>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</si>
  <si>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</si>
  <si>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</si>
  <si>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</si>
  <si>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</si>
  <si>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</si>
  <si>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</si>
  <si>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</si>
  <si>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</si>
  <si>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</si>
  <si>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</si>
  <si>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</si>
  <si>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</si>
  <si>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</si>
  <si>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</si>
  <si>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</si>
  <si>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</si>
  <si>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</si>
  <si>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</si>
  <si>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</si>
  <si>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</si>
  <si>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</si>
  <si>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</si>
  <si>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</si>
  <si>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</si>
  <si>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</si>
  <si>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</si>
  <si>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</si>
  <si>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</si>
  <si>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</si>
  <si>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</si>
  <si>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</si>
  <si>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</si>
  <si>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</si>
  <si>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</si>
  <si>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</si>
  <si>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</si>
  <si>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</si>
  <si>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</si>
  <si>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</si>
  <si>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</si>
  <si>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</si>
  <si>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</si>
  <si>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</si>
  <si>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</si>
  <si>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</si>
  <si>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</si>
  <si>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</si>
  <si>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</si>
  <si>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</si>
  <si>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</si>
  <si>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</si>
  <si>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</si>
  <si>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</si>
  <si>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</si>
  <si>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</si>
  <si>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</si>
  <si>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</si>
  <si>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</si>
  <si>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</si>
  <si>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</si>
  <si>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</si>
  <si>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</si>
  <si>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</si>
  <si>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</si>
  <si>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</si>
  <si>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</si>
  <si>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</si>
  <si>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</si>
  <si>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</si>
  <si>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</si>
  <si>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</si>
  <si>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</si>
  <si>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</si>
  <si>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</si>
  <si>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</si>
  <si>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</si>
  <si>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</si>
  <si>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</si>
  <si>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</si>
  <si>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</si>
  <si>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</si>
  <si>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</si>
  <si>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</si>
  <si>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</si>
  <si>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</si>
  <si>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</si>
  <si>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</si>
  <si>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</si>
  <si>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</si>
  <si>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</si>
  <si>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</si>
  <si>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</si>
  <si>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</si>
  <si>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</si>
  <si>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</si>
  <si>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</si>
  <si>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</si>
  <si>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</si>
  <si>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</si>
  <si>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</si>
  <si>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</si>
  <si>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</si>
  <si>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</si>
  <si>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</si>
  <si>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</si>
  <si>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</si>
  <si>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</si>
  <si>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</si>
  <si>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</si>
  <si>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</si>
  <si>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</si>
  <si>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</si>
  <si>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</si>
  <si>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</si>
  <si>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</si>
  <si>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</si>
  <si>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</si>
  <si>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</si>
  <si>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</si>
  <si>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</si>
  <si>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</si>
  <si>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</si>
  <si>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</si>
  <si>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</si>
  <si>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</si>
  <si>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</si>
  <si>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</si>
  <si>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</si>
  <si>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</si>
  <si>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</si>
  <si>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</si>
  <si>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</si>
  <si>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</si>
  <si>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</si>
  <si>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</si>
  <si>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</si>
  <si>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</si>
  <si>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</si>
  <si>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</si>
  <si>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</si>
  <si>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</si>
  <si>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</si>
  <si>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</si>
  <si>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</si>
  <si>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</si>
  <si>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</si>
  <si>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</si>
  <si>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</si>
  <si>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</si>
  <si>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</si>
  <si>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</si>
  <si>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</si>
  <si>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</si>
  <si>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</si>
  <si>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</si>
  <si>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</si>
  <si>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</si>
  <si>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</si>
  <si>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</si>
  <si>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</si>
  <si>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</si>
  <si>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</si>
  <si>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</si>
  <si>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</si>
  <si>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</si>
  <si>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</si>
  <si>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</si>
  <si>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</si>
  <si>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</si>
  <si>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</si>
  <si>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</si>
  <si>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</si>
  <si>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</si>
  <si>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</si>
  <si>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</si>
  <si>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</si>
  <si>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</si>
  <si>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</si>
  <si>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</si>
  <si>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</si>
  <si>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</si>
  <si>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</si>
  <si>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</si>
  <si>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</si>
  <si>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</si>
  <si>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</si>
  <si>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</si>
  <si>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</si>
  <si>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</si>
  <si>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</si>
  <si>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</si>
  <si>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</si>
  <si>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</si>
  <si>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</si>
  <si>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</si>
  <si>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</si>
  <si>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</si>
  <si>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</si>
  <si>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</si>
  <si>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</si>
  <si>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</si>
  <si>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</si>
  <si>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</si>
  <si>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</si>
  <si>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</si>
  <si>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</si>
  <si>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</si>
  <si>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</si>
  <si>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</si>
  <si>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</si>
  <si>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</si>
  <si>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</si>
  <si>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</si>
  <si>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</si>
  <si>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</si>
  <si>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</si>
  <si>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</si>
  <si>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</si>
  <si>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</si>
  <si>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</si>
  <si>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</si>
  <si>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</si>
  <si>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</si>
  <si>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</si>
  <si>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</si>
  <si>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</si>
  <si>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</si>
  <si>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</si>
  <si>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</si>
  <si>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</si>
  <si>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</si>
  <si>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</si>
  <si>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</si>
  <si>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</si>
  <si>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</si>
  <si>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</si>
  <si>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</si>
  <si>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</si>
  <si>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</si>
  <si>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</si>
  <si>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</si>
  <si>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</si>
  <si>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</si>
  <si>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</si>
  <si>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</si>
  <si>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</si>
  <si>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</si>
  <si>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</si>
  <si>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</si>
  <si>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</si>
  <si>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</si>
  <si>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</si>
  <si>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</si>
  <si>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</si>
  <si>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</si>
  <si>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</si>
  <si>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</si>
  <si>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</si>
  <si>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</si>
  <si>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</si>
  <si>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</si>
  <si>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</si>
  <si>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</si>
  <si>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</si>
  <si>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</si>
  <si>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</si>
  <si>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</si>
  <si>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</si>
  <si>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</si>
  <si>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</si>
  <si>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</si>
  <si>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</si>
  <si>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</si>
  <si>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</si>
  <si>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</si>
  <si>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</si>
  <si>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</si>
  <si>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</si>
  <si>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</si>
  <si>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</si>
  <si>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</si>
  <si>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</si>
  <si>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</si>
  <si>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</si>
  <si>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</si>
  <si>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</si>
  <si>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</si>
  <si>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</si>
  <si>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</si>
  <si>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</si>
  <si>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</si>
  <si>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</si>
  <si>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</si>
  <si>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</si>
  <si>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</si>
  <si>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</si>
  <si>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</si>
  <si>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</si>
  <si>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</si>
  <si>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</si>
  <si>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</si>
  <si>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</si>
  <si>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</si>
  <si>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</si>
  <si>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</si>
  <si>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</si>
  <si>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</si>
  <si>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</si>
  <si>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</si>
  <si>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</si>
  <si>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</si>
  <si>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</si>
  <si>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</si>
  <si>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</si>
  <si>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</si>
  <si>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</si>
  <si>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</si>
  <si>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</si>
  <si>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</si>
  <si>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</si>
  <si>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</si>
  <si>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</si>
  <si>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</si>
  <si>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</si>
  <si>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</si>
  <si>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</si>
  <si>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</si>
  <si>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</si>
  <si>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</si>
  <si>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</si>
  <si>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</si>
  <si>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</si>
  <si>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</si>
  <si>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</si>
  <si>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</si>
  <si>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</si>
  <si>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</si>
  <si>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</si>
  <si>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</si>
  <si>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</si>
  <si>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</si>
  <si>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</si>
  <si>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</si>
  <si>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</si>
  <si>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</si>
  <si>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</si>
  <si>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</si>
  <si>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</si>
  <si>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</si>
  <si>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</si>
  <si>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</si>
  <si>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</si>
  <si>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</si>
  <si>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</si>
  <si>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</si>
  <si>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</si>
  <si>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</si>
  <si>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</si>
  <si>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</si>
  <si>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</si>
  <si>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</si>
  <si>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</si>
  <si>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</si>
  <si>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</si>
  <si>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</si>
  <si>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</si>
  <si>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</si>
  <si>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</si>
  <si>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</si>
  <si>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</si>
  <si>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</si>
  <si>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</si>
  <si>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</si>
  <si>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</si>
  <si>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</si>
  <si>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</si>
  <si>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</si>
  <si>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</si>
  <si>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</si>
  <si>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</si>
  <si>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</si>
  <si>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</si>
  <si>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</si>
  <si>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</si>
  <si>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</si>
  <si>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</si>
  <si>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</si>
  <si>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</si>
  <si>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</si>
  <si>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</si>
  <si>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</si>
  <si>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</si>
  <si>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</si>
  <si>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</si>
  <si>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</si>
  <si>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</si>
  <si>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</si>
  <si>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</si>
  <si>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</si>
  <si>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</si>
  <si>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</si>
  <si>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</si>
  <si>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</si>
  <si>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</si>
  <si>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</si>
  <si>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</si>
  <si>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</si>
  <si>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</si>
  <si>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</si>
  <si>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</si>
  <si>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</si>
  <si>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</si>
  <si>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</si>
  <si>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</si>
  <si>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</si>
  <si>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</si>
  <si>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</si>
  <si>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</si>
  <si>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</si>
  <si>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</si>
  <si>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</si>
  <si>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</si>
  <si>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</si>
  <si>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</si>
  <si>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</si>
  <si>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</si>
  <si>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</si>
  <si>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</si>
  <si>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</si>
  <si>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</si>
  <si>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</si>
  <si>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</si>
  <si>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</si>
  <si>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</si>
  <si>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</si>
  <si>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</si>
  <si>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</si>
  <si>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</si>
  <si>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</si>
  <si>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</si>
  <si>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</si>
  <si>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</si>
  <si>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</si>
  <si>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</si>
  <si>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</si>
  <si>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</si>
  <si>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</si>
  <si>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</si>
  <si>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</si>
  <si>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</si>
  <si>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</si>
  <si>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</si>
  <si>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</si>
  <si>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</si>
  <si>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</si>
  <si>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</si>
  <si>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</si>
  <si>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</si>
  <si>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</si>
  <si>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</si>
  <si>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</si>
  <si>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</si>
  <si>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</si>
  <si>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</si>
  <si>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</si>
  <si>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</si>
  <si>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</si>
  <si>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</si>
  <si>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</si>
  <si>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</si>
  <si>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</si>
  <si>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</si>
  <si>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</si>
  <si>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</si>
  <si>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</si>
  <si>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</si>
  <si>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</si>
  <si>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</si>
  <si>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</si>
  <si>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</si>
  <si>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</si>
  <si>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</si>
  <si>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</si>
  <si>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</si>
  <si>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</si>
  <si>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</si>
  <si>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</si>
  <si>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</si>
  <si>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</si>
  <si>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</si>
  <si>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</si>
  <si>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</si>
  <si>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</si>
  <si>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</si>
  <si>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</si>
  <si>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</si>
  <si>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</si>
  <si>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</si>
  <si>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</si>
  <si>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</si>
  <si>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</si>
  <si>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</si>
  <si>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</si>
  <si>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</si>
  <si>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</si>
  <si>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</si>
  <si>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</si>
  <si>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</si>
  <si>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</si>
  <si>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</si>
  <si>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</si>
  <si>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</si>
  <si>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</si>
  <si>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</si>
  <si>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</si>
  <si>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</si>
  <si>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</si>
  <si>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</si>
  <si>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</si>
  <si>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</si>
  <si>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</si>
  <si>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</si>
  <si>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</si>
  <si>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</si>
  <si>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</si>
  <si>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</si>
  <si>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</si>
  <si>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</si>
  <si>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</si>
  <si>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</si>
  <si>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</si>
  <si>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</si>
  <si>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</si>
  <si>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</si>
  <si>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</si>
  <si>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</si>
  <si>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</si>
  <si>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</si>
  <si>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</si>
  <si>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</si>
  <si>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</si>
  <si>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</si>
  <si>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</si>
  <si>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</si>
  <si>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</si>
  <si>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</si>
  <si>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</si>
  <si>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</si>
  <si>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</si>
  <si>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</si>
  <si>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</si>
  <si>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</si>
  <si>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</si>
  <si>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</si>
  <si>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</si>
  <si>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</si>
  <si>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</si>
  <si>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</si>
  <si>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</si>
  <si>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</si>
  <si>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</si>
  <si>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</si>
  <si>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</si>
  <si>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</si>
  <si>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</si>
  <si>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</si>
  <si>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</si>
  <si>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</si>
  <si>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</si>
  <si>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</si>
  <si>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</si>
  <si>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</si>
  <si>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</si>
  <si>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</si>
  <si>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</si>
  <si>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</si>
  <si>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</si>
  <si>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</si>
  <si>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</si>
  <si>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</si>
  <si>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</si>
  <si>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</si>
  <si>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</si>
  <si>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</si>
  <si>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</si>
  <si>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</si>
  <si>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</si>
  <si>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</si>
  <si>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</si>
  <si>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</si>
  <si>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</si>
  <si>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</si>
  <si>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</si>
  <si>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</si>
  <si>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</si>
  <si>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</si>
  <si>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</si>
  <si>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</si>
  <si>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</si>
  <si>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</si>
  <si>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</si>
  <si>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</si>
  <si>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</si>
  <si>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</si>
  <si>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</si>
  <si>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</si>
  <si>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</si>
  <si>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</si>
  <si>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</si>
  <si>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</si>
  <si>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</si>
  <si>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</si>
  <si>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</si>
  <si>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</si>
  <si>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</si>
  <si>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</si>
  <si>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</si>
  <si>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</si>
  <si>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</si>
  <si>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</si>
  <si>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</si>
  <si>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</si>
  <si>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</si>
  <si>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</si>
  <si>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</si>
  <si>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</si>
  <si>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</si>
  <si>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</si>
  <si>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</si>
  <si>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</si>
  <si>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</si>
  <si>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</si>
  <si>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</si>
  <si>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</si>
  <si>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</si>
  <si>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</si>
  <si>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</si>
  <si>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</si>
  <si>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</si>
  <si>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</si>
  <si>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</si>
  <si>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</si>
  <si>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</si>
  <si>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</si>
  <si>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</si>
  <si>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</si>
  <si>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</si>
  <si>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</si>
  <si>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</si>
  <si>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</si>
  <si>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</si>
  <si>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</si>
  <si>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</si>
  <si>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</si>
  <si>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</si>
  <si>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</si>
  <si>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</si>
  <si>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</si>
  <si>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</si>
  <si>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</si>
  <si>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</si>
  <si>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</si>
  <si>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</si>
  <si>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</si>
  <si>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</si>
  <si>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</si>
  <si>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</si>
  <si>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</si>
  <si>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</si>
  <si>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</si>
  <si>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</si>
  <si>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</si>
  <si>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</si>
  <si>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</si>
  <si>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</si>
  <si>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</si>
  <si>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</si>
  <si>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</si>
  <si>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</si>
  <si>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</si>
  <si>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</si>
  <si>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</si>
  <si>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</si>
  <si>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</si>
  <si>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</si>
  <si>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</si>
  <si>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</si>
  <si>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</si>
  <si>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</si>
  <si>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</si>
  <si>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</si>
  <si>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</si>
  <si>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</si>
  <si>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</si>
  <si>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</si>
  <si>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</si>
  <si>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</si>
  <si>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</si>
  <si>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</si>
  <si>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</si>
  <si>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</si>
  <si>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</si>
  <si>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</si>
  <si>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</si>
  <si>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</si>
  <si>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</si>
  <si>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</si>
  <si>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</si>
  <si>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</si>
  <si>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</si>
  <si>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</si>
  <si>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</si>
  <si>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</si>
  <si>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</si>
  <si>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</si>
  <si>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</si>
  <si>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</si>
  <si>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</si>
  <si>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</si>
  <si>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</si>
  <si>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</si>
  <si>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</si>
  <si>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</si>
  <si>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</si>
  <si>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</si>
  <si>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</si>
  <si>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</si>
  <si>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</si>
  <si>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</si>
  <si>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</si>
  <si>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</si>
  <si>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</si>
  <si>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</si>
  <si>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</si>
  <si>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</si>
  <si>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</si>
  <si>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</si>
  <si>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</si>
  <si>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</si>
  <si>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</si>
  <si>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</si>
  <si>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</si>
  <si>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</si>
  <si>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</si>
  <si>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</si>
  <si>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</si>
  <si>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</si>
  <si>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</si>
  <si>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</si>
  <si>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</si>
  <si>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</si>
  <si>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</si>
  <si>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</si>
  <si>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</si>
  <si>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</si>
  <si>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</si>
  <si>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</si>
  <si>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</si>
  <si>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</si>
  <si>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</si>
  <si>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</si>
  <si>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</si>
  <si>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</si>
  <si>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</si>
  <si>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</si>
  <si>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</si>
  <si>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</si>
  <si>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</si>
  <si>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</si>
  <si>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</si>
  <si>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</si>
  <si>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</si>
  <si>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</si>
  <si>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</si>
  <si>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</si>
  <si>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</si>
  <si>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</si>
  <si>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</si>
  <si>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</si>
  <si>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</si>
  <si>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</si>
  <si>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</si>
  <si>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</si>
  <si>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</si>
  <si>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</si>
  <si>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</si>
  <si>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</si>
  <si>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</si>
  <si>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</si>
  <si>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</si>
  <si>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</si>
  <si>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</si>
  <si>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</si>
  <si>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</si>
  <si>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</si>
  <si>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</si>
  <si>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</si>
  <si>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</si>
  <si>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</si>
  <si>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</si>
  <si>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</si>
  <si>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</si>
  <si>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</si>
  <si>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</si>
  <si>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</si>
  <si>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</si>
  <si>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</si>
  <si>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</si>
  <si>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</si>
  <si>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</si>
  <si>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</si>
  <si>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</si>
  <si>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</si>
  <si>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</si>
  <si>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</si>
  <si>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</si>
  <si>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</si>
  <si>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</si>
  <si>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</si>
  <si>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</si>
  <si>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</si>
  <si>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</si>
  <si>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</si>
  <si>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</si>
  <si>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</si>
  <si>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</si>
  <si>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</si>
  <si>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</si>
  <si>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</si>
  <si>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</si>
  <si>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</si>
  <si>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</si>
  <si>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</si>
  <si>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</si>
  <si>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</si>
  <si>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</si>
  <si>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</si>
  <si>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</si>
  <si>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</si>
  <si>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</si>
  <si>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</si>
  <si>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</si>
  <si>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</si>
  <si>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</si>
  <si>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</si>
  <si>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</si>
  <si>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</si>
  <si>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</si>
  <si>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</si>
  <si>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</si>
  <si>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</si>
  <si>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</si>
  <si>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</si>
  <si>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</si>
  <si>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</si>
  <si>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</si>
  <si>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</si>
  <si>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</si>
  <si>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</si>
  <si>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</si>
  <si>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</si>
  <si>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</si>
  <si>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</si>
  <si>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</si>
  <si>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</si>
  <si>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</si>
  <si>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</si>
  <si>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</si>
  <si>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</si>
  <si>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</si>
  <si>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</si>
  <si>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</si>
  <si>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</si>
  <si>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</si>
  <si>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</si>
  <si>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</si>
  <si>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</si>
  <si>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</si>
  <si>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</si>
  <si>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</si>
  <si>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</si>
  <si>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</si>
  <si>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</si>
  <si>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</si>
  <si>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</si>
  <si>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</si>
  <si>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</si>
  <si>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</si>
  <si>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</si>
  <si>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</si>
  <si>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</si>
  <si>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</si>
  <si>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</si>
  <si>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</si>
  <si>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</si>
  <si>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</si>
  <si>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</si>
  <si>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</si>
  <si>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</si>
  <si>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</si>
  <si>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</si>
  <si>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</si>
  <si>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</si>
  <si>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</si>
  <si>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</si>
  <si>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</si>
  <si>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</si>
  <si>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</si>
  <si>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</si>
  <si>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</si>
  <si>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</si>
  <si>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</si>
  <si>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</si>
  <si>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</si>
  <si>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</si>
  <si>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</si>
  <si>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</si>
  <si>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</si>
  <si>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</si>
  <si>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</si>
  <si>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</si>
  <si>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</si>
  <si>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</si>
  <si>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</si>
  <si>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</si>
  <si>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</si>
  <si>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</si>
  <si>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</si>
  <si>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</si>
  <si>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</si>
  <si>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</si>
  <si>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</si>
  <si>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</si>
  <si>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</si>
  <si>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</si>
  <si>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</si>
  <si>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</si>
  <si>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</si>
  <si>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</si>
  <si>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</si>
  <si>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</si>
  <si>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</si>
  <si>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</si>
  <si>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</si>
  <si>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</si>
  <si>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</si>
  <si>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</si>
  <si>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</si>
  <si>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</si>
  <si>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</si>
  <si>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</si>
  <si>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</si>
  <si>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</si>
  <si>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</si>
  <si>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</si>
  <si>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</si>
  <si>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</si>
  <si>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</si>
  <si>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</si>
  <si>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</si>
  <si>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</si>
  <si>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</si>
  <si>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</si>
  <si>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</si>
  <si>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</si>
  <si>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</si>
  <si>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</si>
  <si>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</si>
  <si>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</si>
  <si>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</si>
  <si>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</si>
  <si>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</si>
  <si>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</si>
  <si>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</si>
  <si>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</si>
  <si>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</si>
  <si>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</si>
  <si>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</si>
  <si>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</si>
  <si>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</si>
  <si>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</si>
  <si>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</si>
  <si>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</si>
  <si>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</si>
  <si>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</si>
  <si>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</si>
  <si>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</si>
  <si>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</si>
  <si>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</si>
  <si>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</si>
  <si>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</si>
  <si>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</si>
  <si>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</si>
  <si>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</si>
  <si>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</si>
  <si>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</si>
  <si>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</si>
  <si>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</si>
  <si>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</si>
  <si>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</si>
  <si>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</si>
  <si>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</si>
  <si>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</si>
  <si>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</si>
  <si>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</si>
  <si>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</si>
  <si>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</si>
  <si>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</si>
  <si>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</si>
  <si>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</si>
  <si>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</si>
  <si>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</si>
  <si>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</si>
  <si>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</si>
  <si>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</si>
  <si>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</si>
  <si>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</si>
  <si>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</si>
  <si>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</si>
  <si>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</si>
  <si>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</si>
  <si>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</si>
  <si>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</si>
  <si>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</si>
  <si>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</si>
  <si>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</si>
  <si>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</si>
  <si>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</si>
  <si>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</si>
  <si>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</si>
  <si>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</si>
  <si>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</si>
  <si>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</si>
  <si>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</si>
  <si>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</si>
  <si>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</si>
  <si>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</si>
  <si>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</si>
  <si>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</si>
  <si>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</si>
  <si>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</si>
  <si>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</si>
  <si>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</si>
  <si>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</si>
  <si>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</si>
  <si>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</si>
  <si>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</si>
  <si>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</si>
  <si>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</si>
  <si>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</si>
  <si>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</si>
  <si>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</si>
  <si>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</si>
  <si>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</si>
  <si>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</si>
  <si>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</si>
  <si>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</si>
  <si>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</si>
  <si>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</si>
  <si>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</si>
  <si>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</si>
  <si>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</si>
  <si>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</si>
  <si>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</si>
  <si>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</si>
  <si>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</si>
  <si>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</si>
  <si>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</si>
  <si>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</si>
  <si>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</si>
  <si>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</si>
  <si>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</si>
  <si>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</si>
  <si>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</si>
  <si>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</si>
  <si>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</si>
  <si>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</si>
  <si>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</si>
  <si>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</si>
  <si>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</si>
  <si>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</si>
  <si>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</si>
  <si>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</si>
  <si>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</si>
  <si>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</si>
  <si>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</si>
  <si>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</si>
  <si>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</si>
  <si>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</si>
  <si>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</si>
  <si>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</si>
  <si>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</si>
  <si>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</si>
  <si>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</si>
  <si>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</si>
  <si>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</si>
  <si>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</si>
  <si>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</si>
  <si>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</si>
  <si>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</si>
  <si>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</si>
  <si>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</si>
  <si>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</si>
  <si>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</si>
  <si>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</si>
  <si>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</si>
  <si>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</si>
  <si>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</si>
  <si>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</si>
  <si>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</si>
  <si>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</si>
  <si>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</si>
  <si>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</si>
  <si>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</si>
  <si>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</si>
  <si>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</si>
  <si>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</si>
  <si>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</si>
  <si>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</si>
  <si>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</si>
  <si>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</si>
  <si>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</si>
  <si>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</si>
  <si>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</si>
  <si>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</si>
  <si>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</si>
  <si>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</si>
  <si>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</si>
  <si>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</si>
  <si>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</si>
  <si>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</si>
  <si>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</si>
  <si>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</si>
  <si>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</si>
  <si>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</si>
  <si>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</si>
  <si>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</si>
  <si>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</si>
  <si>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</si>
  <si>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</si>
  <si>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</si>
  <si>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</si>
  <si>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</si>
  <si>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</si>
  <si>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</si>
  <si>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</si>
  <si>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</si>
  <si>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</si>
  <si>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</si>
  <si>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</si>
  <si>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</si>
  <si>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</si>
  <si>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</si>
  <si>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</si>
  <si>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</si>
  <si>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</si>
  <si>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</si>
  <si>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</si>
  <si>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</si>
  <si>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</si>
  <si>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</si>
  <si>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</si>
  <si>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</si>
  <si>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</si>
  <si>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</si>
  <si>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</si>
  <si>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</si>
  <si>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</si>
  <si>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</si>
  <si>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</si>
  <si>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</si>
  <si>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</si>
  <si>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</si>
  <si>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</si>
  <si>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</si>
  <si>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</si>
  <si>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</si>
  <si>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</si>
  <si>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</si>
  <si>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</si>
  <si>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</si>
  <si>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</si>
  <si>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</si>
  <si>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</si>
  <si>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</si>
  <si>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</si>
  <si>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</si>
  <si>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</si>
  <si>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</si>
  <si>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</si>
  <si>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</si>
  <si>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</si>
  <si>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</si>
  <si>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</si>
  <si>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</si>
  <si>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</si>
  <si>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</si>
  <si>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</si>
  <si>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</si>
  <si>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</si>
  <si>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</si>
  <si>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</si>
  <si>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</si>
  <si>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</si>
  <si>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</si>
  <si>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</si>
  <si>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</si>
  <si>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</si>
  <si>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</si>
  <si>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</si>
  <si>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</si>
  <si>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</si>
  <si>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</si>
  <si>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</si>
  <si>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</si>
  <si>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</si>
  <si>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</si>
  <si>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</si>
  <si>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</si>
  <si>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</si>
  <si>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</si>
  <si>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</si>
  <si>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</si>
  <si>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</si>
  <si>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</si>
  <si>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</si>
  <si>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</si>
  <si>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</si>
  <si>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</si>
  <si>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</si>
  <si>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</si>
  <si>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</si>
  <si>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</si>
  <si>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</si>
  <si>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</si>
  <si>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</si>
  <si>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</si>
  <si>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</si>
  <si>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</si>
  <si>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</si>
  <si>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</si>
  <si>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</si>
  <si>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</si>
  <si>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</si>
  <si>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</si>
  <si>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</si>
  <si>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</si>
  <si>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</si>
  <si>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</si>
  <si>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</si>
  <si>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</si>
  <si>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</si>
  <si>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</si>
  <si>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</si>
  <si>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</si>
  <si>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</si>
  <si>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</si>
  <si>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</si>
  <si>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</si>
  <si>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</si>
  <si>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</si>
  <si>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</si>
  <si>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</si>
  <si>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</si>
  <si>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</si>
  <si>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</si>
  <si>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</si>
  <si>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</si>
  <si>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</si>
  <si>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</si>
  <si>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</si>
  <si>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</si>
  <si>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</si>
  <si>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</si>
  <si>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</si>
  <si>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</si>
  <si>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</si>
  <si>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</si>
  <si>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</si>
  <si>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</si>
  <si>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</si>
  <si>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</si>
  <si>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</si>
  <si>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</si>
  <si>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</si>
  <si>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</si>
  <si>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</si>
  <si>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</si>
  <si>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</si>
  <si>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</si>
  <si>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</si>
  <si>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</si>
  <si>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</si>
  <si>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</si>
  <si>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</si>
  <si>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</si>
  <si>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</si>
  <si>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</si>
  <si>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</si>
  <si>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</si>
  <si>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</si>
  <si>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</si>
  <si>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</si>
  <si>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</si>
  <si>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</si>
  <si>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</si>
  <si>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</si>
  <si>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</si>
  <si>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</si>
  <si>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</si>
  <si>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</si>
  <si>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</si>
  <si>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</si>
  <si>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</si>
  <si>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</si>
  <si>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</si>
  <si>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</si>
  <si>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</si>
  <si>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</si>
  <si>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</si>
  <si>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</si>
  <si>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</si>
  <si>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</si>
  <si>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</si>
  <si>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</si>
  <si>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</si>
  <si>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</si>
  <si>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</si>
  <si>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</si>
  <si>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</si>
  <si>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</si>
  <si>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</si>
  <si>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</si>
  <si>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</si>
  <si>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</si>
  <si>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</si>
  <si>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</si>
  <si>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</si>
  <si>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</si>
  <si>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</si>
  <si>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</si>
  <si>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</si>
  <si>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</si>
  <si>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</si>
  <si>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</si>
  <si>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</si>
  <si>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</si>
  <si>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</si>
  <si>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</si>
  <si>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</si>
  <si>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</si>
  <si>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</si>
  <si>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</si>
  <si>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</si>
  <si>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</si>
  <si>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</si>
  <si>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</si>
  <si>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</si>
  <si>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</si>
  <si>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</si>
  <si>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</si>
  <si>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</si>
  <si>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</si>
  <si>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</si>
  <si>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</si>
  <si>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</si>
  <si>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</si>
  <si>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</si>
  <si>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</si>
  <si>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</si>
  <si>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</si>
  <si>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</si>
  <si>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</si>
  <si>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</si>
  <si>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</si>
  <si>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</si>
  <si>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</si>
  <si>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</si>
  <si>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</si>
  <si>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</si>
  <si>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</si>
  <si>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</si>
  <si>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</si>
  <si>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</si>
  <si>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</si>
  <si>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</si>
  <si>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</si>
  <si>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</si>
  <si>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</si>
  <si>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</si>
  <si>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</si>
  <si>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</si>
  <si>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</si>
  <si>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</si>
  <si>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</si>
  <si>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</si>
  <si>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</si>
  <si>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</si>
  <si>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</si>
  <si>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</si>
  <si>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</si>
  <si>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</si>
  <si>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</si>
  <si>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</si>
  <si>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</si>
  <si>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</si>
  <si>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</si>
  <si>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</si>
  <si>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</si>
  <si>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</si>
  <si>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</si>
  <si>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</si>
  <si>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</si>
  <si>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</si>
  <si>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</si>
  <si>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</si>
  <si>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</si>
  <si>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</si>
  <si>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</si>
  <si>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</si>
  <si>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</si>
  <si>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</si>
  <si>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</si>
  <si>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</si>
  <si>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</si>
  <si>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</si>
  <si>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</si>
  <si>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</si>
  <si>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</si>
  <si>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</si>
  <si>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</si>
  <si>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</si>
  <si>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</si>
  <si>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</si>
  <si>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</si>
  <si>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</si>
  <si>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</si>
  <si>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</si>
  <si>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</si>
  <si>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</si>
  <si>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</si>
  <si>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</si>
  <si>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</si>
  <si>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</si>
  <si>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</si>
  <si>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</si>
  <si>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</si>
  <si>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</si>
  <si>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</si>
  <si>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</si>
  <si>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</si>
  <si>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</si>
  <si>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</si>
  <si>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</si>
  <si>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</si>
  <si>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</si>
  <si>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</si>
  <si>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</si>
  <si>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</si>
  <si>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</si>
  <si>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</si>
  <si>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</si>
  <si>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</si>
  <si>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</si>
  <si>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</si>
  <si>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</si>
  <si>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</si>
  <si>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</si>
  <si>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</si>
  <si>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</si>
  <si>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</si>
  <si>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</si>
  <si>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</si>
  <si>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</si>
  <si>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</si>
  <si>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</si>
  <si>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</si>
  <si>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</si>
  <si>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</si>
  <si>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</si>
  <si>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</si>
  <si>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</si>
  <si>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</si>
  <si>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</si>
  <si>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</si>
  <si>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</si>
  <si>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</si>
  <si>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</si>
  <si>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</si>
  <si>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</si>
  <si>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</si>
  <si>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</si>
  <si>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</si>
  <si>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</si>
  <si>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</si>
  <si>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</si>
  <si>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</si>
  <si>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</si>
  <si>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</si>
  <si>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</si>
  <si>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</si>
  <si>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</si>
  <si>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</si>
  <si>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</si>
  <si>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</si>
  <si>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</si>
  <si>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</si>
  <si>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</si>
  <si>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</si>
  <si>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</si>
  <si>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</si>
  <si>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</si>
  <si>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</si>
  <si>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</si>
  <si>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</si>
  <si>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</si>
  <si>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</si>
  <si>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</si>
  <si>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</si>
  <si>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</si>
  <si>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</si>
  <si>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</si>
  <si>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</si>
  <si>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</si>
  <si>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</si>
  <si>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</si>
  <si>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</si>
  <si>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</si>
  <si>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</si>
  <si>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</si>
  <si>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</si>
  <si>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</si>
  <si>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</si>
  <si>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</si>
  <si>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</si>
  <si>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</si>
  <si>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</si>
  <si>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</si>
  <si>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</si>
  <si>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</si>
  <si>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</si>
  <si>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</si>
  <si>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</si>
  <si>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</si>
  <si>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</si>
  <si>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</si>
  <si>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</si>
  <si>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</si>
  <si>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</si>
  <si>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</si>
  <si>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</si>
  <si>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</si>
  <si>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</si>
  <si>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</si>
  <si>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</si>
  <si>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</si>
  <si>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</si>
  <si>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</si>
  <si>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</si>
  <si>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</si>
  <si>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</si>
  <si>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</si>
  <si>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</si>
  <si>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</si>
  <si>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</si>
  <si>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</si>
  <si>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</si>
  <si>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</si>
  <si>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</si>
  <si>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</si>
  <si>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</si>
  <si>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</si>
  <si>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</si>
  <si>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</si>
  <si>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</si>
  <si>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</si>
  <si>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</si>
  <si>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</si>
  <si>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</si>
  <si>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</si>
  <si>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</si>
  <si>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</si>
  <si>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</si>
  <si>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</si>
  <si>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</si>
  <si>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</si>
  <si>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</si>
  <si>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</si>
  <si>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</si>
  <si>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</si>
  <si>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</si>
  <si>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</si>
  <si>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</si>
  <si>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</si>
  <si>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</si>
  <si>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</si>
  <si>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</si>
  <si>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</si>
  <si>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</si>
  <si>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</si>
  <si>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</si>
  <si>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</si>
  <si>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</si>
  <si>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</si>
  <si>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</si>
  <si>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</si>
  <si>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</si>
  <si>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</si>
  <si>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</si>
  <si>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</si>
  <si>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</si>
  <si>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</si>
  <si>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</si>
  <si>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</si>
  <si>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</si>
  <si>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</si>
  <si>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</si>
  <si>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</si>
  <si>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</si>
  <si>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</si>
  <si>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</si>
  <si>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</si>
  <si>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</si>
  <si>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</si>
  <si>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</si>
  <si>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</si>
  <si>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</si>
  <si>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</si>
  <si>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</si>
  <si>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</si>
  <si>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</si>
  <si>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</si>
  <si>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</si>
  <si>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</si>
  <si>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</si>
  <si>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</si>
  <si>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</si>
  <si>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</si>
  <si>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</si>
  <si>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</si>
  <si>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</si>
  <si>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</si>
  <si>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</si>
  <si>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</si>
  <si>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</si>
  <si>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</si>
  <si>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</si>
  <si>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</si>
  <si>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</si>
  <si>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</si>
  <si>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</si>
  <si>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</si>
  <si>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</si>
  <si>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</si>
  <si>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</si>
  <si>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</si>
  <si>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</si>
  <si>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</si>
  <si>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</si>
  <si>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</si>
  <si>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</si>
  <si>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</si>
  <si>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</si>
  <si>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</si>
  <si>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</si>
  <si>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</si>
  <si>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</si>
  <si>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</si>
  <si>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</si>
  <si>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</si>
  <si>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</si>
  <si>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</si>
  <si>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</si>
  <si>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</si>
  <si>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</si>
  <si>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</si>
  <si>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</si>
  <si>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</si>
  <si>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</si>
  <si>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</si>
  <si>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</si>
  <si>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</si>
  <si>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</si>
  <si>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</si>
  <si>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</si>
  <si>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</si>
  <si>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</si>
  <si>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</si>
  <si>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</si>
  <si>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</si>
  <si>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</si>
  <si>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</si>
  <si>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</si>
  <si>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</si>
  <si>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</si>
  <si>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</si>
  <si>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</si>
  <si>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</si>
  <si>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</si>
  <si>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</si>
  <si>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</si>
  <si>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</si>
  <si>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</si>
  <si>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</si>
  <si>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</si>
  <si>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</si>
  <si>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</si>
  <si>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</si>
  <si>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</si>
  <si>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</si>
  <si>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</si>
  <si>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</si>
  <si>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</si>
  <si>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</si>
  <si>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</si>
  <si>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</si>
  <si>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</si>
  <si>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</si>
  <si>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</si>
  <si>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</si>
  <si>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</si>
  <si>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</si>
  <si>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</si>
  <si>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</si>
  <si>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</si>
  <si>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</si>
  <si>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</si>
  <si>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</si>
  <si>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</si>
  <si>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</si>
  <si>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</si>
  <si>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</si>
  <si>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</si>
  <si>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</si>
  <si>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</si>
  <si>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</si>
  <si>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</si>
  <si>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</si>
  <si>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</si>
  <si>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</si>
  <si>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</si>
  <si>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</si>
  <si>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</si>
  <si>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</si>
  <si>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</si>
  <si>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</si>
  <si>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</si>
  <si>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</si>
  <si>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</si>
  <si>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</si>
  <si>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</si>
  <si>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</si>
  <si>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</si>
  <si>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</si>
  <si>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</si>
  <si>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</si>
  <si>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</si>
  <si>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</si>
  <si>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</si>
  <si>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</si>
  <si>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</si>
  <si>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</si>
  <si>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</si>
  <si>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</si>
  <si>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</si>
  <si>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</si>
  <si>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</si>
  <si>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</si>
  <si>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</si>
  <si>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</si>
  <si>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</si>
  <si>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</si>
  <si>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</si>
  <si>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</si>
  <si>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</si>
  <si>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</si>
  <si>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</si>
  <si>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</si>
  <si>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</si>
  <si>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</si>
  <si>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</si>
  <si>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</si>
  <si>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</si>
  <si>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</si>
  <si>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</si>
  <si>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</si>
  <si>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</si>
  <si>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</si>
  <si>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</si>
  <si>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</si>
  <si>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</si>
  <si>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</si>
  <si>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</si>
  <si>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</si>
  <si>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</si>
  <si>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</si>
  <si>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</si>
  <si>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</si>
  <si>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</si>
  <si>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</si>
  <si>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</si>
  <si>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</si>
  <si>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</si>
  <si>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</si>
  <si>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</si>
  <si>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</si>
  <si>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</si>
  <si>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</si>
  <si>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</si>
  <si>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</si>
  <si>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</si>
  <si>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</si>
  <si>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</si>
  <si>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</si>
  <si>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</si>
  <si>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</si>
  <si>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</si>
  <si>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</si>
  <si>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</si>
  <si>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</si>
  <si>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</si>
  <si>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</si>
  <si>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</si>
  <si>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</si>
  <si>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</si>
  <si>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</si>
  <si>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</si>
  <si>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</si>
  <si>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</si>
  <si>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</si>
  <si>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</si>
  <si>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</si>
  <si>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</si>
  <si>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</si>
  <si>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</si>
  <si>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</si>
  <si>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</si>
  <si>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</si>
  <si>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</si>
  <si>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</si>
  <si>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</si>
  <si>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</si>
  <si>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</si>
  <si>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</si>
  <si>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</si>
  <si>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</si>
  <si>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</si>
  <si>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</si>
  <si>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</si>
  <si>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</si>
  <si>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</si>
  <si>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</si>
  <si>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</si>
  <si>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</si>
  <si>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</si>
  <si>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</si>
  <si>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</si>
  <si>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</si>
  <si>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</si>
  <si>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</si>
  <si>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</si>
  <si>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</si>
  <si>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</si>
  <si>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</si>
  <si>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</si>
  <si>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</si>
  <si>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</si>
  <si>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</si>
  <si>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</si>
  <si>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</si>
  <si>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</si>
  <si>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</si>
  <si>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</si>
  <si>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</si>
  <si>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</si>
  <si>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</si>
  <si>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</si>
  <si>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</si>
  <si>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</si>
  <si>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</si>
  <si>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</si>
  <si>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</si>
  <si>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</si>
  <si>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</si>
  <si>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</si>
  <si>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</si>
  <si>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</si>
  <si>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</si>
  <si>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</si>
  <si>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</si>
  <si>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</si>
  <si>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</si>
  <si>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</si>
  <si>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</si>
  <si>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</si>
  <si>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</si>
  <si>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</si>
  <si>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</si>
  <si>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</si>
  <si>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</si>
  <si>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</si>
  <si>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</si>
  <si>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</si>
  <si>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</si>
  <si>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</si>
  <si>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</si>
  <si>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</si>
  <si>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</si>
  <si>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</si>
  <si>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</si>
  <si>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</si>
  <si>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</si>
  <si>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</si>
  <si>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</si>
  <si>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</si>
  <si>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</si>
  <si>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</si>
  <si>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</si>
  <si>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</si>
  <si>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</si>
  <si>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</si>
  <si>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</si>
  <si>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</si>
  <si>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</si>
  <si>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</si>
  <si>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</si>
  <si>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</si>
  <si>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</si>
  <si>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</si>
  <si>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</si>
  <si>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</si>
  <si>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</si>
  <si>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</si>
  <si>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</si>
  <si>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</si>
  <si>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</si>
  <si>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</si>
  <si>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</si>
  <si>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</si>
  <si>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</si>
  <si>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</si>
  <si>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</si>
  <si>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</si>
  <si>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</si>
  <si>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</si>
  <si>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</si>
  <si>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</si>
  <si>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</si>
  <si>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</si>
  <si>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</si>
  <si>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</si>
  <si>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</si>
  <si>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</si>
  <si>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</si>
  <si>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</si>
  <si>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</si>
  <si>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</si>
  <si>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</si>
  <si>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</si>
  <si>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</si>
  <si>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</si>
  <si>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</si>
  <si>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</si>
  <si>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</si>
  <si>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</si>
  <si>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</si>
  <si>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</si>
  <si>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</si>
  <si>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</si>
  <si>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</si>
  <si>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</si>
  <si>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</si>
  <si>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</si>
  <si>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</si>
  <si>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</si>
  <si>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</si>
  <si>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</si>
  <si>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</si>
  <si>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</si>
  <si>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</si>
  <si>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</si>
  <si>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</si>
  <si>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</si>
  <si>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</si>
  <si>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</si>
  <si>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</si>
  <si>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</si>
  <si>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</si>
  <si>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</si>
  <si>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</si>
  <si>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</si>
  <si>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</si>
  <si>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</si>
  <si>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</si>
  <si>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</si>
  <si>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</si>
  <si>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</si>
  <si>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</si>
  <si>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</si>
  <si>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</si>
  <si>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</si>
  <si>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</si>
  <si>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</si>
  <si>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</si>
  <si>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</si>
  <si>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</si>
  <si>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</si>
  <si>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</si>
  <si>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</si>
  <si>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</si>
  <si>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</si>
  <si>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</si>
  <si>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</si>
  <si>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</si>
  <si>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</si>
  <si>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</si>
  <si>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</si>
  <si>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</si>
  <si>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</si>
  <si>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</si>
  <si>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</si>
  <si>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</si>
  <si>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</si>
  <si>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</si>
  <si>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</si>
  <si>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</si>
  <si>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</si>
  <si>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</si>
  <si>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</si>
  <si>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</si>
  <si>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</si>
  <si>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</si>
  <si>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</si>
  <si>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</si>
  <si>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</si>
  <si>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</si>
  <si>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</si>
  <si>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</si>
  <si>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</si>
  <si>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</si>
  <si>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</si>
  <si>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</si>
  <si>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</si>
  <si>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</si>
  <si>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</si>
  <si>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</si>
  <si>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</si>
  <si>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</si>
  <si>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</si>
  <si>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</si>
  <si>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</si>
  <si>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</si>
  <si>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</si>
  <si>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</si>
  <si>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</si>
  <si>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</si>
  <si>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</si>
  <si>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</si>
  <si>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</si>
  <si>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</si>
  <si>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</si>
  <si>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</si>
  <si>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</si>
  <si>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</si>
  <si>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</si>
  <si>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</si>
  <si>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</si>
  <si>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</si>
  <si>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</si>
  <si>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</si>
  <si>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</si>
  <si>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</si>
  <si>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</si>
  <si>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</si>
  <si>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</si>
  <si>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</si>
  <si>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</si>
  <si>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</si>
  <si>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</si>
  <si>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</si>
  <si>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</si>
  <si>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</si>
  <si>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</si>
  <si>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</si>
  <si>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</si>
  <si>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</si>
  <si>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</si>
  <si>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</si>
  <si>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</si>
  <si>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</si>
  <si>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</si>
  <si>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</si>
  <si>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</si>
  <si>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</si>
  <si>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</si>
  <si>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</si>
  <si>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</si>
  <si>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</si>
  <si>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</si>
  <si>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</si>
  <si>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</si>
  <si>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</si>
  <si>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</si>
  <si>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</si>
  <si>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</si>
  <si>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</si>
  <si>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</si>
  <si>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</si>
  <si>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</si>
  <si>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</si>
  <si>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</si>
  <si>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</si>
  <si>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</si>
  <si>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</si>
  <si>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</si>
  <si>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</si>
  <si>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</si>
  <si>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</si>
  <si>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</si>
  <si>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</si>
  <si>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</si>
  <si>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</si>
  <si>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</si>
  <si>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</si>
  <si>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</si>
  <si>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</si>
  <si>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</si>
  <si>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</si>
  <si>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</si>
  <si>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</si>
  <si>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</si>
  <si>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</si>
  <si>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</si>
  <si>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</si>
  <si>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</si>
  <si>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</si>
  <si>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</si>
  <si>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</si>
  <si>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</si>
  <si>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</si>
  <si>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</si>
  <si>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</si>
  <si>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</si>
  <si>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</si>
  <si>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</si>
  <si>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</si>
  <si>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</si>
  <si>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</si>
  <si>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</si>
  <si>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</si>
  <si>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</si>
  <si>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</si>
  <si>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</si>
  <si>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</si>
  <si>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</si>
  <si>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</si>
  <si>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</si>
  <si>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</si>
  <si>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</si>
  <si>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</si>
  <si>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</si>
  <si>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</si>
  <si>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</si>
  <si>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</si>
  <si>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</si>
  <si>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</si>
  <si>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</si>
  <si>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</si>
  <si>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</si>
  <si>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</si>
  <si>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</si>
  <si>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</si>
  <si>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</si>
  <si>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</si>
  <si>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</si>
  <si>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</si>
  <si>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</si>
  <si>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</si>
  <si>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</si>
  <si>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</si>
  <si>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</si>
  <si>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</si>
  <si>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</si>
  <si>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</si>
  <si>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</si>
  <si>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</si>
  <si>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</si>
  <si>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</si>
  <si>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</si>
  <si>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</si>
  <si>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</si>
  <si>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</si>
  <si>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</si>
  <si>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</si>
  <si>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</si>
  <si>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</si>
  <si>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</si>
  <si>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</si>
  <si>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</si>
  <si>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</si>
  <si>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</si>
  <si>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</si>
  <si>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</si>
  <si>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</si>
  <si>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</si>
  <si>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</si>
  <si>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</si>
  <si>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</si>
  <si>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</si>
  <si>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</si>
  <si>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</si>
  <si>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</si>
  <si>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</si>
  <si>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</si>
  <si>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</si>
  <si>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</si>
  <si>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</si>
  <si>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</si>
  <si>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</si>
  <si>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</si>
  <si>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</si>
  <si>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</si>
  <si>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</si>
  <si>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</si>
  <si>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</si>
  <si>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</si>
  <si>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</si>
  <si>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</si>
  <si>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</si>
  <si>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</si>
  <si>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</si>
  <si>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</si>
  <si>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</si>
  <si>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</si>
  <si>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</si>
  <si>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</si>
  <si>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</si>
  <si>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</si>
  <si>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</si>
  <si>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</si>
  <si>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</si>
  <si>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</si>
  <si>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</si>
  <si>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</si>
  <si>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</si>
  <si>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</si>
  <si>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</si>
  <si>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</si>
  <si>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</si>
  <si>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</si>
  <si>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</si>
  <si>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</si>
  <si>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</si>
  <si>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</si>
  <si>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</si>
  <si>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</si>
  <si>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</si>
  <si>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</si>
  <si>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</si>
  <si>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</si>
  <si>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</si>
  <si>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</si>
  <si>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</si>
  <si>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</si>
  <si>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</si>
  <si>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</si>
  <si>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</si>
  <si>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</si>
  <si>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</si>
  <si>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</si>
  <si>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</si>
  <si>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</si>
  <si>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</si>
  <si>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</si>
  <si>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</si>
  <si>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</si>
  <si>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</si>
  <si>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</si>
  <si>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</si>
  <si>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</si>
  <si>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</si>
  <si>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</si>
  <si>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</si>
  <si>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</si>
  <si>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</si>
  <si>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</si>
  <si>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</si>
  <si>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</si>
  <si>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</si>
  <si>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</si>
  <si>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</si>
  <si>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</si>
  <si>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</si>
  <si>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</si>
  <si>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</si>
  <si>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</si>
  <si>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</si>
  <si>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</si>
  <si>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</si>
  <si>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</si>
  <si>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</si>
  <si>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</si>
  <si>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</si>
  <si>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</si>
  <si>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</si>
  <si>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</si>
  <si>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</si>
  <si>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</si>
  <si>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</si>
  <si>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</si>
  <si>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</si>
  <si>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</si>
  <si>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</si>
  <si>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</si>
  <si>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</si>
  <si>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</si>
  <si>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</si>
  <si>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</si>
  <si>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</si>
  <si>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</si>
  <si>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</si>
  <si>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</si>
  <si>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</si>
  <si>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</si>
  <si>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</si>
  <si>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</si>
  <si>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</si>
  <si>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</si>
  <si>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</si>
  <si>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</si>
  <si>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</si>
  <si>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</si>
  <si>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</si>
  <si>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</si>
  <si>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</si>
  <si>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</si>
  <si>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</si>
  <si>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</si>
  <si>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</si>
  <si>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</si>
  <si>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</si>
  <si>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</si>
  <si>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</si>
  <si>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</si>
  <si>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</si>
  <si>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</si>
  <si>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</si>
  <si>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</si>
  <si>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</si>
  <si>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</si>
  <si>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</si>
  <si>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</si>
  <si>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</si>
  <si>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</si>
  <si>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</si>
  <si>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</si>
  <si>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</si>
  <si>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</si>
  <si>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</si>
  <si>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</si>
  <si>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</si>
  <si>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</si>
  <si>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</si>
  <si>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</si>
  <si>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</si>
  <si>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</si>
  <si>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</si>
  <si>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</si>
  <si>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</si>
  <si>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</si>
  <si>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</si>
  <si>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</si>
  <si>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</si>
  <si>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</si>
  <si>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</si>
  <si>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</si>
  <si>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</si>
  <si>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</si>
  <si>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</si>
  <si>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</si>
  <si>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</si>
  <si>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</si>
  <si>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</si>
  <si>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</si>
  <si>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</si>
  <si>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</si>
  <si>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</si>
  <si>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</si>
  <si>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</si>
  <si>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</si>
  <si>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</si>
  <si>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</si>
  <si>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</si>
  <si>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</si>
  <si>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</si>
  <si>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</si>
  <si>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</si>
  <si>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</si>
  <si>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</si>
  <si>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</si>
  <si>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</si>
  <si>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</si>
  <si>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</si>
  <si>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</si>
  <si>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</si>
  <si>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</si>
  <si>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</si>
  <si>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</si>
  <si>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</si>
  <si>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</si>
  <si>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</si>
  <si>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</si>
  <si>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</si>
  <si>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</si>
  <si>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</si>
  <si>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</si>
  <si>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</si>
  <si>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</si>
  <si>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</si>
  <si>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</si>
  <si>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</si>
  <si>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</si>
  <si>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</si>
  <si>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</si>
  <si>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</si>
  <si>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</si>
  <si>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</si>
  <si>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</si>
  <si>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</si>
  <si>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</si>
  <si>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</si>
  <si>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</si>
  <si>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</si>
  <si>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</si>
  <si>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</si>
  <si>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</si>
  <si>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</si>
  <si>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</si>
  <si>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</si>
  <si>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</si>
  <si>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</si>
  <si>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</si>
  <si>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</si>
  <si>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</si>
  <si>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</si>
  <si>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</si>
  <si>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</si>
  <si>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</si>
  <si>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</si>
  <si>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</si>
  <si>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</si>
  <si>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</si>
  <si>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</si>
  <si>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</si>
  <si>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</si>
  <si>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</si>
  <si>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</si>
  <si>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</si>
  <si>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</si>
  <si>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</si>
  <si>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</si>
  <si>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</si>
  <si>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</si>
  <si>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</si>
  <si>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</si>
  <si>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</si>
  <si>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</si>
  <si>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</si>
  <si>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</si>
  <si>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</si>
  <si>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</si>
  <si>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</si>
  <si>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</si>
  <si>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</si>
  <si>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</si>
  <si>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</si>
  <si>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</si>
  <si>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</si>
  <si>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</si>
  <si>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</si>
  <si>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</si>
  <si>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</si>
  <si>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</si>
  <si>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</si>
  <si>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</si>
  <si>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</si>
  <si>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</si>
  <si>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</si>
  <si>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</si>
  <si>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</si>
  <si>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</si>
  <si>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</si>
  <si>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</si>
  <si>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</si>
  <si>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</si>
  <si>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</si>
  <si>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</si>
  <si>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</si>
  <si>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</si>
  <si>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</si>
  <si>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</si>
  <si>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</si>
  <si>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</si>
  <si>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</si>
  <si>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</si>
  <si>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</si>
  <si>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</si>
  <si>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</si>
  <si>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</si>
  <si>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</si>
  <si>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</si>
  <si>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</si>
  <si>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</si>
  <si>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</si>
  <si>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</si>
  <si>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</si>
  <si>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</si>
  <si>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</si>
  <si>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</si>
  <si>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</si>
  <si>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</si>
  <si>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</si>
  <si>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</si>
  <si>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</si>
  <si>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</si>
  <si>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</si>
  <si>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</si>
  <si>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</si>
  <si>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</si>
  <si>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</si>
  <si>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</si>
  <si>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</si>
  <si>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</si>
  <si>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</si>
  <si>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</si>
  <si>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</si>
  <si>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</si>
  <si>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</si>
  <si>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</si>
  <si>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</si>
  <si>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</si>
  <si>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</si>
  <si>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</si>
  <si>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</si>
  <si>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</si>
  <si>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</si>
  <si>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</si>
  <si>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</si>
  <si>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</si>
  <si>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</si>
  <si>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</si>
  <si>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</si>
  <si>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</si>
  <si>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</si>
  <si>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</si>
  <si>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</si>
  <si>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</si>
  <si>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</si>
  <si>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</si>
  <si>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</si>
  <si>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</si>
  <si>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</si>
  <si>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</si>
  <si>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</si>
  <si>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</si>
  <si>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</si>
  <si>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</si>
  <si>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</si>
  <si>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</si>
  <si>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</si>
  <si>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</si>
  <si>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</si>
  <si>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</si>
  <si>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</si>
  <si>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</si>
  <si>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</si>
  <si>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</si>
  <si>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</si>
  <si>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</si>
  <si>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</si>
  <si>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</si>
  <si>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</si>
  <si>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</si>
  <si>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</si>
  <si>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</si>
  <si>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</si>
  <si>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</si>
  <si>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</si>
  <si>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</si>
  <si>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</si>
  <si>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</si>
  <si>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</si>
  <si>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</si>
  <si>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</si>
  <si>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</si>
  <si>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</si>
  <si>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</si>
  <si>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</si>
  <si>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</si>
  <si>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</si>
  <si>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</si>
  <si>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</si>
  <si>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</si>
  <si>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</si>
  <si>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</si>
  <si>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</si>
  <si>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</si>
  <si>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</si>
  <si>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</si>
  <si>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</si>
  <si>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</si>
  <si>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</si>
  <si>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</si>
  <si>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</si>
  <si>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</si>
  <si>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</si>
  <si>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</si>
  <si>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</si>
  <si>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</si>
  <si>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</si>
  <si>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</si>
  <si>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</si>
  <si>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</si>
  <si>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</si>
  <si>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</si>
  <si>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</si>
  <si>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</si>
  <si>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</si>
  <si>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</si>
  <si>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</si>
  <si>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</si>
  <si>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</si>
  <si>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</si>
  <si>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</si>
  <si>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</si>
  <si>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</si>
  <si>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</si>
  <si>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</si>
  <si>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</si>
  <si>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</si>
  <si>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</si>
  <si>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</si>
  <si>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</si>
  <si>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</si>
  <si>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</si>
  <si>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</si>
  <si>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</si>
  <si>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</si>
  <si>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</si>
  <si>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</si>
  <si>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</si>
  <si>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</si>
  <si>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</si>
  <si>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</si>
  <si>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</si>
  <si>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</si>
  <si>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</si>
  <si>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</si>
  <si>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</si>
  <si>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</si>
  <si>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</si>
  <si>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</si>
  <si>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</si>
  <si>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</si>
  <si>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</si>
  <si>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</si>
  <si>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</si>
  <si>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</si>
  <si>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</si>
  <si>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</si>
  <si>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</si>
  <si>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</si>
  <si>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</si>
  <si>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</si>
  <si>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</si>
  <si>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</si>
  <si>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</si>
  <si>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</si>
  <si>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</si>
  <si>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</si>
  <si>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</si>
  <si>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</si>
  <si>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</si>
  <si>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</si>
  <si>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</si>
  <si>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</si>
  <si>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</si>
  <si>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</si>
  <si>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</si>
  <si>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</si>
  <si>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</si>
  <si>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</si>
  <si>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</si>
  <si>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</si>
  <si>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</si>
  <si>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</si>
  <si>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</si>
  <si>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</si>
  <si>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</si>
  <si>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</si>
  <si>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</si>
  <si>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</si>
  <si>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</si>
  <si>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</si>
  <si>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</si>
  <si>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</si>
  <si>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</si>
  <si>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</si>
  <si>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</si>
  <si>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</si>
  <si>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</si>
  <si>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</si>
  <si>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</si>
  <si>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</si>
  <si>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</si>
  <si>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</si>
  <si>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</si>
  <si>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</si>
  <si>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</si>
  <si>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</si>
  <si>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</si>
  <si>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</si>
  <si>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</si>
  <si>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</si>
  <si>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</si>
  <si>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</si>
  <si>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</si>
  <si>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</si>
  <si>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</si>
  <si>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</si>
  <si>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</si>
  <si>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</si>
  <si>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</si>
  <si>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</si>
  <si>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</si>
  <si>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</si>
  <si>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</si>
  <si>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</si>
  <si>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</si>
  <si>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</si>
  <si>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</si>
  <si>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</si>
  <si>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</si>
  <si>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</si>
  <si>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</si>
  <si>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</si>
  <si>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</si>
  <si>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</si>
  <si>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</si>
  <si>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</si>
  <si>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</si>
  <si>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</si>
  <si>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</si>
  <si>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</si>
  <si>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</si>
  <si>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</si>
  <si>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</si>
  <si>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</si>
  <si>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</si>
  <si>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</si>
  <si>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</si>
  <si>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</si>
  <si>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</si>
  <si>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</si>
  <si>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</si>
  <si>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</si>
  <si>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</si>
  <si>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</si>
  <si>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</si>
  <si>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</si>
  <si>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</si>
  <si>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</si>
  <si>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</si>
  <si>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</si>
  <si>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</si>
  <si>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</si>
  <si>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</si>
  <si>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</si>
  <si>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</si>
  <si>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</si>
  <si>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</si>
  <si>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</si>
  <si>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</si>
  <si>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</si>
  <si>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</si>
  <si>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</si>
  <si>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</si>
  <si>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</si>
  <si>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</si>
  <si>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</si>
  <si>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</si>
  <si>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</si>
  <si>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</si>
  <si>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</si>
  <si>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</si>
  <si>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</si>
  <si>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</si>
  <si>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</si>
  <si>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</si>
  <si>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</si>
  <si>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</si>
  <si>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</si>
  <si>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</si>
  <si>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</si>
  <si>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</si>
  <si>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</si>
  <si>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</si>
  <si>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</si>
  <si>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</si>
  <si>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</si>
  <si>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</si>
  <si>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</si>
  <si>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</si>
  <si>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</si>
  <si>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</si>
  <si>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</si>
  <si>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</si>
  <si>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</si>
  <si>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</si>
  <si>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</si>
  <si>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</si>
  <si>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</si>
  <si>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</si>
  <si>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</si>
  <si>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</si>
  <si>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</si>
  <si>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</si>
  <si>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</si>
  <si>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</si>
  <si>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</si>
  <si>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</si>
  <si>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</si>
  <si>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</si>
  <si>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</si>
  <si>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</si>
  <si>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</si>
  <si>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</si>
  <si>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</si>
  <si>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</si>
  <si>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</si>
  <si>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</si>
  <si>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</si>
  <si>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</si>
  <si>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</si>
  <si>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</si>
  <si>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</si>
  <si>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</si>
  <si>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</si>
  <si>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</si>
  <si>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</si>
  <si>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</si>
  <si>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</si>
  <si>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</si>
  <si>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</si>
  <si>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</si>
  <si>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</si>
  <si>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</si>
  <si>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</si>
  <si>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</si>
  <si>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</si>
  <si>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</si>
  <si>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</si>
  <si>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</si>
  <si>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</si>
  <si>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</si>
  <si>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</si>
  <si>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</si>
  <si>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</si>
  <si>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</si>
  <si>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</si>
  <si>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</si>
  <si>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</si>
  <si>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</si>
  <si>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</si>
  <si>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</si>
  <si>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</si>
  <si>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</si>
  <si>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</si>
  <si>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</si>
  <si>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</si>
  <si>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</si>
  <si>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</si>
  <si>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</si>
  <si>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</si>
  <si>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</si>
  <si>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</si>
  <si>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</si>
  <si>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</si>
  <si>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</si>
  <si>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</si>
  <si>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</si>
  <si>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</si>
  <si>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</si>
  <si>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</si>
  <si>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</si>
  <si>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</si>
  <si>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</si>
  <si>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</si>
  <si>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</si>
  <si>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</si>
  <si>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</si>
  <si>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</si>
  <si>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</si>
  <si>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</si>
  <si>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</si>
  <si>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</si>
  <si>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</si>
  <si>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</si>
  <si>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</si>
  <si>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</si>
  <si>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</si>
  <si>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</si>
  <si>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</si>
  <si>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</si>
  <si>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</si>
  <si>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</si>
  <si>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</si>
  <si>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</si>
  <si>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</si>
  <si>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</si>
  <si>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</si>
  <si>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</si>
  <si>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</si>
  <si>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</si>
  <si>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</si>
  <si>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</si>
  <si>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</si>
  <si>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</si>
  <si>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</si>
  <si>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</si>
  <si>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</si>
  <si>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</si>
  <si>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</si>
  <si>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</si>
  <si>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</si>
  <si>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</si>
  <si>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</si>
  <si>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</si>
  <si>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</si>
  <si>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</si>
  <si>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</si>
  <si>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</si>
  <si>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</si>
  <si>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</si>
  <si>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</si>
  <si>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</si>
  <si>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</si>
  <si>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</si>
  <si>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</si>
  <si>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</si>
  <si>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</si>
  <si>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</si>
  <si>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</si>
  <si>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</si>
  <si>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</si>
  <si>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</si>
  <si>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</si>
  <si>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</si>
  <si>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</si>
  <si>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</si>
  <si>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</si>
  <si>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</si>
  <si>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</si>
  <si>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</si>
  <si>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</si>
  <si>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</si>
  <si>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地上</t>
  </si>
  <si>
    <t>住宅</t>
  </si>
  <si>
    <t>是</t>
  </si>
  <si>
    <t>自持</t>
    <phoneticPr fontId="3" type="noConversion"/>
  </si>
  <si>
    <t>自持住宅</t>
  </si>
  <si>
    <t>自持住宅</t>
    <phoneticPr fontId="7" type="noConversion"/>
  </si>
  <si>
    <t>房地产抵押价值</t>
  </si>
  <si>
    <t>北京市</t>
  </si>
  <si>
    <t>企业</t>
  </si>
  <si>
    <t>成新度</t>
  </si>
  <si>
    <t>成本法</t>
  </si>
  <si>
    <t>收益法</t>
  </si>
  <si>
    <t>押一</t>
  </si>
  <si>
    <t>钢混</t>
  </si>
  <si>
    <t>非生产用房</t>
  </si>
  <si>
    <t>否</t>
  </si>
  <si>
    <t>城镇住宅用地</t>
  </si>
  <si>
    <t>自定义容积率</t>
  </si>
  <si>
    <t>与级别开发程度不一致</t>
  </si>
  <si>
    <t>通路</t>
  </si>
  <si>
    <t>通电</t>
  </si>
  <si>
    <t>通讯</t>
  </si>
  <si>
    <t>通上水</t>
  </si>
  <si>
    <t>通下水</t>
  </si>
  <si>
    <t>通热</t>
  </si>
  <si>
    <t>燃气</t>
  </si>
  <si>
    <t>平整</t>
  </si>
  <si>
    <t>中心城区以外</t>
  </si>
  <si>
    <t>较差</t>
  </si>
  <si>
    <t>一般</t>
  </si>
  <si>
    <t>较好</t>
  </si>
  <si>
    <t>洋房自持</t>
    <phoneticPr fontId="134" type="noConversion"/>
  </si>
  <si>
    <t>洋房可售</t>
    <phoneticPr fontId="134" type="noConversion"/>
  </si>
  <si>
    <t>别墅可售</t>
    <phoneticPr fontId="134" type="noConversion"/>
  </si>
  <si>
    <t>车位</t>
    <phoneticPr fontId="134" type="noConversion"/>
  </si>
  <si>
    <t>总价</t>
  </si>
  <si>
    <t>情况3</t>
  </si>
  <si>
    <t>正常</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</si>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</sst>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47" fillId="16" borderId="13" xfId="0" applyFont="1" applyFill="1" applyBorder="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估价对象为北京市房地产，为所有。根据《国有土地使用证》[]，估价对象（分摊）出让国有建设用地使用权面积为0平方米，建筑面积为104671.29平方米。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估价对象为北京市房地产,属开发建设的，该项目尚在开发建设中。根据《国有土地使用证》[]，估价对象（分摊）出让国有建设用地使用权面积为0平方米，规划建筑面积为104671.29平方米。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2024年5月9日</v>
      </c>
    </row>
    <row r="13" spans="1:2" s="1203" customFormat="1">
      <c r="A13" s="1201" t="s">
        <v>529</v>
      </c>
      <c r="B13" s="1202" t="str">
        <f>'预评函-1'!A18</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125704</v>
      </c>
    </row>
    <row r="21" spans="1:2" s="1203" customFormat="1">
      <c r="A21" s="1201" t="s">
        <v>537</v>
      </c>
      <c r="B21" s="1202">
        <f ca="1">'预评函-2'!D7</f>
        <v>12009</v>
      </c>
    </row>
    <row r="22" spans="1:2" s="1203" customFormat="1">
      <c r="A22" s="1201" t="s">
        <v>538</v>
      </c>
      <c r="B22" s="1202" t="str">
        <f ca="1">'预评函-2'!D6</f>
        <v>壹拾贰亿伍仟柒佰零肆万元整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125704</v>
      </c>
    </row>
    <row r="31" spans="1:2" s="1203" customFormat="1">
      <c r="A31" s="1201" t="s">
        <v>576</v>
      </c>
      <c r="B31" s="1202">
        <f ca="1">'预评函-2'!D15</f>
        <v>12009</v>
      </c>
    </row>
    <row r="32" spans="1:2" s="1203" customFormat="1">
      <c r="A32" s="1201" t="s">
        <v>543</v>
      </c>
      <c r="B32" s="1202" t="str">
        <f ca="1">'预评函-2'!D14</f>
        <v>壹拾贰亿伍仟柒佰零肆万元整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104671.29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3" sqref="H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973</v>
      </c>
      <c r="C1" s="1541" t="s">
        <v>314</v>
      </c>
      <c r="D1" s="1543" t="s">
        <v>3350</v>
      </c>
      <c r="E1" s="1542" t="s">
        <v>974</v>
      </c>
      <c r="F1" s="1542" t="s">
        <v>975</v>
      </c>
      <c r="G1" s="1542" t="s">
        <v>976</v>
      </c>
      <c r="H1" s="1542" t="s">
        <v>977</v>
      </c>
      <c r="I1" s="1542" t="s">
        <v>978</v>
      </c>
      <c r="J1" s="1542" t="s">
        <v>979</v>
      </c>
      <c r="K1" s="1542" t="s">
        <v>980</v>
      </c>
      <c r="L1" s="1542" t="s">
        <v>981</v>
      </c>
      <c r="M1" s="1542" t="s">
        <v>982</v>
      </c>
      <c r="N1" s="1542" t="s">
        <v>983</v>
      </c>
      <c r="O1" s="1542" t="s">
        <v>984</v>
      </c>
      <c r="P1" s="1543" t="s">
        <v>309</v>
      </c>
      <c r="Q1" s="1543" t="s">
        <v>447</v>
      </c>
      <c r="R1" s="1542" t="s">
        <v>441</v>
      </c>
      <c r="S1" s="1542" t="s">
        <v>985</v>
      </c>
      <c r="T1" s="1544" t="s">
        <v>986</v>
      </c>
      <c r="U1" s="1542" t="s">
        <v>987</v>
      </c>
      <c r="V1" s="1542" t="s">
        <v>988</v>
      </c>
      <c r="W1" s="1542" t="s">
        <v>311</v>
      </c>
    </row>
    <row r="2" spans="1:23">
      <c r="A2" s="1546" t="s">
        <v>19</v>
      </c>
      <c r="B2" s="1546" t="s">
        <v>989</v>
      </c>
      <c r="C2" s="1547" t="s">
        <v>315</v>
      </c>
      <c r="D2" s="1548" t="s">
        <v>990</v>
      </c>
      <c r="E2" s="1548" t="s">
        <v>991</v>
      </c>
      <c r="F2" s="1548" t="s">
        <v>992</v>
      </c>
      <c r="G2" s="1548">
        <v>20</v>
      </c>
      <c r="H2" s="1548" t="s">
        <v>992</v>
      </c>
      <c r="I2" s="1548" t="s">
        <v>3336</v>
      </c>
      <c r="J2" s="1548" t="s">
        <v>993</v>
      </c>
      <c r="K2" s="1548" t="s">
        <v>994</v>
      </c>
      <c r="L2" s="1548" t="s">
        <v>994</v>
      </c>
      <c r="M2" s="1548" t="s">
        <v>994</v>
      </c>
      <c r="N2" s="1548" t="s">
        <v>994</v>
      </c>
      <c r="O2" s="1548" t="s">
        <v>994</v>
      </c>
      <c r="P2" s="1548" t="s">
        <v>994</v>
      </c>
      <c r="Q2" s="1548" t="s">
        <v>994</v>
      </c>
      <c r="R2" s="1548" t="s">
        <v>443</v>
      </c>
      <c r="S2" s="1548" t="s">
        <v>994</v>
      </c>
      <c r="T2" s="1548" t="s">
        <v>995</v>
      </c>
      <c r="U2" s="1548" t="s">
        <v>994</v>
      </c>
      <c r="V2" s="1548" t="s">
        <v>996</v>
      </c>
      <c r="W2" s="1548" t="s">
        <v>994</v>
      </c>
    </row>
    <row r="3" spans="1:23">
      <c r="A3" s="1546" t="s">
        <v>997</v>
      </c>
      <c r="B3" s="1549" t="s">
        <v>448</v>
      </c>
      <c r="C3" s="1550" t="s">
        <v>316</v>
      </c>
      <c r="D3" s="1548" t="s">
        <v>998</v>
      </c>
      <c r="E3" s="1548" t="s">
        <v>13</v>
      </c>
      <c r="F3" s="1548" t="s">
        <v>999</v>
      </c>
      <c r="G3" s="1548">
        <v>40</v>
      </c>
      <c r="H3" s="1548" t="s">
        <v>999</v>
      </c>
      <c r="I3" s="1548" t="s">
        <v>3337</v>
      </c>
      <c r="J3" s="1548" t="s">
        <v>1000</v>
      </c>
      <c r="K3" s="1548" t="s">
        <v>1001</v>
      </c>
      <c r="L3" s="1548" t="s">
        <v>1001</v>
      </c>
      <c r="M3" s="1548" t="s">
        <v>1001</v>
      </c>
      <c r="N3" s="1548" t="s">
        <v>1001</v>
      </c>
      <c r="O3" s="1548" t="s">
        <v>1001</v>
      </c>
      <c r="P3" s="1548" t="s">
        <v>1001</v>
      </c>
      <c r="Q3" s="1548" t="s">
        <v>1001</v>
      </c>
      <c r="R3" s="1548" t="s">
        <v>442</v>
      </c>
      <c r="S3" s="1548" t="s">
        <v>1001</v>
      </c>
      <c r="T3" s="1548" t="s">
        <v>1002</v>
      </c>
      <c r="U3" s="1548" t="s">
        <v>1001</v>
      </c>
      <c r="V3" s="1548" t="s">
        <v>1003</v>
      </c>
      <c r="W3" s="1548" t="s">
        <v>1001</v>
      </c>
    </row>
    <row r="4" spans="1:23">
      <c r="A4" s="1546" t="s">
        <v>1004</v>
      </c>
      <c r="B4" s="1546" t="s">
        <v>1005</v>
      </c>
      <c r="C4" s="1547" t="s">
        <v>317</v>
      </c>
      <c r="D4" s="1548" t="s">
        <v>389</v>
      </c>
      <c r="E4" s="1548" t="s">
        <v>1006</v>
      </c>
      <c r="F4" s="1548" t="s">
        <v>1007</v>
      </c>
      <c r="G4" s="1548">
        <v>50</v>
      </c>
      <c r="H4" s="1548" t="s">
        <v>1007</v>
      </c>
      <c r="I4" s="1548" t="s">
        <v>3338</v>
      </c>
      <c r="K4" s="1548" t="s">
        <v>1008</v>
      </c>
      <c r="L4" s="1548" t="s">
        <v>1008</v>
      </c>
      <c r="M4" s="1548" t="s">
        <v>1008</v>
      </c>
      <c r="N4" s="1548" t="s">
        <v>1008</v>
      </c>
      <c r="O4" s="1548" t="s">
        <v>1008</v>
      </c>
      <c r="P4" s="1548" t="s">
        <v>1008</v>
      </c>
      <c r="Q4" s="1548" t="s">
        <v>1008</v>
      </c>
      <c r="R4" s="1548" t="s">
        <v>444</v>
      </c>
      <c r="S4" s="1548" t="s">
        <v>1008</v>
      </c>
      <c r="T4" s="1548" t="s">
        <v>1009</v>
      </c>
      <c r="U4" s="1548" t="s">
        <v>1008</v>
      </c>
      <c r="W4" s="1548" t="s">
        <v>1008</v>
      </c>
    </row>
    <row r="5" spans="1:23">
      <c r="A5" s="1546" t="s">
        <v>1010</v>
      </c>
      <c r="B5" s="1546" t="s">
        <v>1011</v>
      </c>
      <c r="C5" s="1547" t="s">
        <v>318</v>
      </c>
      <c r="F5" s="1548" t="s">
        <v>1012</v>
      </c>
      <c r="G5" s="1548">
        <v>70</v>
      </c>
      <c r="H5" s="1548" t="s">
        <v>1013</v>
      </c>
      <c r="I5" s="1548" t="s">
        <v>3339</v>
      </c>
      <c r="K5" s="1548" t="s">
        <v>1014</v>
      </c>
      <c r="L5" s="1548" t="s">
        <v>1014</v>
      </c>
      <c r="M5" s="1548" t="s">
        <v>1014</v>
      </c>
      <c r="N5" s="1548" t="s">
        <v>1014</v>
      </c>
      <c r="O5" s="1548" t="s">
        <v>1014</v>
      </c>
      <c r="P5" s="1548" t="s">
        <v>1014</v>
      </c>
      <c r="Q5" s="1548" t="s">
        <v>1014</v>
      </c>
      <c r="R5" s="1548" t="s">
        <v>445</v>
      </c>
      <c r="S5" s="1548" t="s">
        <v>1014</v>
      </c>
      <c r="T5" s="1548" t="s">
        <v>1015</v>
      </c>
      <c r="U5" s="1548" t="s">
        <v>1014</v>
      </c>
      <c r="W5" s="1548" t="s">
        <v>1014</v>
      </c>
    </row>
    <row r="6" spans="1:23">
      <c r="A6" s="1546" t="s">
        <v>1016</v>
      </c>
      <c r="B6" s="1549" t="s">
        <v>449</v>
      </c>
      <c r="C6" s="1552" t="s">
        <v>24</v>
      </c>
      <c r="F6" s="1548" t="s">
        <v>1013</v>
      </c>
      <c r="H6" s="1548" t="s">
        <v>1017</v>
      </c>
      <c r="I6" s="1548" t="s">
        <v>3340</v>
      </c>
      <c r="K6" s="1548" t="s">
        <v>1018</v>
      </c>
      <c r="L6" s="1548" t="s">
        <v>1018</v>
      </c>
      <c r="M6" s="1548" t="s">
        <v>1018</v>
      </c>
      <c r="N6" s="1548" t="s">
        <v>1018</v>
      </c>
      <c r="O6" s="1548" t="s">
        <v>1018</v>
      </c>
      <c r="P6" s="1548" t="s">
        <v>1018</v>
      </c>
      <c r="Q6" s="1548" t="s">
        <v>1018</v>
      </c>
      <c r="R6" s="1548" t="s">
        <v>446</v>
      </c>
      <c r="S6" s="1548" t="s">
        <v>1018</v>
      </c>
      <c r="T6" s="1548"/>
      <c r="U6" s="1548" t="s">
        <v>1018</v>
      </c>
      <c r="W6" s="1548" t="s">
        <v>1018</v>
      </c>
    </row>
    <row r="7" spans="1:23">
      <c r="A7" s="1546" t="s">
        <v>1019</v>
      </c>
      <c r="B7" s="1549" t="s">
        <v>450</v>
      </c>
      <c r="C7" s="1547" t="s">
        <v>25</v>
      </c>
      <c r="F7" s="1548" t="s">
        <v>1020</v>
      </c>
      <c r="H7" s="1548" t="s">
        <v>1021</v>
      </c>
      <c r="I7" s="1548" t="s">
        <v>3341</v>
      </c>
    </row>
    <row r="8" spans="1:23">
      <c r="A8" s="1546" t="s">
        <v>1022</v>
      </c>
      <c r="B8" s="1546" t="s">
        <v>1023</v>
      </c>
      <c r="C8" s="1547" t="s">
        <v>319</v>
      </c>
      <c r="F8" s="1548" t="s">
        <v>1024</v>
      </c>
      <c r="H8" s="1548" t="s">
        <v>2577</v>
      </c>
      <c r="I8" s="1548" t="s">
        <v>3342</v>
      </c>
    </row>
    <row r="9" spans="1:23">
      <c r="A9" s="1546" t="s">
        <v>1025</v>
      </c>
      <c r="B9" s="1546" t="s">
        <v>1026</v>
      </c>
      <c r="C9" s="1547" t="s">
        <v>320</v>
      </c>
      <c r="F9" s="1548" t="s">
        <v>1027</v>
      </c>
      <c r="H9" s="1548"/>
      <c r="I9" s="1551" t="s">
        <v>3343</v>
      </c>
    </row>
    <row r="10" spans="1:23">
      <c r="A10" s="1546" t="s">
        <v>1028</v>
      </c>
      <c r="B10" s="1546" t="s">
        <v>1029</v>
      </c>
      <c r="C10" s="1547" t="s">
        <v>321</v>
      </c>
      <c r="F10" s="1548" t="s">
        <v>2578</v>
      </c>
      <c r="I10" s="1551" t="s">
        <v>3344</v>
      </c>
    </row>
    <row r="11" spans="1:23">
      <c r="A11" s="1546" t="s">
        <v>1030</v>
      </c>
      <c r="B11" s="1546" t="s">
        <v>1031</v>
      </c>
      <c r="C11" s="1547" t="s">
        <v>322</v>
      </c>
      <c r="F11" s="1548" t="s">
        <v>13</v>
      </c>
      <c r="I11" s="1551" t="s">
        <v>3345</v>
      </c>
    </row>
    <row r="12" spans="1:23">
      <c r="A12" s="1546" t="s">
        <v>1032</v>
      </c>
      <c r="B12" s="1546" t="s">
        <v>1033</v>
      </c>
      <c r="C12" s="1547" t="s">
        <v>323</v>
      </c>
      <c r="I12" s="1551" t="s">
        <v>3346</v>
      </c>
    </row>
    <row r="13" spans="1:23">
      <c r="A13" s="1546" t="s">
        <v>1034</v>
      </c>
      <c r="B13" s="1546" t="s">
        <v>1035</v>
      </c>
      <c r="C13" s="1547" t="s">
        <v>324</v>
      </c>
      <c r="I13" s="1551" t="s">
        <v>3347</v>
      </c>
    </row>
    <row r="14" spans="1:23">
      <c r="A14" s="1546" t="s">
        <v>1036</v>
      </c>
      <c r="B14" s="1546" t="s">
        <v>1037</v>
      </c>
      <c r="C14" s="1548" t="s">
        <v>13</v>
      </c>
      <c r="I14" s="1551" t="s">
        <v>3348</v>
      </c>
    </row>
    <row r="15" spans="1:23">
      <c r="A15" s="1546" t="s">
        <v>1038</v>
      </c>
      <c r="B15" s="1546" t="s">
        <v>1039</v>
      </c>
      <c r="C15" s="1547"/>
      <c r="I15" s="1551" t="s">
        <v>3349</v>
      </c>
    </row>
    <row r="16" spans="1:23">
      <c r="A16" s="1546" t="s">
        <v>1040</v>
      </c>
      <c r="B16" s="1546" t="s">
        <v>312</v>
      </c>
      <c r="C16" s="1547"/>
    </row>
    <row r="17" spans="1:3">
      <c r="A17" s="1546" t="s">
        <v>1041</v>
      </c>
      <c r="B17" s="1546" t="s">
        <v>2289</v>
      </c>
      <c r="C17" s="1547"/>
    </row>
    <row r="18" spans="1:3">
      <c r="A18" s="1546" t="s">
        <v>1042</v>
      </c>
      <c r="B18" s="1546" t="s">
        <v>2433</v>
      </c>
      <c r="C18" s="1547"/>
    </row>
    <row r="19" spans="1:3">
      <c r="A19" s="1546" t="s">
        <v>1043</v>
      </c>
      <c r="B19" s="1546" t="s">
        <v>313</v>
      </c>
      <c r="C19" s="1547"/>
    </row>
    <row r="20" spans="1:3">
      <c r="A20" s="1546" t="s">
        <v>1044</v>
      </c>
      <c r="B20" s="1546" t="s">
        <v>313</v>
      </c>
      <c r="C20" s="1547"/>
    </row>
    <row r="21" spans="1:3">
      <c r="A21" s="1546" t="s">
        <v>1045</v>
      </c>
      <c r="B21" s="1546" t="s">
        <v>313</v>
      </c>
      <c r="C21" s="1547"/>
    </row>
    <row r="22" spans="1:3">
      <c r="A22" s="1546" t="s">
        <v>1046</v>
      </c>
      <c r="B22" s="1546" t="s">
        <v>313</v>
      </c>
      <c r="C22" s="1547"/>
    </row>
    <row r="23" spans="1:3">
      <c r="A23" s="1546" t="s">
        <v>1047</v>
      </c>
      <c r="B23" s="1546" t="s">
        <v>313</v>
      </c>
      <c r="C23" s="1547"/>
    </row>
    <row r="24" spans="1:3">
      <c r="A24" s="1546" t="s">
        <v>1048</v>
      </c>
      <c r="B24" s="1546" t="s">
        <v>313</v>
      </c>
      <c r="C24" s="1547"/>
    </row>
    <row r="25" spans="1:3">
      <c r="A25" s="1546" t="s">
        <v>1049</v>
      </c>
      <c r="B25" s="1546" t="s">
        <v>313</v>
      </c>
      <c r="C25" s="1547"/>
    </row>
    <row r="26" spans="1:3">
      <c r="A26" s="1546" t="s">
        <v>1050</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2" t="s">
        <v>2580</v>
      </c>
      <c r="J2" s="3492"/>
      <c r="K2" s="3492"/>
      <c r="L2" s="3492"/>
      <c r="M2" s="3492"/>
      <c r="N2" s="3492"/>
      <c r="O2" s="3492"/>
      <c r="P2" s="3492"/>
      <c r="Q2" s="3492"/>
      <c r="R2" s="3492"/>
    </row>
    <row r="3" spans="1:18">
      <c r="A3" s="3020" t="s">
        <v>2501</v>
      </c>
      <c r="B3" s="3021">
        <f>项目基本情况!D3</f>
        <v>45421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2.61</v>
      </c>
      <c r="D5" s="3025">
        <f>IF(ISERROR(ROUND(POWER(1+E5,A5-C5)*(POWER(1+E5,C5)-1)/(POWER(1+E5,A5)-1),3)),0,ROUND(POWER(1+E5,A5-C5)*(POWER(1+E5,C5)-1)/(POWER(1+E5,A5)-1),4))</f>
        <v>0.1229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12.62</v>
      </c>
      <c r="D6" s="3025">
        <f>IF(ISERROR(ROUND(POWER(1+E6,A6-C6)*(POWER(1+E6,C6)-1)/(POWER(1+E6,A6)-1),3)),0,ROUND(POWER(1+E6,A6-C6)*(POWER(1+E6,C6)-1)/(POWER(1+E6,A6)-1),4))</f>
        <v>0.45429999999999998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32.630000000000003</v>
      </c>
      <c r="D7" s="3025">
        <f>IF(ISERROR(ROUND(POWER(1+E7,A7-C7)*(POWER(1+E7,C7)-1)/(POWER(1+E7,A7)-1),3)),0,ROUND(POWER(1+E7,A7-C7)*(POWER(1+E7,C7)-1)/(POWER(1+E7,A7)-1),4))</f>
        <v>0.77139999999999997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G36" sqref="G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2166</v>
      </c>
      <c r="B3" s="2373"/>
      <c r="C3" s="2374" t="s">
        <v>2167</v>
      </c>
      <c r="D3" s="2373">
        <v>45421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3375</v>
      </c>
      <c r="C8" s="2390"/>
      <c r="D8" s="3504" t="s">
        <v>2173</v>
      </c>
      <c r="E8" s="2391" t="s">
        <v>3385</v>
      </c>
      <c r="F8" s="2392"/>
      <c r="G8" s="2663"/>
      <c r="H8" s="2663"/>
      <c r="I8" s="2663"/>
      <c r="J8" s="2439"/>
      <c r="K8" s="2614"/>
      <c r="L8" s="2613"/>
      <c r="M8" s="2613"/>
      <c r="N8" s="2439"/>
      <c r="O8" s="2450"/>
      <c r="P8" s="2439"/>
      <c r="Q8" s="2439"/>
      <c r="R8" s="2439"/>
    </row>
    <row r="9" spans="1:30" ht="13.5" thickBot="1">
      <c r="A9" s="2393" t="s">
        <v>2174</v>
      </c>
      <c r="B9" s="2394" t="s">
        <v>3385</v>
      </c>
      <c r="C9" s="2395"/>
      <c r="D9" s="3505"/>
      <c r="E9" s="2394" t="s">
        <v>43</v>
      </c>
      <c r="F9" s="2396"/>
      <c r="G9" s="2665"/>
      <c r="H9" s="2665"/>
      <c r="I9" s="2665"/>
      <c r="J9" s="2439"/>
      <c r="K9" s="2616"/>
      <c r="L9" s="2613"/>
      <c r="M9" s="2613"/>
      <c r="N9" s="2439"/>
      <c r="O9" s="2450"/>
      <c r="P9" s="2439"/>
      <c r="Q9" s="2439"/>
      <c r="R9" s="2439"/>
    </row>
    <row r="10" spans="1:30" ht="13.5" thickTop="1">
      <c r="A10" s="2397" t="s">
        <v>2175</v>
      </c>
      <c r="B10" s="2398" t="s">
        <v>3386</v>
      </c>
      <c r="C10" s="2399"/>
      <c r="D10" s="2382"/>
      <c r="E10" s="2400" t="s">
        <v>2176</v>
      </c>
      <c r="F10" s="2666"/>
      <c r="G10" s="2667"/>
      <c r="H10" s="2668"/>
      <c r="I10" s="2669"/>
      <c r="J10" s="2439"/>
      <c r="K10" s="2616"/>
      <c r="L10" s="2613"/>
      <c r="M10" s="2613"/>
      <c r="N10" s="2439"/>
      <c r="O10" s="2450"/>
      <c r="P10" s="2439"/>
      <c r="Q10" s="2439"/>
      <c r="R10" s="2439"/>
    </row>
    <row r="11" spans="1:30">
      <c r="A11" s="2401" t="s">
        <v>2177</v>
      </c>
      <c r="B11" s="2402" t="s">
        <v>3387</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2576</v>
      </c>
      <c r="J12" s="3062"/>
      <c r="K12" s="2613"/>
      <c r="L12" s="2613"/>
      <c r="M12" s="2439"/>
      <c r="N12" s="2450"/>
      <c r="O12" s="2439"/>
      <c r="P12" s="2439"/>
      <c r="Q12" s="2439"/>
      <c r="AD12" s="1745"/>
    </row>
    <row r="13" spans="1:30">
      <c r="A13" s="3423" t="s">
        <v>3331</v>
      </c>
      <c r="B13" s="2407" t="s">
        <v>2186</v>
      </c>
      <c r="C13" s="856">
        <v>68366</v>
      </c>
      <c r="D13" s="856"/>
      <c r="E13" s="856"/>
      <c r="F13" s="856"/>
      <c r="G13" s="856"/>
      <c r="H13" s="856"/>
      <c r="I13" s="856"/>
      <c r="J13" s="3062"/>
      <c r="K13" s="2613"/>
      <c r="L13" s="2613"/>
      <c r="M13" s="2439"/>
      <c r="N13" s="2450"/>
      <c r="O13" s="2439"/>
      <c r="P13" s="2439"/>
      <c r="Q13" s="2439"/>
      <c r="AD13" s="1745"/>
    </row>
    <row r="14" spans="1:30">
      <c r="A14" s="1081"/>
      <c r="B14" s="2407" t="s">
        <v>2187</v>
      </c>
      <c r="C14" s="2408">
        <v>70</v>
      </c>
      <c r="D14" s="2408"/>
      <c r="E14" s="2408"/>
      <c r="F14" s="2408"/>
      <c r="G14" s="2408"/>
      <c r="H14" s="2408"/>
      <c r="I14" s="2408"/>
      <c r="J14" s="3063"/>
      <c r="K14" s="2613"/>
      <c r="L14" s="2613"/>
      <c r="M14" s="2439"/>
      <c r="N14" s="2450"/>
      <c r="O14" s="2439"/>
      <c r="P14" s="2439"/>
      <c r="Q14" s="2439"/>
      <c r="AD14" s="1745"/>
    </row>
    <row r="15" spans="1:30">
      <c r="A15" s="320"/>
      <c r="B15" s="2409" t="s">
        <v>2188</v>
      </c>
      <c r="C15" s="2410">
        <f>IF(A13="出让",IF(C13="","",ROUNDDOWN(MIN((C13-$D$3)/365,C14),2)),C14)</f>
        <v>62.86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2189</v>
      </c>
      <c r="B16" s="3511"/>
      <c r="C16" s="3512"/>
      <c r="D16" s="3513"/>
      <c r="E16" s="2413" t="s">
        <v>2190</v>
      </c>
      <c r="F16" s="3514"/>
      <c r="G16" s="3515"/>
      <c r="H16" s="3515"/>
      <c r="I16" s="3516"/>
      <c r="J16" s="2439"/>
      <c r="K16" s="2617"/>
      <c r="L16" s="2451"/>
      <c r="M16" s="2451"/>
      <c r="N16" s="2509"/>
      <c r="O16" s="2451"/>
      <c r="P16" s="2509"/>
      <c r="Q16" s="2439"/>
      <c r="R16" s="2439"/>
    </row>
    <row r="17" spans="1:28">
      <c r="A17" s="313" t="s">
        <v>2191</v>
      </c>
      <c r="B17" s="302" t="s">
        <v>2192</v>
      </c>
      <c r="C17" s="8">
        <f>'数据-汇总表'!E3</f>
        <v>104671.29</v>
      </c>
      <c r="D17" s="2322" t="s">
        <v>2193</v>
      </c>
      <c r="E17" s="3517" t="s">
        <v>2194</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0</v>
      </c>
      <c r="D18" s="1092" t="s">
        <v>2197</v>
      </c>
      <c r="E18" s="3520" t="s">
        <v>2198</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1051</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07" t="s">
        <v>2202</v>
      </c>
      <c r="C20" s="3508"/>
      <c r="D20" s="3509" t="s">
        <v>2203</v>
      </c>
      <c r="E20" s="3510"/>
      <c r="F20" s="2647" t="s">
        <v>1052</v>
      </c>
      <c r="G20" s="2664"/>
      <c r="H20" s="2664"/>
      <c r="I20" s="2664"/>
      <c r="J20" s="2439"/>
      <c r="K20" s="3506"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1053</v>
      </c>
      <c r="D21" s="1568" t="s">
        <v>2206</v>
      </c>
      <c r="E21" s="2635" t="s">
        <v>1053</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1054</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1055</v>
      </c>
      <c r="C24" s="2641"/>
      <c r="D24" s="2637" t="s">
        <v>1055</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1056</v>
      </c>
      <c r="C25" s="2641"/>
      <c r="D25" s="2637" t="s">
        <v>1056</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1057</v>
      </c>
      <c r="C26" s="2645"/>
      <c r="D26" s="2643" t="s">
        <v>1057</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2210</v>
      </c>
      <c r="B27" s="320" t="s">
        <v>2211</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2214</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2215</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493" t="s">
        <v>2224</v>
      </c>
      <c r="T34" s="2428" t="str">
        <f>NUMBERSTRING(7-K34,1)&amp;"通"</f>
        <v>七通</v>
      </c>
      <c r="U34" s="2439"/>
      <c r="V34" s="2439"/>
    </row>
    <row r="35" spans="1:30">
      <c r="A35" s="2429"/>
      <c r="B35" s="3500" t="s">
        <v>2225</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2579</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t="s">
        <v>369</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t="s">
        <v>229</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121773.29999999999</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121773.29999999999</v>
      </c>
      <c r="H5" s="13">
        <f t="shared" ref="H5:AT5" si="0">SUM(H13:H656)</f>
        <v>121773.29999999999</v>
      </c>
      <c r="I5" s="13">
        <f t="shared" si="0"/>
        <v>104671.29</v>
      </c>
      <c r="J5" s="13">
        <f t="shared" si="0"/>
        <v>0</v>
      </c>
      <c r="K5" s="13">
        <f t="shared" si="0"/>
        <v>17102.009999999998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104671.29</v>
      </c>
      <c r="BA5" s="15">
        <f t="shared" si="1"/>
        <v>104671.29</v>
      </c>
      <c r="BB5" s="15">
        <f t="shared" si="1"/>
        <v>104671.29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3379</v>
      </c>
      <c r="J9" s="809"/>
      <c r="K9" s="1603" t="s">
        <v>3379</v>
      </c>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3380</v>
      </c>
      <c r="J10" s="809"/>
      <c r="K10" s="1609" t="s">
        <v>3380</v>
      </c>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t="str">
        <f>K9</f>
        <v>地上</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住宅</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3382</v>
      </c>
      <c r="D13" s="1625" t="s">
        <v>3381</v>
      </c>
      <c r="E13" s="13">
        <f>IF($C$3="是",ROUND($A$3*G13/$B$3,2),ROUND($A$3*(G13-AT13)/$B$3,2))</f>
        <v>0</v>
      </c>
      <c r="F13" s="29"/>
      <c r="G13" s="30">
        <f>H13+AC13+AT13</f>
        <v>104671.29</v>
      </c>
      <c r="H13" s="17">
        <f>SUMIF(I$12:AB$12,"总值",I13:AB13)</f>
        <v>104671.29</v>
      </c>
      <c r="I13" s="1626">
        <v>104671.29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自持</v>
      </c>
      <c r="AY13" s="1349">
        <f>ROUND($AY$6*AZ13/$AZ$5,2)</f>
        <v>0</v>
      </c>
      <c r="AZ13" s="13">
        <f>BA13+BL13</f>
        <v>104671.29</v>
      </c>
      <c r="BA13" s="13">
        <f>SUM(BB13:BK13)</f>
        <v>104671.29</v>
      </c>
      <c r="BB13" s="13">
        <f>IF($D13="是",I13-J13,0)</f>
        <v>104671.29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17102.009999999998</v>
      </c>
      <c r="H14" s="17">
        <f>SUMIF(I$12:AB$12,"总值",I14:AB14)</f>
        <v>17102.009999999998</v>
      </c>
      <c r="I14" s="1626"/>
      <c r="J14" s="1626"/>
      <c r="K14" s="1626">
        <v>17102.009999999998</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532" t="s">
        <v>1127</v>
      </c>
      <c r="B2" s="3532"/>
      <c r="C2" s="3532"/>
      <c r="D2" s="796" t="s">
        <v>1103</v>
      </c>
      <c r="E2" s="1639" t="s">
        <v>1104</v>
      </c>
      <c r="F2" s="2659"/>
      <c r="G2" s="2650"/>
      <c r="H2" s="2651"/>
      <c r="I2" s="2325" t="s">
        <v>1128</v>
      </c>
      <c r="J2" s="2659"/>
      <c r="K2" s="2659"/>
      <c r="L2" s="2659"/>
      <c r="M2" s="2659"/>
      <c r="N2" s="2661"/>
      <c r="O2" s="2659"/>
      <c r="P2" s="2659"/>
    </row>
    <row r="3" spans="1:16" ht="15.75" thickBot="1">
      <c r="A3" s="3533" t="s">
        <v>1101</v>
      </c>
      <c r="B3" s="3533"/>
      <c r="C3" s="3533"/>
      <c r="D3" s="43">
        <f>'数据-基础表'!AY6</f>
        <v>0</v>
      </c>
      <c r="E3" s="43">
        <f>'数据-基础表'!AZ5</f>
        <v>104671.29</v>
      </c>
      <c r="F3" s="2659"/>
      <c r="G3" s="1145"/>
      <c r="H3" s="1026" t="s">
        <v>1102</v>
      </c>
      <c r="I3" s="855" t="e">
        <f>ROUND('数据-基础表'!B3/'数据-基础表'!A3,2)</f>
        <v>#DIV/0!</v>
      </c>
      <c r="J3" s="2659"/>
      <c r="K3" s="2659"/>
      <c r="L3" s="2659"/>
      <c r="M3" s="2659"/>
      <c r="N3" s="2661"/>
      <c r="O3" s="2659"/>
      <c r="P3" s="2659"/>
    </row>
    <row r="4" spans="1:16" ht="15">
      <c r="A4" s="3534"/>
      <c r="B4" s="3535"/>
      <c r="C4" s="3536"/>
      <c r="D4" s="1641" t="s">
        <v>1103</v>
      </c>
      <c r="E4" s="1642" t="s">
        <v>1104</v>
      </c>
      <c r="F4" s="2659"/>
      <c r="G4" s="2652" t="s">
        <v>1129</v>
      </c>
      <c r="H4" s="1026" t="s">
        <v>1109</v>
      </c>
      <c r="I4" s="855" t="e">
        <f>ROUND(SUMIF('数据-基础表'!I9:AS9,"地上",'数据-基础表'!I5:AS5)/'数据-基础表'!A3,2)</f>
        <v>#DIV/0!</v>
      </c>
      <c r="J4" s="2659"/>
      <c r="K4" s="2659"/>
      <c r="L4" s="2659"/>
      <c r="M4" s="2659"/>
      <c r="N4" s="2661"/>
      <c r="O4" s="2659"/>
      <c r="P4" s="2659"/>
    </row>
    <row r="5" spans="1:16">
      <c r="A5" s="44" t="s">
        <v>1105</v>
      </c>
      <c r="B5" s="3537" t="s">
        <v>1106</v>
      </c>
      <c r="C5" s="3537"/>
      <c r="D5" s="45">
        <f>ROUND($D$3*E5/$E$3,2)</f>
        <v>0</v>
      </c>
      <c r="E5" s="46">
        <f>SUMIF('数据-基础表'!$11:$11,"住宅",'数据-基础表'!$5:$5)</f>
        <v>104671.29</v>
      </c>
      <c r="F5" s="2659"/>
      <c r="G5" s="1145"/>
      <c r="H5" s="1026" t="s">
        <v>1102</v>
      </c>
      <c r="I5" s="855" t="e">
        <f>ROUND(E31/D31,2)</f>
        <v>#DIV/0!</v>
      </c>
      <c r="J5" s="2659"/>
      <c r="K5" s="2659"/>
      <c r="L5" s="2659"/>
      <c r="M5" s="2659"/>
      <c r="N5" s="2659"/>
      <c r="O5" s="2659"/>
      <c r="P5" s="2659"/>
    </row>
    <row r="6" spans="1:16" ht="15" thickBot="1">
      <c r="A6" s="1644"/>
      <c r="B6" s="3537" t="s">
        <v>1107</v>
      </c>
      <c r="C6" s="3537"/>
      <c r="D6" s="45">
        <f>ROUND($D$3*E6/$E$3,2)</f>
        <v>0</v>
      </c>
      <c r="E6" s="46">
        <f>E3-E5</f>
        <v>0</v>
      </c>
      <c r="F6" s="2659"/>
      <c r="G6" s="2653" t="s">
        <v>1108</v>
      </c>
      <c r="H6" s="1146" t="s">
        <v>1109</v>
      </c>
      <c r="I6" s="2654" t="e">
        <f>ROUND(F31/D31,2)</f>
        <v>#DIV/0!</v>
      </c>
      <c r="J6" s="2659"/>
      <c r="K6" s="2659"/>
      <c r="L6" s="2659"/>
      <c r="M6" s="2659"/>
      <c r="N6" s="2659"/>
      <c r="O6" s="2659"/>
      <c r="P6" s="2659"/>
    </row>
    <row r="7" spans="1:16" ht="15.75" thickBot="1">
      <c r="A7" s="3529"/>
      <c r="B7" s="3530"/>
      <c r="C7" s="3531"/>
      <c r="D7" s="1641" t="s">
        <v>1103</v>
      </c>
      <c r="E7" s="1645" t="s">
        <v>1110</v>
      </c>
      <c r="F7" s="2659"/>
      <c r="G7" s="2655" t="s">
        <v>1111</v>
      </c>
      <c r="H7" s="2656"/>
      <c r="I7" s="2657">
        <v>1</v>
      </c>
      <c r="J7" s="2659"/>
      <c r="K7" s="2659"/>
      <c r="L7" s="2659"/>
      <c r="M7" s="2659"/>
      <c r="N7" s="2659"/>
      <c r="O7" s="2659"/>
      <c r="P7" s="2659"/>
    </row>
    <row r="8" spans="1:16">
      <c r="A8" s="44" t="s">
        <v>1112</v>
      </c>
      <c r="B8" s="47" t="s">
        <v>1113</v>
      </c>
      <c r="C8" s="45" t="s">
        <v>1114</v>
      </c>
      <c r="D8" s="45">
        <f t="shared" ref="D8:D15" si="0">ROUND($D$3*E8/$E$3,2)</f>
        <v>0</v>
      </c>
      <c r="E8" s="48">
        <f>SUMIF('数据-基础表'!BB10:BK10,"地上",'数据-基础表'!BB5:BK5)</f>
        <v>104671.29</v>
      </c>
      <c r="F8" s="2659"/>
      <c r="G8" s="2660"/>
      <c r="H8" s="2660"/>
      <c r="I8" s="2659"/>
      <c r="J8" s="2659"/>
      <c r="K8" s="2659"/>
      <c r="L8" s="2659"/>
      <c r="M8" s="2659"/>
      <c r="N8" s="2659"/>
      <c r="O8" s="2659"/>
      <c r="P8" s="2659"/>
    </row>
    <row r="9" spans="1:16">
      <c r="A9" s="1646"/>
      <c r="B9" s="1647"/>
      <c r="C9" s="45" t="s">
        <v>1115</v>
      </c>
      <c r="D9" s="45">
        <f t="shared" si="0"/>
        <v>0</v>
      </c>
      <c r="E9" s="49">
        <v>0</v>
      </c>
      <c r="F9" s="2659"/>
      <c r="G9" s="2660"/>
      <c r="H9" s="2660"/>
      <c r="I9" s="2659"/>
      <c r="J9" s="2659"/>
      <c r="K9" s="2659"/>
      <c r="L9" s="2659"/>
      <c r="M9" s="2659"/>
      <c r="N9" s="2659"/>
      <c r="O9" s="2659"/>
      <c r="P9" s="2659"/>
    </row>
    <row r="10" spans="1:16">
      <c r="A10" s="1646"/>
      <c r="B10" s="1647"/>
      <c r="C10" s="45" t="s">
        <v>1124</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1116</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1117</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1118</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1130</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1125</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1119</v>
      </c>
      <c r="D16" s="47">
        <f>SUM(D8:D15)</f>
        <v>0</v>
      </c>
      <c r="E16" s="50">
        <f>SUM(E8:E15)</f>
        <v>104671.29</v>
      </c>
      <c r="F16" s="2659"/>
      <c r="G16" s="2660"/>
      <c r="H16" s="1648" t="s">
        <v>1131</v>
      </c>
      <c r="I16" s="1649"/>
      <c r="J16" s="1139"/>
      <c r="K16" s="3526" t="s">
        <v>1131</v>
      </c>
      <c r="L16" s="3527"/>
      <c r="M16" s="3527"/>
      <c r="N16" s="3527"/>
      <c r="O16" s="3527"/>
      <c r="P16" s="3528"/>
    </row>
    <row r="17" spans="1:19" ht="15">
      <c r="A17" s="1650" t="s">
        <v>1132</v>
      </c>
      <c r="B17" s="1651" t="s">
        <v>1133</v>
      </c>
      <c r="C17" s="1652" t="s">
        <v>1134</v>
      </c>
      <c r="D17" s="1653" t="s">
        <v>1122</v>
      </c>
      <c r="E17" s="1654" t="s">
        <v>1123</v>
      </c>
      <c r="F17" s="1655"/>
      <c r="G17" s="1656"/>
      <c r="H17" s="1657" t="s">
        <v>1135</v>
      </c>
      <c r="I17" s="1658" t="s">
        <v>1120</v>
      </c>
      <c r="J17" s="1139"/>
      <c r="K17" s="3523" t="s">
        <v>1136</v>
      </c>
      <c r="L17" s="3524"/>
      <c r="M17" s="3525"/>
      <c r="N17" s="3523" t="s">
        <v>1137</v>
      </c>
      <c r="O17" s="3524"/>
      <c r="P17" s="3525"/>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7" t="s">
        <v>3384</v>
      </c>
      <c r="D19" s="45">
        <f>ROUND($D$3*E19/$E$3,2)</f>
        <v>0</v>
      </c>
      <c r="E19" s="53">
        <f t="shared" ref="E19:E26" si="1">SUM(F19:G19)</f>
        <v>104671.29</v>
      </c>
      <c r="F19" s="2795">
        <f>'数据-基础表'!I13</f>
        <v>104671.29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104671.29</v>
      </c>
    </row>
    <row r="20" spans="1:19">
      <c r="A20" s="1670"/>
      <c r="B20" s="47" t="s">
        <v>1149</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104671.29</v>
      </c>
      <c r="F27" s="1140">
        <f>IF(SUM(F19:F26)=E8,SUM(F19:F26),"地上面积有误")</f>
        <v>104671.29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104671.29</v>
      </c>
    </row>
    <row r="28" spans="1:19">
      <c r="A28" s="1670"/>
      <c r="B28" s="47" t="s">
        <v>1151</v>
      </c>
      <c r="C28" s="1038" t="s">
        <v>1152</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1151</v>
      </c>
      <c r="C29" s="1674" t="s">
        <v>1153</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1150</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1154</v>
      </c>
      <c r="D31" s="676">
        <f>D27+D30</f>
        <v>0</v>
      </c>
      <c r="E31" s="676">
        <f>E27+E30</f>
        <v>104671.29</v>
      </c>
      <c r="F31" s="677">
        <f>F27+F30</f>
        <v>104671.29</v>
      </c>
      <c r="G31" s="678">
        <f>G27+G30</f>
        <v>0</v>
      </c>
      <c r="H31" s="2659"/>
      <c r="I31" s="2659"/>
      <c r="J31" s="2659"/>
      <c r="K31" s="2659"/>
      <c r="L31" s="2659"/>
      <c r="M31" s="2659"/>
      <c r="N31" s="2659"/>
      <c r="O31" s="2659"/>
      <c r="P31" s="2659"/>
    </row>
    <row r="32" spans="1:19">
      <c r="A32" s="1643"/>
      <c r="B32" s="1643" t="s">
        <v>1155</v>
      </c>
      <c r="C32" s="1643"/>
      <c r="D32" s="1643"/>
      <c r="E32" s="1053">
        <f>SUMIF(C19:C26,"*住宅*",E19:E26)</f>
        <v>104671.29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1157</v>
      </c>
      <c r="B2" s="1045">
        <f>项目基本情况!D3</f>
        <v>45421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8"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3388</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自持住宅</v>
      </c>
      <c r="B6" s="1713" t="str">
        <f>IF(A6=0,"","经营性")</f>
        <v>经营性</v>
      </c>
      <c r="C6" s="1714" t="s">
        <v>3380</v>
      </c>
      <c r="D6" s="858">
        <f>SUMIF(项目基本情况!C$12:I$12,C6,项目基本情况!C$14:I$14)</f>
        <v>70</v>
      </c>
      <c r="E6" s="857">
        <f>IF(B6="","",SUMIF(项目基本情况!C$12:I$12,C6,项目基本情况!C$13:I$13))</f>
        <v>68366</v>
      </c>
      <c r="F6" s="64">
        <f>SUMIF(项目基本情况!C$12:I$12,C6,项目基本情况!C$15:I$15)</f>
        <v>62.86</v>
      </c>
      <c r="G6" s="65">
        <f>IF(ISERROR(ROUND(POWER(1+H6,D6-F6)*(POWER(1+H6,F6)-1)/(POWER(1+H6,D6)-1),3)),0,ROUND(POWER(1+H6,D6-F6)*(POWER(1+H6,F6)-1)/(POWER(1+H6,D6)-1),3))</f>
        <v>0.98199999999999998</v>
      </c>
      <c r="H6" s="732">
        <v>4.4999999999999998E-2</v>
      </c>
      <c r="I6" s="732">
        <v>0.05</v>
      </c>
      <c r="J6" s="66">
        <v>7.0000000000000007E-2</v>
      </c>
      <c r="K6" s="1030">
        <f>SUMIF('数据-汇总表'!C$19:C$33,A6,'数据-汇总表'!E$19:E$33)</f>
        <v>104671.29</v>
      </c>
      <c r="L6" s="733">
        <v>4500</v>
      </c>
      <c r="M6" s="67">
        <f t="shared" ref="M6:M14" si="0">ROUND(K6*L6/10000,0)</f>
        <v>47102</v>
      </c>
      <c r="N6" s="731">
        <f>ROUND(1-(2024-2021)/60,2)</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0.8</v>
      </c>
      <c r="V6" s="70">
        <v>0.02</v>
      </c>
      <c r="W6" s="70">
        <v>0.15</v>
      </c>
      <c r="X6" s="1040"/>
      <c r="Y6" s="71">
        <f>N6</f>
        <v>0.95</v>
      </c>
      <c r="Z6" s="72"/>
      <c r="AA6" s="66"/>
      <c r="AB6" s="66"/>
      <c r="AC6" s="1040"/>
      <c r="AD6" s="73"/>
      <c r="AE6" s="1041">
        <f ca="1">IF(AN6="",0,SUMIF(INDIRECT("'"&amp;AN6&amp;"'"&amp;"!E:E"),$AE$5,INDIRECT("'"&amp;AN6&amp;"'"&amp;"!F:F")))</f>
        <v>62.86</v>
      </c>
      <c r="AF6" s="1348"/>
      <c r="AG6" s="138">
        <f>IF(AF6="",0,AE6-AF6)</f>
        <v>0</v>
      </c>
      <c r="AH6" s="74"/>
      <c r="AI6" s="76">
        <v>365</v>
      </c>
      <c r="AJ6" s="77"/>
      <c r="AK6" s="78">
        <v>0.01</v>
      </c>
      <c r="AL6" s="79">
        <v>1.5E-3</v>
      </c>
      <c r="AM6" s="80">
        <v>0.01</v>
      </c>
      <c r="AN6" s="1715" t="s">
        <v>3390</v>
      </c>
      <c r="AO6" s="52">
        <f ca="1">SUMIF(INDIRECT("'"&amp;AN6&amp;"'"&amp;"!A:A"),"总价",INDIRECT("'"&amp;AN6&amp;"'"&amp;"!B:B"))</f>
        <v>37948</v>
      </c>
      <c r="AP6" s="1716">
        <f>IF(C6="住宅",K6*L6,0)</f>
        <v>471020805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0.98199999999999998</v>
      </c>
      <c r="H16" s="90">
        <f>ROUND(SUMPRODUCT(H6:H13,K6:K13)/SUMPRODUCT((H6:H13&gt;0)*(K6:K13)),3)</f>
        <v>4.4999999999999998E-2</v>
      </c>
      <c r="I16" s="91"/>
      <c r="J16" s="91"/>
      <c r="K16" s="92">
        <f>SUM(K6:K15)</f>
        <v>104671.29</v>
      </c>
      <c r="L16" s="93">
        <f>ROUND(M16*10000/SUM(K6:K14),0)</f>
        <v>4500</v>
      </c>
      <c r="M16" s="93">
        <f>SUM(M6:M14)</f>
        <v>47102</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1206</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1207</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1208</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1209</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1210</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1211</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1212</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1213</v>
      </c>
      <c r="B26" s="1726" t="s">
        <v>1214</v>
      </c>
      <c r="C26" s="2677" t="s">
        <v>1215</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1216</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0.05</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0.02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1226</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1227</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1228</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1229</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1230</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1231</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1232</v>
      </c>
      <c r="B44" s="119">
        <v>0.05</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1233</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1234</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1235</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1236</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1237</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1238</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1239</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1240</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1241</v>
      </c>
      <c r="B53" s="1738" t="s">
        <v>29</v>
      </c>
      <c r="C53" s="2661" t="s">
        <v>1242</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1243</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1244</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1245</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1246</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1247</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1248</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1249</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1250</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1251</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1252</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2282</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D17"/>
    </sheetView>
  </sheetViews>
  <sheetFormatPr defaultColWidth="9" defaultRowHeight="13.5"/>
  <cols>
    <col min="1" max="1" width="25" style="2513" customWidth="1"/>
    <col min="2" max="9" width="15.75" style="2513" customWidth="1"/>
    <col min="10" max="16384" width="9" style="2513"/>
  </cols>
  <sheetData>
    <row r="1" spans="1:11" ht="16.5">
      <c r="A1" s="2512" t="s">
        <v>661</v>
      </c>
      <c r="B1" s="2512">
        <f>SUM(B14:B23)</f>
        <v>122198.29999999999</v>
      </c>
      <c r="C1" s="2686"/>
      <c r="D1" s="2686"/>
      <c r="E1" s="2686"/>
      <c r="F1" s="2686"/>
      <c r="G1" s="2687"/>
      <c r="H1" s="2688"/>
      <c r="I1" s="2688"/>
      <c r="J1" s="2688"/>
      <c r="K1" s="2688"/>
    </row>
    <row r="2" spans="1:11" ht="16.5">
      <c r="A2" s="2512" t="s">
        <v>649</v>
      </c>
      <c r="B2" s="2512">
        <f>SUM(C14:C23)</f>
        <v>0</v>
      </c>
      <c r="C2" s="2686"/>
      <c r="D2" s="2686"/>
      <c r="E2" s="2686"/>
      <c r="F2" s="2686"/>
      <c r="G2" s="2687"/>
      <c r="H2" s="2688"/>
      <c r="I2" s="2688"/>
      <c r="J2" s="2688"/>
      <c r="K2" s="2688"/>
    </row>
    <row r="3" spans="1:11" ht="16.5">
      <c r="A3" s="2512" t="s">
        <v>658</v>
      </c>
      <c r="B3" s="2514">
        <f>项目基本情况!D3</f>
        <v>45421</v>
      </c>
      <c r="C3" s="2686"/>
      <c r="D3" s="2686"/>
      <c r="E3" s="2686"/>
      <c r="F3" s="2686"/>
      <c r="G3" s="2687"/>
      <c r="H3" s="2688"/>
      <c r="I3" s="2688"/>
      <c r="J3" s="2688"/>
      <c r="K3" s="2688"/>
    </row>
    <row r="4" spans="1:11" ht="33">
      <c r="A4" s="2512" t="s">
        <v>657</v>
      </c>
      <c r="B4" s="2512" t="s">
        <v>656</v>
      </c>
      <c r="C4" s="2512" t="s">
        <v>655</v>
      </c>
      <c r="D4" s="2512" t="s">
        <v>654</v>
      </c>
      <c r="E4" s="2686"/>
      <c r="F4" s="2687"/>
      <c r="G4" s="2687"/>
      <c r="H4" s="2688"/>
      <c r="I4" s="2688"/>
      <c r="J4" s="2688"/>
      <c r="K4" s="2688"/>
    </row>
    <row r="5" spans="1:11" ht="16.5">
      <c r="A5" s="2512" t="s">
        <v>653</v>
      </c>
      <c r="B5" s="2512">
        <f>SUM(D14:D23)</f>
        <v>151565.57599999997</v>
      </c>
      <c r="C5" s="2512">
        <f>IF(B5=D14,结果表!H102,ROUND(B5*10000/$B$1,0))</f>
        <v>12403</v>
      </c>
      <c r="D5" s="2512" t="e">
        <f>ROUND(B5*10000/$B$2,0)</f>
        <v>#DIV/0!</v>
      </c>
      <c r="E5" s="2686"/>
      <c r="F5" s="2687"/>
      <c r="G5" s="2687"/>
      <c r="H5" s="2688"/>
      <c r="I5" s="2688"/>
      <c r="J5" s="2688"/>
      <c r="K5" s="2688"/>
    </row>
    <row r="6" spans="1:11" ht="16.5">
      <c r="A6" s="2512" t="s">
        <v>652</v>
      </c>
      <c r="B6" s="2512">
        <f>SUM(G14:G23)</f>
        <v>0</v>
      </c>
      <c r="C6" s="2512">
        <f ca="1">IF(B6=G14,结果表!H108,ROUND(B6*10000/$B$1,0))</f>
        <v>12009</v>
      </c>
      <c r="D6" s="2512" t="e">
        <f>ROUND(B6*10000/$B$2,0)</f>
        <v>#DIV/0!</v>
      </c>
      <c r="E6" s="2686"/>
      <c r="F6" s="2687"/>
      <c r="G6" s="2687"/>
      <c r="H6" s="2688"/>
      <c r="I6" s="2688"/>
      <c r="J6" s="2688"/>
      <c r="K6" s="2688"/>
    </row>
    <row r="7" spans="1:11" ht="16.5">
      <c r="A7" s="2512" t="s">
        <v>660</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651</v>
      </c>
      <c r="B9" s="2520"/>
      <c r="C9" s="2686"/>
      <c r="D9" s="2686"/>
      <c r="E9" s="2686"/>
      <c r="F9" s="2687"/>
      <c r="G9" s="2687"/>
      <c r="H9" s="2688"/>
      <c r="I9" s="2688"/>
      <c r="J9" s="2688"/>
      <c r="K9" s="2688"/>
    </row>
    <row r="10" spans="1:11" ht="16.5">
      <c r="A10" s="2512" t="s">
        <v>650</v>
      </c>
      <c r="B10" s="2512">
        <f>IF(E10="",0,ROUND(B1*(E10*365/G10)/10000,0))</f>
        <v>0</v>
      </c>
      <c r="C10" s="2512" t="s">
        <v>3355</v>
      </c>
      <c r="D10" s="2512" t="s">
        <v>3356</v>
      </c>
      <c r="E10" s="3441"/>
      <c r="F10" s="3445" t="s">
        <v>3357</v>
      </c>
      <c r="G10" s="3442"/>
      <c r="H10" s="2688"/>
      <c r="I10" s="2688"/>
      <c r="J10" s="2688"/>
      <c r="K10" s="2688"/>
    </row>
    <row r="11" spans="1:11" ht="16.5">
      <c r="A11" s="2512" t="s">
        <v>666</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665</v>
      </c>
      <c r="B13" s="2516" t="s">
        <v>662</v>
      </c>
      <c r="C13" s="2516" t="s">
        <v>664</v>
      </c>
      <c r="D13" s="2516" t="s">
        <v>663</v>
      </c>
      <c r="E13" s="2512" t="s">
        <v>655</v>
      </c>
      <c r="F13" s="2512" t="s">
        <v>654</v>
      </c>
      <c r="G13" s="2516" t="s">
        <v>648</v>
      </c>
      <c r="H13" s="2516" t="s">
        <v>659</v>
      </c>
      <c r="I13" s="2516" t="s">
        <v>647</v>
      </c>
      <c r="J13" s="2687"/>
      <c r="K13" s="2688"/>
    </row>
    <row r="14" spans="1:11" ht="16.5">
      <c r="A14" s="2517" t="s">
        <v>3410</v>
      </c>
      <c r="B14" s="2518">
        <f>'数据-基础表'!I13</f>
        <v>104671.29</v>
      </c>
      <c r="C14" s="2518"/>
      <c r="D14" s="2518">
        <f>E14*B14/10000</f>
        <v>125605.548</v>
      </c>
      <c r="E14" s="2518">
        <v>12000</v>
      </c>
      <c r="F14" s="2518" t="e">
        <f>ROUND(D14*10000/C14,0)</f>
        <v>#DIV/0!</v>
      </c>
      <c r="G14" s="2518"/>
      <c r="H14" s="2518"/>
      <c r="I14" s="2518"/>
      <c r="J14" s="2687"/>
      <c r="K14" s="2688"/>
    </row>
    <row r="15" spans="1:11" ht="16.5">
      <c r="A15" s="2517" t="s">
        <v>3411</v>
      </c>
      <c r="B15" s="2519">
        <v>13143.29</v>
      </c>
      <c r="C15" s="2519"/>
      <c r="D15" s="2518">
        <f>E15*B15/10000</f>
        <v>15771.948</v>
      </c>
      <c r="E15" s="2518">
        <v>12000</v>
      </c>
      <c r="F15" s="2518" t="e">
        <f>ROUND(D15*10000/C15,0)</f>
        <v>#DIV/0!</v>
      </c>
      <c r="G15" s="1331"/>
      <c r="H15" s="1331"/>
      <c r="I15" s="2519"/>
      <c r="J15" s="2687"/>
      <c r="K15" s="2688"/>
    </row>
    <row r="16" spans="1:11" ht="16.5">
      <c r="A16" s="2517" t="s">
        <v>3412</v>
      </c>
      <c r="B16" s="2519">
        <v>3958.72</v>
      </c>
      <c r="C16" s="2519"/>
      <c r="D16" s="2518">
        <f>E16*B16/10000</f>
        <v>5938.08</v>
      </c>
      <c r="E16" s="2518">
        <v>15000</v>
      </c>
      <c r="F16" s="2518" t="e">
        <f>ROUND(D16*10000/C16,0)</f>
        <v>#DIV/0!</v>
      </c>
      <c r="G16" s="1331"/>
      <c r="H16" s="1331"/>
      <c r="I16" s="2519"/>
      <c r="J16" s="2688"/>
      <c r="K16" s="2688"/>
    </row>
    <row r="17" spans="1:11" ht="16.5">
      <c r="A17" s="2517" t="s">
        <v>3413</v>
      </c>
      <c r="B17" s="2519">
        <v>425</v>
      </c>
      <c r="C17" s="2519"/>
      <c r="D17" s="2518">
        <f>E17*B17/10000</f>
        <v>4250</v>
      </c>
      <c r="E17" s="2518">
        <v>100000</v>
      </c>
      <c r="F17" s="2518" t="e">
        <f t="shared" ref="F17:F23" si="0">ROUND(D17*10000/C17,0)</f>
        <v>#DIV/0!</v>
      </c>
      <c r="G17" s="1331"/>
      <c r="H17" s="1331"/>
      <c r="I17" s="2519"/>
      <c r="J17" s="2688"/>
      <c r="K17" s="2688"/>
    </row>
    <row r="18" spans="1:11" ht="16.5">
      <c r="A18" s="2517" t="s">
        <v>646</v>
      </c>
      <c r="B18" s="2519"/>
      <c r="C18" s="2519"/>
      <c r="D18" s="2519"/>
      <c r="E18" s="2518" t="e">
        <f t="shared" ref="E18:E23" si="1">ROUND(D18*10000/B18,0)</f>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52" sqref="F5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c r="D1" s="1747"/>
      <c r="E1" s="1747"/>
      <c r="F1" s="1749" t="s">
        <v>1259</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1260</v>
      </c>
      <c r="B3" s="3579"/>
      <c r="C3" s="3579"/>
      <c r="D3" s="3579"/>
      <c r="E3" s="3579"/>
      <c r="F3" s="3579"/>
      <c r="G3" s="3579"/>
      <c r="H3" s="3579"/>
      <c r="I3" s="3579"/>
    </row>
    <row r="4" spans="1:12" ht="14.25">
      <c r="A4" s="1754" t="s">
        <v>1261</v>
      </c>
      <c r="B4" s="1755" t="s">
        <v>1262</v>
      </c>
      <c r="C4" s="1756" t="s">
        <v>3389</v>
      </c>
      <c r="D4" s="1756" t="s">
        <v>3390</v>
      </c>
      <c r="E4" s="3580" t="s">
        <v>1263</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1264</v>
      </c>
      <c r="B5" s="3541">
        <v>25</v>
      </c>
      <c r="C5" s="3557"/>
      <c r="D5" s="3577"/>
      <c r="E5" s="131" t="s">
        <v>1265</v>
      </c>
      <c r="F5" s="1757"/>
      <c r="G5" s="1757"/>
      <c r="H5" s="1757"/>
      <c r="I5" s="1373"/>
    </row>
    <row r="6" spans="1:12" ht="12.75">
      <c r="A6" s="3554"/>
      <c r="B6" s="3541"/>
      <c r="C6" s="3558"/>
      <c r="D6" s="3577"/>
      <c r="E6" s="131" t="s">
        <v>1266</v>
      </c>
      <c r="F6" s="1757"/>
      <c r="G6" s="1757"/>
      <c r="H6" s="1757"/>
      <c r="I6" s="1373"/>
    </row>
    <row r="7" spans="1:12" ht="12.75">
      <c r="A7" s="3554"/>
      <c r="B7" s="3541"/>
      <c r="C7" s="3559"/>
      <c r="D7" s="3577"/>
      <c r="E7" s="131" t="s">
        <v>1267</v>
      </c>
      <c r="F7" s="1757"/>
      <c r="G7" s="1757"/>
      <c r="H7" s="1757"/>
      <c r="I7" s="1373"/>
    </row>
    <row r="8" spans="1:12" ht="12.75">
      <c r="A8" s="3554" t="s">
        <v>1268</v>
      </c>
      <c r="B8" s="3541">
        <v>15</v>
      </c>
      <c r="C8" s="3557"/>
      <c r="D8" s="3577"/>
      <c r="E8" s="131" t="s">
        <v>1269</v>
      </c>
      <c r="F8" s="1757"/>
      <c r="G8" s="1757"/>
      <c r="H8" s="1757"/>
      <c r="I8" s="1373"/>
    </row>
    <row r="9" spans="1:12" ht="12.75">
      <c r="A9" s="3554"/>
      <c r="B9" s="3541"/>
      <c r="C9" s="3559"/>
      <c r="D9" s="3577"/>
      <c r="E9" s="131" t="s">
        <v>1270</v>
      </c>
      <c r="F9" s="1757"/>
      <c r="G9" s="1757"/>
      <c r="H9" s="1757"/>
      <c r="I9" s="1373"/>
    </row>
    <row r="10" spans="1:12" ht="12.75">
      <c r="A10" s="3554" t="s">
        <v>1271</v>
      </c>
      <c r="B10" s="3541">
        <v>15</v>
      </c>
      <c r="C10" s="3557"/>
      <c r="D10" s="3577"/>
      <c r="E10" s="131" t="s">
        <v>1272</v>
      </c>
      <c r="F10" s="1757"/>
      <c r="G10" s="1757"/>
      <c r="H10" s="1757"/>
      <c r="I10" s="1373"/>
    </row>
    <row r="11" spans="1:12" ht="12.75">
      <c r="A11" s="3554"/>
      <c r="B11" s="3541"/>
      <c r="C11" s="3559"/>
      <c r="D11" s="3577"/>
      <c r="E11" s="131" t="s">
        <v>1273</v>
      </c>
      <c r="F11" s="1757"/>
      <c r="G11" s="1757"/>
      <c r="H11" s="1757"/>
      <c r="I11" s="1373"/>
    </row>
    <row r="12" spans="1:12" ht="12.75">
      <c r="A12" s="3554" t="s">
        <v>1274</v>
      </c>
      <c r="B12" s="3541">
        <v>15</v>
      </c>
      <c r="C12" s="3557"/>
      <c r="D12" s="3577"/>
      <c r="E12" s="131" t="s">
        <v>1275</v>
      </c>
      <c r="F12" s="1757"/>
      <c r="G12" s="1757"/>
      <c r="H12" s="1757"/>
      <c r="I12" s="1373"/>
    </row>
    <row r="13" spans="1:12" ht="12.75">
      <c r="A13" s="3554"/>
      <c r="B13" s="3541"/>
      <c r="C13" s="3559"/>
      <c r="D13" s="3577"/>
      <c r="E13" s="131" t="s">
        <v>1276</v>
      </c>
      <c r="F13" s="1757"/>
      <c r="G13" s="1757"/>
      <c r="H13" s="1757"/>
      <c r="I13" s="1373"/>
    </row>
    <row r="14" spans="1:12" ht="12.75">
      <c r="A14" s="3554" t="s">
        <v>1277</v>
      </c>
      <c r="B14" s="3541">
        <v>30</v>
      </c>
      <c r="C14" s="3557">
        <v>6</v>
      </c>
      <c r="D14" s="3577">
        <v>4</v>
      </c>
      <c r="E14" s="131" t="s">
        <v>1278</v>
      </c>
      <c r="F14" s="1757"/>
      <c r="G14" s="1757"/>
      <c r="H14" s="1757"/>
      <c r="I14" s="1373"/>
    </row>
    <row r="15" spans="1:12" ht="12.75">
      <c r="A15" s="3554"/>
      <c r="B15" s="3541"/>
      <c r="C15" s="3558"/>
      <c r="D15" s="3577"/>
      <c r="E15" s="131" t="s">
        <v>1279</v>
      </c>
      <c r="F15" s="1757"/>
      <c r="G15" s="1757"/>
      <c r="H15" s="1757"/>
      <c r="I15" s="1373"/>
    </row>
    <row r="16" spans="1:12" ht="12.75">
      <c r="A16" s="3554"/>
      <c r="B16" s="3541"/>
      <c r="C16" s="3559"/>
      <c r="D16" s="3577"/>
      <c r="E16" s="131" t="s">
        <v>1280</v>
      </c>
      <c r="F16" s="1757"/>
      <c r="G16" s="1757"/>
      <c r="H16" s="1757"/>
      <c r="I16" s="1373"/>
    </row>
    <row r="17" spans="1:36" ht="15">
      <c r="A17" s="1758" t="s">
        <v>1281</v>
      </c>
      <c r="B17" s="56"/>
      <c r="C17" s="132">
        <f>SUM(C5:C16)</f>
        <v>6</v>
      </c>
      <c r="D17" s="132">
        <f>SUM(D5:D16)</f>
        <v>4</v>
      </c>
      <c r="E17" s="129"/>
      <c r="F17" s="129"/>
      <c r="G17" s="129"/>
      <c r="H17" s="129"/>
      <c r="I17" s="129"/>
      <c r="K17" s="302"/>
      <c r="L17" s="302" t="s">
        <v>1282</v>
      </c>
      <c r="M17" s="302" t="s">
        <v>1283</v>
      </c>
    </row>
    <row r="18" spans="1:36" ht="31.9" customHeight="1" thickBot="1">
      <c r="A18" s="1759" t="s">
        <v>1284</v>
      </c>
      <c r="B18" s="1760"/>
      <c r="C18" s="133">
        <f>ROUND(C17/SUM(C17:D17),2)</f>
        <v>0.6</v>
      </c>
      <c r="D18" s="133">
        <f>1-C18</f>
        <v>0.4</v>
      </c>
      <c r="E18" s="3564" t="s">
        <v>2127</v>
      </c>
      <c r="F18" s="3565"/>
      <c r="G18" s="3565"/>
      <c r="H18" s="3565"/>
      <c r="I18" s="3565"/>
      <c r="K18" s="302" t="s">
        <v>1285</v>
      </c>
      <c r="L18" s="302">
        <f>IF(C1="",'数据-汇总表'!E3,SUMIF(项目类型,C1,'数据-汇总表'!E17:E26)+SUMIF(项目类型,C1,'数据-汇总表'!I17:I26))</f>
        <v>104671.29</v>
      </c>
      <c r="M18" s="302">
        <f>IF(C1="",'数据-汇总表'!E3,SUMIF(项目类型,C1,'数据-汇总表'!E17:E26))</f>
        <v>104671.29</v>
      </c>
    </row>
    <row r="19" spans="1:36" ht="15">
      <c r="A19" s="1761" t="s">
        <v>1286</v>
      </c>
      <c r="B19" s="1762" t="s">
        <v>1287</v>
      </c>
      <c r="C19" s="134">
        <f ca="1">SUMIF(INDIRECT("'"&amp;C4&amp;"'"&amp;"!A:A"),结果表!B19,INDIRECT("'"&amp;C4&amp;"'"&amp;"!B:B"))</f>
        <v>184208</v>
      </c>
      <c r="D19" s="135">
        <f ca="1">SUMIF(INDIRECT("'"&amp;D4&amp;"'"&amp;"!A:A"),结果表!B19,INDIRECT("'"&amp;D4&amp;"'"&amp;"!B:B"))</f>
        <v>37948</v>
      </c>
      <c r="E19" s="1761" t="s">
        <v>1288</v>
      </c>
      <c r="F19" s="1762" t="s">
        <v>1287</v>
      </c>
      <c r="G19" s="136">
        <f ca="1">ROUND(C19*$C$18+D19*$D$18,0)</f>
        <v>125704</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17599</v>
      </c>
      <c r="D20" s="138">
        <f ca="1">SUMIF(INDIRECT("'"&amp;D4&amp;"'"&amp;"!A:A"),结果表!B20,INDIRECT("'"&amp;D4&amp;"'"&amp;"!B:B"))</f>
        <v>3625</v>
      </c>
      <c r="E20" s="1764"/>
      <c r="F20" s="1026" t="s">
        <v>1291</v>
      </c>
      <c r="G20" s="139">
        <f ca="1">ROUND(C20*$C$18+D20*$D$18,0)</f>
        <v>12009</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f ca="1">IF(C19&lt;D19,D19/C19-1,C19/D19-1)</f>
        <v>3.8542215663539583</v>
      </c>
      <c r="E22" s="129"/>
      <c r="F22" s="129"/>
      <c r="G22" s="129"/>
      <c r="H22" s="129"/>
      <c r="I22" s="129"/>
    </row>
    <row r="23" spans="1:36" ht="13.5" thickBot="1">
      <c r="A23" s="1747"/>
      <c r="B23" s="1747"/>
      <c r="C23" s="1747"/>
      <c r="D23" s="1747"/>
      <c r="E23" s="129"/>
      <c r="F23" s="129"/>
      <c r="G23" s="129"/>
      <c r="H23" s="129"/>
      <c r="I23" s="129"/>
    </row>
    <row r="24" spans="1:36" ht="14.25">
      <c r="A24" s="3548" t="s">
        <v>1295</v>
      </c>
      <c r="B24" s="1762" t="s">
        <v>1287</v>
      </c>
      <c r="C24" s="136">
        <f>IF(B30=0,0,D30)</f>
        <v>0</v>
      </c>
      <c r="D24" s="1769"/>
      <c r="E24" s="129"/>
      <c r="F24" s="129"/>
      <c r="G24" s="129"/>
      <c r="H24" s="129"/>
      <c r="I24" s="129"/>
    </row>
    <row r="25" spans="1:36" ht="14.25">
      <c r="A25" s="3549"/>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1301</v>
      </c>
      <c r="B32" s="1774"/>
      <c r="C32" s="144">
        <f ca="1">IF(D32="总价",G19-C24,G20-C25)</f>
        <v>125704</v>
      </c>
      <c r="D32" s="1775" t="s">
        <v>3414</v>
      </c>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568" t="s">
        <v>1308</v>
      </c>
      <c r="B36" s="1787" t="s">
        <v>1309</v>
      </c>
      <c r="C36" s="145"/>
      <c r="D36" s="1788"/>
      <c r="E36" s="1789"/>
      <c r="F36" s="1790"/>
      <c r="G36" s="129"/>
      <c r="H36" s="129"/>
      <c r="I36" s="129"/>
    </row>
    <row r="37" spans="1:15" ht="15.75" thickBot="1">
      <c r="A37" s="3569"/>
      <c r="B37" s="1674" t="s">
        <v>1310</v>
      </c>
      <c r="C37" s="147"/>
      <c r="D37" s="1139"/>
      <c r="E37" s="1139"/>
      <c r="F37" s="1790"/>
      <c r="G37" s="129"/>
      <c r="H37" s="129"/>
      <c r="I37" s="129"/>
    </row>
    <row r="38" spans="1:15" ht="15.75" thickBot="1">
      <c r="A38" s="3570"/>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545" t="s">
        <v>1322</v>
      </c>
      <c r="B45" s="3546"/>
      <c r="C45" s="3547"/>
      <c r="D45" s="3450">
        <v>150000</v>
      </c>
      <c r="E45" s="156" t="s">
        <v>1323</v>
      </c>
      <c r="F45" s="157">
        <v>1</v>
      </c>
      <c r="G45" s="158" t="s">
        <v>1324</v>
      </c>
      <c r="H45" s="129"/>
      <c r="I45" s="129"/>
      <c r="J45" s="3623" t="s">
        <v>1325</v>
      </c>
      <c r="K45" s="3623"/>
      <c r="L45" s="3623"/>
      <c r="M45" s="3623"/>
      <c r="N45" s="3623"/>
      <c r="O45" s="3623"/>
    </row>
    <row r="46" spans="1:15" ht="14.25" customHeight="1">
      <c r="A46" s="3542" t="s">
        <v>1326</v>
      </c>
      <c r="B46" s="3543"/>
      <c r="C46" s="3543"/>
      <c r="D46" s="3543"/>
      <c r="E46" s="3543"/>
      <c r="F46" s="3543"/>
      <c r="G46" s="3544"/>
      <c r="H46" s="1806"/>
      <c r="I46" s="159"/>
      <c r="J46" s="2523">
        <v>1</v>
      </c>
      <c r="K46" s="3604" t="s">
        <v>1327</v>
      </c>
      <c r="L46" s="3604"/>
      <c r="M46" s="3624"/>
      <c r="N46" s="3624"/>
      <c r="O46" s="3624"/>
    </row>
    <row r="47" spans="1:15" ht="12" customHeight="1">
      <c r="A47" s="160" t="s">
        <v>1328</v>
      </c>
      <c r="B47" s="161"/>
      <c r="C47" s="162"/>
      <c r="D47" s="1087" t="s">
        <v>1329</v>
      </c>
      <c r="E47" s="302" t="s">
        <v>1330</v>
      </c>
      <c r="F47" s="163" t="s">
        <v>1331</v>
      </c>
      <c r="G47" s="2546" t="s">
        <v>1332</v>
      </c>
      <c r="H47" s="2547"/>
      <c r="I47" s="159"/>
      <c r="J47" s="2523">
        <v>2</v>
      </c>
      <c r="K47" s="3604" t="s">
        <v>1333</v>
      </c>
      <c r="L47" s="3604"/>
      <c r="M47" s="3625">
        <f>'数据-取费表'!B2</f>
        <v>45421</v>
      </c>
      <c r="N47" s="3625"/>
      <c r="O47" s="3625"/>
    </row>
    <row r="48" spans="1:15" ht="25.5">
      <c r="A48" s="3573" t="s">
        <v>1334</v>
      </c>
      <c r="B48" s="3556"/>
      <c r="C48" s="3556"/>
      <c r="D48" s="2324">
        <f>IF(H48="情况1",0,IF(H48="情况2",D52,IF(H48="情况3",D53,IF(H48="情况4",D54))))</f>
        <v>7857</v>
      </c>
      <c r="E48" s="2334" t="str">
        <f>IF(H48="情况4","(销售额-原购置价)×税（费）率","销售额×税（费）率")</f>
        <v>销售额×税（费）率</v>
      </c>
      <c r="F48" s="2548">
        <f>IF(H48="情况1","免征",'数据-取费表'!B41)</f>
        <v>5.5000000000000007E-2</v>
      </c>
      <c r="G48" s="2549" t="s">
        <v>1335</v>
      </c>
      <c r="H48" s="2550" t="s">
        <v>3415</v>
      </c>
      <c r="I48" s="1806"/>
      <c r="J48" s="2523">
        <v>3</v>
      </c>
      <c r="K48" s="3604" t="s">
        <v>1336</v>
      </c>
      <c r="L48" s="3604"/>
      <c r="M48" s="3626">
        <f ca="1">H101</f>
        <v>125704</v>
      </c>
      <c r="N48" s="3626"/>
      <c r="O48" s="3626"/>
    </row>
    <row r="49" spans="1:35" ht="25.5" customHeight="1">
      <c r="A49" s="2333" t="s">
        <v>1337</v>
      </c>
      <c r="B49" s="3540" t="s">
        <v>1338</v>
      </c>
      <c r="C49" s="3540"/>
      <c r="D49" s="1590">
        <v>0</v>
      </c>
      <c r="E49" s="324" t="s">
        <v>1339</v>
      </c>
      <c r="F49" s="2424" t="s">
        <v>28</v>
      </c>
      <c r="G49" s="3610"/>
      <c r="H49" s="2310" t="s">
        <v>2130</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125704</v>
      </c>
      <c r="N49" s="3626"/>
      <c r="O49" s="3626"/>
    </row>
    <row r="50" spans="1:35" ht="25.5" customHeight="1">
      <c r="A50" s="2551"/>
      <c r="B50" s="3540" t="s">
        <v>1340</v>
      </c>
      <c r="C50" s="3540"/>
      <c r="D50" s="2552"/>
      <c r="E50" s="332"/>
      <c r="F50" s="2424"/>
      <c r="G50" s="3611"/>
      <c r="H50" s="2312" t="s">
        <v>2131</v>
      </c>
      <c r="I50" s="2311"/>
      <c r="J50" s="3623" t="s">
        <v>1341</v>
      </c>
      <c r="K50" s="3623"/>
      <c r="L50" s="3623"/>
      <c r="M50" s="3623"/>
      <c r="N50" s="3623"/>
      <c r="O50" s="3623"/>
    </row>
    <row r="51" spans="1:35" ht="20.45" customHeight="1">
      <c r="A51" s="2553"/>
      <c r="B51" s="3540" t="s">
        <v>1342</v>
      </c>
      <c r="C51" s="3540"/>
      <c r="D51" s="1087"/>
      <c r="E51" s="327"/>
      <c r="F51" s="2424"/>
      <c r="G51" s="3612"/>
      <c r="H51" s="2312" t="s">
        <v>2132</v>
      </c>
      <c r="I51" s="2311"/>
      <c r="J51" s="2524" t="s">
        <v>1343</v>
      </c>
      <c r="K51" s="3604" t="s">
        <v>1344</v>
      </c>
      <c r="L51" s="3604"/>
      <c r="M51" s="2524" t="s">
        <v>1345</v>
      </c>
      <c r="N51" s="2524" t="s">
        <v>1346</v>
      </c>
      <c r="O51" s="2524" t="s">
        <v>1347</v>
      </c>
    </row>
    <row r="52" spans="1:35" ht="24" customHeight="1">
      <c r="A52" s="2335" t="s">
        <v>1348</v>
      </c>
      <c r="B52" s="3540" t="s">
        <v>1349</v>
      </c>
      <c r="C52" s="3540"/>
      <c r="D52" s="1087">
        <f>ROUND(D45*'数据-取费表'!B41/(1+'数据-取费表'!C42),0)</f>
        <v>7857</v>
      </c>
      <c r="E52" s="2334" t="s">
        <v>1350</v>
      </c>
      <c r="F52" s="2554">
        <f>'数据-取费表'!B41</f>
        <v>5.5000000000000007E-2</v>
      </c>
      <c r="G52" s="2555"/>
      <c r="H52" s="2544"/>
      <c r="I52" s="1807"/>
      <c r="J52" s="2523">
        <v>1</v>
      </c>
      <c r="K52" s="3605" t="s">
        <v>1351</v>
      </c>
      <c r="L52" s="3605"/>
      <c r="M52" s="2525">
        <f>D48</f>
        <v>7857</v>
      </c>
      <c r="N52" s="2523" t="str">
        <f>E48</f>
        <v>销售额×税（费）率</v>
      </c>
      <c r="O52" s="2526">
        <f>F48</f>
        <v>5.5000000000000007E-2</v>
      </c>
    </row>
    <row r="53" spans="1:35" ht="12" customHeight="1">
      <c r="A53" s="2335" t="s">
        <v>1352</v>
      </c>
      <c r="B53" s="3566" t="s">
        <v>2287</v>
      </c>
      <c r="C53" s="3567"/>
      <c r="D53" s="1087">
        <f>ROUND(D45*'数据-取费表'!B41/(1+'数据-取费表'!C42),0)</f>
        <v>7857</v>
      </c>
      <c r="E53" s="2334" t="s">
        <v>1350</v>
      </c>
      <c r="F53" s="2554">
        <f>'数据-取费表'!B41</f>
        <v>5.5000000000000007E-2</v>
      </c>
      <c r="G53" s="2555"/>
      <c r="H53" s="2544"/>
      <c r="I53" s="1807"/>
      <c r="J53" s="2523">
        <v>2</v>
      </c>
      <c r="K53" s="3605" t="s">
        <v>1353</v>
      </c>
      <c r="L53" s="3605"/>
      <c r="M53" s="2525">
        <f t="shared" ref="M53:O54" si="0">D55</f>
        <v>75</v>
      </c>
      <c r="N53" s="2523" t="str">
        <f t="shared" si="0"/>
        <v>销售额×税（费）率</v>
      </c>
      <c r="O53" s="2526">
        <f t="shared" si="0"/>
        <v>5.0000000000000001E-4</v>
      </c>
    </row>
    <row r="54" spans="1:35" ht="12" customHeight="1">
      <c r="A54" s="2335" t="s">
        <v>1354</v>
      </c>
      <c r="B54" s="3566" t="s">
        <v>2288</v>
      </c>
      <c r="C54" s="3567"/>
      <c r="D54" s="1087">
        <f>C68</f>
        <v>7857</v>
      </c>
      <c r="E54" s="327" t="s">
        <v>1355</v>
      </c>
      <c r="F54" s="2554">
        <f>'数据-取费表'!B41</f>
        <v>5.5000000000000007E-2</v>
      </c>
      <c r="G54" s="2555"/>
      <c r="H54" s="2556"/>
      <c r="I54" s="1807"/>
      <c r="J54" s="2523">
        <v>3</v>
      </c>
      <c r="K54" s="3605" t="s">
        <v>1356</v>
      </c>
      <c r="L54" s="3605"/>
      <c r="M54" s="2525">
        <f t="shared" ca="1" si="0"/>
        <v>0</v>
      </c>
      <c r="N54" s="2523" t="str">
        <f t="shared" si="0"/>
        <v>增值额×税（费）率</v>
      </c>
      <c r="O54" s="2527" t="str">
        <f t="shared" si="0"/>
        <v>——</v>
      </c>
    </row>
    <row r="55" spans="1:35" ht="24" customHeight="1">
      <c r="A55" s="3555" t="s">
        <v>1357</v>
      </c>
      <c r="B55" s="3556"/>
      <c r="C55" s="3556"/>
      <c r="D55" s="2324">
        <f>IF(H55="个人住宅",0,ROUND(D45*I55,0))</f>
        <v>75</v>
      </c>
      <c r="E55" s="2334" t="s">
        <v>1358</v>
      </c>
      <c r="F55" s="2554">
        <f>IF(H55="正常",I55,"免征")</f>
        <v>5.0000000000000001E-4</v>
      </c>
      <c r="G55" s="2555"/>
      <c r="H55" s="2550" t="s">
        <v>3416</v>
      </c>
      <c r="I55" s="165">
        <f>'数据-取费表'!B49</f>
        <v>5.0000000000000001E-4</v>
      </c>
      <c r="J55" s="2523" t="str">
        <f>IF(H59="非个人房产","",4)</f>
        <v/>
      </c>
      <c r="K55" s="3605" t="str">
        <f>IF(H59="非个人房产","——","个人所得税")</f>
        <v>——</v>
      </c>
      <c r="L55" s="3605"/>
      <c r="M55" s="2528" t="str">
        <f>D59</f>
        <v>——</v>
      </c>
      <c r="N55" s="2040" t="str">
        <f>E59</f>
        <v>——</v>
      </c>
      <c r="O55" s="2529" t="str">
        <f>F59</f>
        <v>——</v>
      </c>
    </row>
    <row r="56" spans="1:35" ht="24.75">
      <c r="A56" s="3555" t="s">
        <v>1359</v>
      </c>
      <c r="B56" s="3556"/>
      <c r="C56" s="3556"/>
      <c r="D56" s="2324">
        <f ca="1">IF(H56="个人住宅",D57,D58)</f>
        <v>0</v>
      </c>
      <c r="E56" s="2334" t="s">
        <v>1360</v>
      </c>
      <c r="F56" s="2554" t="str">
        <f>IF(H56="正常",F58,"免征")</f>
        <v>——</v>
      </c>
      <c r="G56" s="2557" t="s">
        <v>1361</v>
      </c>
      <c r="H56" s="2558" t="s">
        <v>3416</v>
      </c>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1337</v>
      </c>
      <c r="B57" s="3566" t="s">
        <v>1362</v>
      </c>
      <c r="C57" s="3567"/>
      <c r="D57" s="1590">
        <v>0</v>
      </c>
      <c r="E57" s="324" t="s">
        <v>1339</v>
      </c>
      <c r="F57" s="302"/>
      <c r="G57" s="2555"/>
      <c r="H57" s="2559"/>
      <c r="I57" s="1808"/>
      <c r="J57" s="3605">
        <f>IF(AND(J55="",J56=""),4,IF(项目基本情况!K6="上海银行",结果表!J56+1,结果表!J55+1))</f>
        <v>4</v>
      </c>
      <c r="K57" s="3605" t="s">
        <v>1363</v>
      </c>
      <c r="L57" s="2530" t="s">
        <v>1364</v>
      </c>
      <c r="M57" s="2531"/>
      <c r="N57" s="2532">
        <f ca="1">SUMIF(M52:M56,"&lt;9e307")</f>
        <v>7932</v>
      </c>
      <c r="O57" s="2533"/>
      <c r="P57" s="2690">
        <f ca="1">N57/M49</f>
        <v>6.3100617323235533E-2</v>
      </c>
    </row>
    <row r="58" spans="1:35" ht="24.75">
      <c r="A58" s="2335" t="s">
        <v>1348</v>
      </c>
      <c r="B58" s="3566" t="s">
        <v>1365</v>
      </c>
      <c r="C58" s="3540"/>
      <c r="D58" s="2324">
        <f ca="1">IF(H58="转让取得",C81,C97)</f>
        <v>0</v>
      </c>
      <c r="E58" s="2334" t="s">
        <v>1360</v>
      </c>
      <c r="F58" s="302" t="s">
        <v>28</v>
      </c>
      <c r="G58" s="2555"/>
      <c r="H58" s="2558" t="s">
        <v>3417</v>
      </c>
      <c r="I58" s="1808"/>
      <c r="J58" s="3605"/>
      <c r="K58" s="3605"/>
      <c r="L58" s="2530" t="s">
        <v>1366</v>
      </c>
      <c r="M58" s="2534"/>
      <c r="N58" s="2535" t="str">
        <f ca="1">NUMBERSTRING(INT(N57*10000),2)&amp;"元整"</f>
        <v>柒仟玖佰叁拾贰万元整</v>
      </c>
      <c r="O58" s="2536"/>
    </row>
    <row r="59" spans="1:35" ht="24.75" thickBot="1">
      <c r="A59" s="3608" t="s">
        <v>1367</v>
      </c>
      <c r="B59" s="3609"/>
      <c r="C59" s="360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1361</v>
      </c>
      <c r="H59" s="2314" t="s">
        <v>3418</v>
      </c>
      <c r="I59" s="2313" t="s">
        <v>2133</v>
      </c>
      <c r="J59" s="3606">
        <f>J57+1</f>
        <v>5</v>
      </c>
      <c r="K59" s="3605" t="s">
        <v>1368</v>
      </c>
      <c r="L59" s="2523" t="s">
        <v>1364</v>
      </c>
      <c r="M59" s="2537"/>
      <c r="N59" s="2538">
        <f ca="1">M49-N57</f>
        <v>117772</v>
      </c>
      <c r="O59" s="2539"/>
    </row>
    <row r="60" spans="1:35" ht="12" customHeight="1">
      <c r="A60" s="1809"/>
      <c r="B60" s="1747"/>
      <c r="C60" s="1747"/>
      <c r="D60" s="1747"/>
      <c r="E60" s="1578"/>
      <c r="F60" s="1808"/>
      <c r="G60" s="1808"/>
      <c r="H60" s="1810"/>
      <c r="I60" s="129"/>
      <c r="J60" s="3607"/>
      <c r="K60" s="3605"/>
      <c r="L60" s="2530" t="s">
        <v>1366</v>
      </c>
      <c r="M60" s="2534"/>
      <c r="N60" s="2535" t="str">
        <f ca="1">NUMBERSTRING(INT(N59*10000),2)&amp;"元整"</f>
        <v>壹拾壹亿柒仟柒佰柒拾贰万元整</v>
      </c>
      <c r="O60" s="2536"/>
    </row>
    <row r="61" spans="1:35" ht="13.5" thickBot="1">
      <c r="A61" s="3553" t="s">
        <v>1369</v>
      </c>
      <c r="B61" s="3553"/>
      <c r="C61" s="3553"/>
      <c r="D61" s="3553"/>
      <c r="E61" s="3553"/>
      <c r="F61" s="1808"/>
      <c r="G61" s="1808"/>
      <c r="H61" s="1810"/>
      <c r="I61" s="129"/>
      <c r="J61" s="2523">
        <f>J59+1</f>
        <v>6</v>
      </c>
      <c r="K61" s="3605" t="s">
        <v>1370</v>
      </c>
      <c r="L61" s="3605"/>
      <c r="M61" s="2540"/>
      <c r="N61" s="2541">
        <f ca="1">ROUND(N59*10000/'数据-汇总表'!E3,0)</f>
        <v>11252</v>
      </c>
      <c r="O61" s="2542"/>
    </row>
    <row r="62" spans="1:35" ht="12.75">
      <c r="A62" s="3571" t="s">
        <v>1371</v>
      </c>
      <c r="B62" s="3572"/>
      <c r="C62" s="2021"/>
      <c r="D62" s="2021" t="s">
        <v>1372</v>
      </c>
      <c r="E62" s="166" t="s">
        <v>1373</v>
      </c>
      <c r="F62" s="1808"/>
      <c r="G62" s="1808"/>
      <c r="H62" s="1810"/>
      <c r="I62" s="129"/>
    </row>
    <row r="63" spans="1:35" ht="12.75">
      <c r="A63" s="173" t="s">
        <v>330</v>
      </c>
      <c r="B63" s="167" t="s">
        <v>1374</v>
      </c>
      <c r="C63" s="2564">
        <f>ROUND((C64+C65)/(1+'数据-取费表'!C42),0)</f>
        <v>142857</v>
      </c>
      <c r="D63" s="167"/>
      <c r="E63" s="168"/>
      <c r="F63" s="1808"/>
      <c r="G63" s="1808"/>
      <c r="H63" s="1810"/>
      <c r="I63" s="129"/>
      <c r="J63" s="3630" t="s">
        <v>1375</v>
      </c>
      <c r="K63" s="1332" t="s">
        <v>1376</v>
      </c>
      <c r="L63" s="1332">
        <f ca="1">IF(M49&gt;10000,M49*0.5%,IF(AND(M49&gt;1000,M49&lt;=10000),M49*1%,IF(AND(M49&gt;100,M49&lt;=1000),M49*3%,IF(AND(M49&gt;10,M49&lt;=100),M49*5%,M49*8%))))</f>
        <v>628.52</v>
      </c>
      <c r="M63" s="302">
        <f ca="1">ROUND(L63,1)</f>
        <v>628.5</v>
      </c>
      <c r="N63" s="2543"/>
      <c r="Z63" s="1752"/>
      <c r="AI63" s="1753"/>
    </row>
    <row r="64" spans="1:35" ht="14.25" customHeight="1">
      <c r="A64" s="169" t="s">
        <v>325</v>
      </c>
      <c r="B64" s="170" t="s">
        <v>1377</v>
      </c>
      <c r="C64" s="2565">
        <f>D45</f>
        <v>150000</v>
      </c>
      <c r="D64" s="170" t="s">
        <v>26</v>
      </c>
      <c r="E64" s="172"/>
      <c r="F64" s="1808"/>
      <c r="G64" s="1808"/>
      <c r="H64" s="1810"/>
      <c r="I64" s="129"/>
      <c r="J64" s="3630"/>
      <c r="K64" s="1332" t="s">
        <v>1378</v>
      </c>
      <c r="L64" s="1332">
        <f ca="1">IF(M49&gt;2000,M49*0.5%,IF(AND(M49&gt;1000,M49&lt;=2000),M49*0.6%,IF(AND(M49&gt;500,M49&lt;=1000),M49*0.7%,IF(AND(M49&gt;200,M49&lt;=500),M49*0.8%,IF(AND(M49&gt;100,M49&lt;=200),M49*0.9%,IF(AND(M49&gt;50,M49&lt;=100),M49*1%,IF(AND(M49&gt;20,M49&lt;=50),M49*1.5%,IF(AND(M49&gt;10,M49&lt;=20),M49*2%,IF(AND(M49&gt;1,M49&lt;=10),M49*2.5%)))))))))</f>
        <v>628.52</v>
      </c>
      <c r="M64" s="302">
        <f t="shared" ref="M64:M65" ca="1" si="1">ROUND(L64,1)</f>
        <v>628.5</v>
      </c>
      <c r="N64" s="2544" t="s">
        <v>1379</v>
      </c>
      <c r="Z64" s="1752"/>
      <c r="AI64" s="1753"/>
    </row>
    <row r="65" spans="1:35" ht="14.25" customHeight="1">
      <c r="A65" s="169" t="s">
        <v>326</v>
      </c>
      <c r="B65" s="170" t="s">
        <v>1380</v>
      </c>
      <c r="C65" s="2566"/>
      <c r="D65" s="170"/>
      <c r="E65" s="172"/>
      <c r="F65" s="1808"/>
      <c r="G65" s="1808"/>
      <c r="H65" s="1810"/>
      <c r="I65" s="129"/>
      <c r="J65" s="3630"/>
      <c r="K65" s="1332" t="s">
        <v>1381</v>
      </c>
      <c r="L65" s="1332">
        <f ca="1">IF(M49&gt;1000,M49*0.1%,IF(AND(M49&gt;500,M49&lt;=1000),M49*0.5%,IF(AND(M49&gt;50,M49&lt;=500),M49*1%,IF(AND(M49&gt;1,M49&lt;=50),M49*1.5%))))</f>
        <v>125.70400000000001</v>
      </c>
      <c r="M65" s="302">
        <f t="shared" ca="1" si="1"/>
        <v>125.7</v>
      </c>
      <c r="N65" s="2544" t="s">
        <v>1379</v>
      </c>
      <c r="Z65" s="1752"/>
      <c r="AI65" s="1753"/>
    </row>
    <row r="66" spans="1:35" ht="14.25" customHeight="1">
      <c r="A66" s="173" t="s">
        <v>327</v>
      </c>
      <c r="B66" s="174" t="s">
        <v>1382</v>
      </c>
      <c r="C66" s="2567"/>
      <c r="D66" s="174" t="s">
        <v>26</v>
      </c>
      <c r="E66" s="1338" t="s">
        <v>667</v>
      </c>
      <c r="F66" s="1808"/>
      <c r="G66" s="1808"/>
      <c r="H66" s="1810"/>
      <c r="I66" s="129"/>
      <c r="J66" s="3630"/>
      <c r="K66" s="1332" t="s">
        <v>1383</v>
      </c>
      <c r="L66" s="1332">
        <f ca="1">M49*0.5%</f>
        <v>628.52</v>
      </c>
      <c r="M66" s="302">
        <f ca="1">IF(L66&gt;0.5,0.5,ROUND(L66,0))</f>
        <v>0.5</v>
      </c>
      <c r="N66" s="2544" t="s">
        <v>1384</v>
      </c>
      <c r="Z66" s="1752"/>
      <c r="AI66" s="1753"/>
    </row>
    <row r="67" spans="1:35" ht="14.25" customHeight="1">
      <c r="A67" s="173" t="s">
        <v>328</v>
      </c>
      <c r="B67" s="174" t="s">
        <v>1385</v>
      </c>
      <c r="C67" s="2568">
        <f>C63-C66</f>
        <v>142857</v>
      </c>
      <c r="D67" s="170" t="s">
        <v>26</v>
      </c>
      <c r="E67" s="172"/>
      <c r="F67" s="1808"/>
      <c r="G67" s="1808"/>
      <c r="H67" s="1810"/>
      <c r="I67" s="129"/>
      <c r="J67" s="3630"/>
      <c r="K67" s="1332" t="s">
        <v>1386</v>
      </c>
      <c r="L67" s="1332">
        <f ca="1">IF(M49&gt;=10000,(8.25+(M49-10000)*0.01%),IF(AND(M49&gt;=8000,M49&lt;10000),(7.85+(M49-8000)*0.02%),IF(AND(M49&gt;=5000,M49&lt;8000),(6.65+(M49-5000)*0.04%),IF(AND(M49&gt;=2000,M49&lt;5000),(4.25+(PM49-2000)*0.08%),IF(AND(M49&gt;=1000,M49&lt;2000),(2.75+(M49-1000)*0.15%),IF(AND(M49&gt;=100,M49&lt;1000),(0.5+(M49-100)*0.25%),IF(AND(M49&gt;0,M49&lt;100),M49*0.5%)))))))</f>
        <v>19.820399999999999</v>
      </c>
      <c r="M67" s="302">
        <f ca="1">ROUND(L67*0.9,1)</f>
        <v>17.8</v>
      </c>
      <c r="N67" s="2543"/>
      <c r="Z67" s="1752"/>
      <c r="AI67" s="1753"/>
    </row>
    <row r="68" spans="1:35" ht="14.25" customHeight="1" thickBot="1">
      <c r="A68" s="176" t="s">
        <v>329</v>
      </c>
      <c r="B68" s="177" t="s">
        <v>1387</v>
      </c>
      <c r="C68" s="2569">
        <f>IF(C67&lt;=0,0,ROUND(C67*D68,0))</f>
        <v>7857</v>
      </c>
      <c r="D68" s="2570">
        <f>'数据-取费表'!B41</f>
        <v>5.5000000000000007E-2</v>
      </c>
      <c r="E68" s="178"/>
      <c r="F68" s="1808"/>
      <c r="G68" s="1808"/>
      <c r="H68" s="1810"/>
      <c r="I68" s="129"/>
      <c r="J68" s="3630"/>
      <c r="K68" s="1332" t="s">
        <v>1388</v>
      </c>
      <c r="L68" s="1332">
        <f ca="1">IF(M49&gt;10000,M49*0.5%,IF(AND(M49&gt;5000,M49&lt;=10000),M49*1%,IF(AND(M49&gt;1000,M49&lt;=5000),M49*2%,IF(AND(M49&gt;200,M49&lt;=1000),M49*3%,M49*5%))))</f>
        <v>628.52</v>
      </c>
      <c r="M68" s="302">
        <f ca="1">ROUND(L68,1)</f>
        <v>628.5</v>
      </c>
      <c r="N68" s="2543"/>
      <c r="Z68" s="1752"/>
      <c r="AI68" s="1753"/>
    </row>
    <row r="69" spans="1:35" s="1772" customFormat="1" ht="16.5" customHeight="1">
      <c r="A69" s="1811"/>
      <c r="B69" s="1812"/>
      <c r="C69" s="1813"/>
      <c r="D69" s="1814"/>
      <c r="E69" s="1815"/>
      <c r="F69" s="1578"/>
      <c r="G69" s="1578"/>
      <c r="H69" s="1577"/>
      <c r="I69" s="1747"/>
      <c r="J69" s="3630"/>
      <c r="K69" s="1332" t="s">
        <v>1389</v>
      </c>
      <c r="L69" s="1332"/>
      <c r="M69" s="302">
        <f ca="1">ROUND(SUM(M63:M68),0)</f>
        <v>2030</v>
      </c>
      <c r="N69" s="2545">
        <f ca="1">M69/M49</f>
        <v>1.6149048558518425E-2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1390</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1371</v>
      </c>
      <c r="B71" s="3572"/>
      <c r="C71" s="2021"/>
      <c r="D71" s="2021" t="s">
        <v>1372</v>
      </c>
      <c r="E71" s="179" t="s">
        <v>1373</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1391</v>
      </c>
      <c r="C72" s="2568">
        <f>ROUND(D45/(1+'数据-取费表'!C42),0)</f>
        <v>142857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1392</v>
      </c>
      <c r="C73" s="2568">
        <f>C74+C78</f>
        <v>714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1393</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1394</v>
      </c>
      <c r="C75" s="2571"/>
      <c r="D75" s="170" t="s">
        <v>26</v>
      </c>
      <c r="E75" s="184" t="s">
        <v>1395</v>
      </c>
      <c r="F75" s="2572"/>
      <c r="G75" s="184" t="s">
        <v>1396</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1397</v>
      </c>
      <c r="C76" s="170">
        <f>IF(F75="购房发票",ROUND(C75*H75*D76,0),0)</f>
        <v>0</v>
      </c>
      <c r="D76" s="2574">
        <v>0.05</v>
      </c>
      <c r="E76" s="3566" t="s">
        <v>1398</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1399</v>
      </c>
      <c r="C77" s="170">
        <f>ROUND(IF(G77="个人住宅",0,IF(G77="2016年5月1日前购买",C75*D77,C75*D77/(1+'数据-取费表'!C42))),0)</f>
        <v>0</v>
      </c>
      <c r="D77" s="2575">
        <f>'数据-取费表'!B48+'数据-取费表'!B49</f>
        <v>3.0499999999999999E-2</v>
      </c>
      <c r="E77" s="2324" t="s">
        <v>1400</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1401</v>
      </c>
      <c r="C78" s="2576">
        <f>ROUND(D45*D78/(1+'数据-取费表'!C42),0)</f>
        <v>714</v>
      </c>
      <c r="D78" s="2577">
        <f>'数据-取费表'!B43</f>
        <v>5.000000000000001E-3</v>
      </c>
      <c r="E78" s="3550" t="s">
        <v>1402</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1403</v>
      </c>
      <c r="C79" s="2568">
        <f>C72-C73</f>
        <v>142143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1404</v>
      </c>
      <c r="C80" s="2578">
        <f>IF(C79&lt;=0,0,C79/C73)</f>
        <v>199.07983193277312</v>
      </c>
      <c r="D80" s="170" t="s">
        <v>26</v>
      </c>
      <c r="E80" s="2324" t="str">
        <f>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1405</v>
      </c>
      <c r="C81" s="2579">
        <f>ROUND(IF(C79&lt;=0,0,IF(C80&gt;=200%,C79*60%-C73*35%,IF(C80&gt;=100%,C79*50%-C73*15%,IF(C80&gt;=50%,C79*40%-C73*5%,IF(C80&lt;50%,C79*30%,0))))),0)</f>
        <v>85036</v>
      </c>
      <c r="D81" s="2580"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1406</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1371</v>
      </c>
      <c r="B84" s="3572"/>
      <c r="C84" s="2021"/>
      <c r="D84" s="2021"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1391</v>
      </c>
      <c r="C85" s="2568">
        <f>ROUND(D45/(1+'数据-取费表'!C42),0)</f>
        <v>142857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1392</v>
      </c>
      <c r="C86" s="2568">
        <f ca="1">IF(H88="仅含出让金",C87+C90+C91+C92+C93+C94,C87+C91+C92+C93+C94)</f>
        <v>227209.01789399999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1407</v>
      </c>
      <c r="C87" s="2576">
        <f>C88+C89</f>
        <v>121735.01789399998</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1408</v>
      </c>
      <c r="C88" s="2582">
        <f>11286*系统读取表!B14/10000</f>
        <v>118132.01789399998</v>
      </c>
      <c r="D88" s="2577"/>
      <c r="E88" s="193" t="s">
        <v>1409</v>
      </c>
      <c r="F88" s="2327"/>
      <c r="G88" s="194" t="s">
        <v>1410</v>
      </c>
      <c r="H88" s="1824" t="s">
        <v>3419</v>
      </c>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1399</v>
      </c>
      <c r="C89" s="2576">
        <f>ROUND(C88*D89,0)</f>
        <v>3603</v>
      </c>
      <c r="D89" s="2577">
        <f>'数据-取费表'!B48+'数据-取费表'!B49</f>
        <v>3.0499999999999999E-2</v>
      </c>
      <c r="E89" s="193" t="s">
        <v>1411</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1412</v>
      </c>
      <c r="C90" s="2582"/>
      <c r="D90" s="2577"/>
      <c r="E90" s="193" t="str">
        <f>IF(H88="-","土地取得成本中已包含该笔费用"," ")</f>
        <v xml:space="preserve"> </v>
      </c>
      <c r="F90" s="2327"/>
      <c r="G90" s="3632" t="s">
        <v>2125</v>
      </c>
      <c r="H90" s="3633"/>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6">
        <f ca="1">IF(H91="——",成本法!C33,I91)</f>
        <v>52492</v>
      </c>
      <c r="D91" s="2577"/>
      <c r="E91" s="3550" t="s">
        <v>1415</v>
      </c>
      <c r="F91" s="3551"/>
      <c r="G91" s="3551"/>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6">
        <f ca="1">ROUND((C87+C90+C91)*D92,0)</f>
        <v>17423</v>
      </c>
      <c r="D92" s="2583">
        <v>0.1</v>
      </c>
      <c r="E92" s="3550" t="s">
        <v>1418</v>
      </c>
      <c r="F92" s="3551"/>
      <c r="G92" s="3551"/>
      <c r="H92" s="3560"/>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6">
        <f>ROUND(D45*D93/(1+'数据-取费表'!C42),0)</f>
        <v>714</v>
      </c>
      <c r="D93" s="2577">
        <f>'数据-取费表'!B43</f>
        <v>5.000000000000001E-3</v>
      </c>
      <c r="E93" s="3550" t="s">
        <v>1402</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82">
        <f ca="1">ROUND((C87+C90+C91)*D94,0)</f>
        <v>34845</v>
      </c>
      <c r="D94" s="2577">
        <v>0.2</v>
      </c>
      <c r="E94" s="3561" t="s">
        <v>1422</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1403</v>
      </c>
      <c r="C95" s="2568">
        <f ca="1">ROUND(C85-C86,0)</f>
        <v>-84352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1404</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1405</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534" t="s">
        <v>1424</v>
      </c>
      <c r="B100" s="3535"/>
      <c r="C100" s="3535"/>
      <c r="D100" s="3552"/>
      <c r="E100" s="3535" t="s">
        <v>1425</v>
      </c>
      <c r="F100" s="3535"/>
      <c r="G100" s="3535"/>
      <c r="H100" s="3552"/>
      <c r="I100" s="129"/>
    </row>
    <row r="101" spans="1:35" ht="18.75" customHeight="1">
      <c r="A101" s="3613" t="s">
        <v>1426</v>
      </c>
      <c r="B101" s="3614"/>
      <c r="C101" s="2585" t="str">
        <f>C4</f>
        <v>成本法</v>
      </c>
      <c r="D101" s="2586" t="str">
        <f>D4</f>
        <v>收益法</v>
      </c>
      <c r="E101" s="3627" t="s">
        <v>1427</v>
      </c>
      <c r="F101" s="3584"/>
      <c r="G101" s="1827" t="s">
        <v>1428</v>
      </c>
      <c r="H101" s="2595">
        <f ca="1">H118</f>
        <v>125704</v>
      </c>
      <c r="I101" s="129"/>
    </row>
    <row r="102" spans="1:35" ht="18.75" customHeight="1">
      <c r="A102" s="3586" t="s">
        <v>1429</v>
      </c>
      <c r="B102" s="2584" t="s">
        <v>1428</v>
      </c>
      <c r="C102" s="2585">
        <f ca="1">IF(D32="楼面单价",ROUND(C19,0),C19)</f>
        <v>184208</v>
      </c>
      <c r="D102" s="2586">
        <f ca="1">IF(D32="楼面单价",ROUND(D19,0),D19)</f>
        <v>37948</v>
      </c>
      <c r="E102" s="3627"/>
      <c r="F102" s="3584"/>
      <c r="G102" s="1827" t="s">
        <v>1430</v>
      </c>
      <c r="H102" s="2555">
        <f ca="1">I118</f>
        <v>12009</v>
      </c>
      <c r="I102" s="129"/>
    </row>
    <row r="103" spans="1:35" ht="42.75" customHeight="1">
      <c r="A103" s="3586"/>
      <c r="B103" s="2584" t="s">
        <v>1430</v>
      </c>
      <c r="C103" s="2587">
        <f ca="1">C20</f>
        <v>17599</v>
      </c>
      <c r="D103" s="2588">
        <f ca="1">D20</f>
        <v>3625</v>
      </c>
      <c r="E103" s="3621" t="s">
        <v>1431</v>
      </c>
      <c r="F103" s="3622"/>
      <c r="G103" s="1828" t="s">
        <v>1432</v>
      </c>
      <c r="H103" s="2595">
        <f>IF(D36="正常操作",H104+H105+H106,H105+H106)</f>
        <v>0</v>
      </c>
      <c r="I103" s="129"/>
    </row>
    <row r="104" spans="1:35" ht="18.75" customHeight="1">
      <c r="A104" s="3586" t="s">
        <v>1433</v>
      </c>
      <c r="B104" s="2589" t="s">
        <v>1428</v>
      </c>
      <c r="C104" s="2590">
        <f ca="1">H118</f>
        <v>125704</v>
      </c>
      <c r="D104" s="2591"/>
      <c r="E104" s="1674" t="s">
        <v>1434</v>
      </c>
      <c r="F104" s="1666"/>
      <c r="G104" s="1828" t="s">
        <v>1432</v>
      </c>
      <c r="H104" s="2596">
        <f>IF(D36="同一抵押权人同一抵押物续贷",C36&amp;"（续贷，未扣减，详见特别提示）",C36)</f>
        <v>0</v>
      </c>
      <c r="I104" s="129"/>
    </row>
    <row r="105" spans="1:35" ht="18.75" customHeight="1" thickBot="1">
      <c r="A105" s="3587"/>
      <c r="B105" s="2592" t="s">
        <v>1430</v>
      </c>
      <c r="C105" s="2593">
        <f ca="1">I118</f>
        <v>12009</v>
      </c>
      <c r="D105" s="2594"/>
      <c r="E105" s="1674" t="s">
        <v>1435</v>
      </c>
      <c r="F105" s="1666"/>
      <c r="G105" s="1828" t="s">
        <v>1432</v>
      </c>
      <c r="H105" s="2597">
        <f>C37</f>
        <v>0</v>
      </c>
      <c r="I105" s="129"/>
    </row>
    <row r="106" spans="1:35" ht="18.75" customHeight="1">
      <c r="A106" s="1747" t="s">
        <v>1436</v>
      </c>
      <c r="B106" s="1747"/>
      <c r="C106" s="1747"/>
      <c r="D106" s="1747"/>
      <c r="E106" s="1829" t="s">
        <v>1437</v>
      </c>
      <c r="F106" s="1666"/>
      <c r="G106" s="1828" t="s">
        <v>1432</v>
      </c>
      <c r="H106" s="2597">
        <f>C38</f>
        <v>0</v>
      </c>
      <c r="I106" s="129"/>
    </row>
    <row r="107" spans="1:35" ht="18.75" customHeight="1">
      <c r="A107" s="129"/>
      <c r="B107" s="129"/>
      <c r="C107" s="129"/>
      <c r="D107" s="129"/>
      <c r="E107" s="3583" t="str">
        <f>IF(项目基本情况!E8="已注销","——","3.房地产抵押价值")</f>
        <v>3.房地产抵押价值</v>
      </c>
      <c r="F107" s="3584"/>
      <c r="G107" s="1827" t="s">
        <v>1428</v>
      </c>
      <c r="H107" s="2595">
        <f ca="1">IF(E107="——","——",H101-H103)</f>
        <v>125704</v>
      </c>
      <c r="I107" s="129"/>
    </row>
    <row r="108" spans="1:35" ht="18.75" customHeight="1">
      <c r="A108" s="129"/>
      <c r="B108" s="129"/>
      <c r="C108" s="129"/>
      <c r="D108" s="129"/>
      <c r="E108" s="3583"/>
      <c r="F108" s="3584"/>
      <c r="G108" s="1827" t="s">
        <v>1430</v>
      </c>
      <c r="H108" s="2555">
        <f ca="1">IF(H107=H101,H102,ROUND(H107*10000/'数据-汇总表'!E3,0))</f>
        <v>12009</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1428</v>
      </c>
      <c r="H109" s="2598" t="str">
        <f>IF(E109="——","——",H101-H105-H106)</f>
        <v>——</v>
      </c>
      <c r="I109" s="129"/>
    </row>
    <row r="110" spans="1:35" ht="18.75" customHeight="1">
      <c r="A110" s="129"/>
      <c r="B110" s="129"/>
      <c r="C110" s="129"/>
      <c r="D110" s="129"/>
      <c r="E110" s="3583"/>
      <c r="F110" s="3584"/>
      <c r="G110" s="1827" t="s">
        <v>1430</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1428</v>
      </c>
      <c r="H111" s="2595" t="str">
        <f>IF(E111="——","——",N59)</f>
        <v>——</v>
      </c>
      <c r="I111" s="129"/>
    </row>
    <row r="112" spans="1:35" ht="18.75" customHeight="1" thickBot="1">
      <c r="A112" s="129"/>
      <c r="B112" s="129"/>
      <c r="C112" s="129"/>
      <c r="D112" s="129"/>
      <c r="E112" s="3616"/>
      <c r="F112" s="3617"/>
      <c r="G112" s="1830" t="s">
        <v>1430</v>
      </c>
      <c r="H112" s="2599" t="str">
        <f>IF(E111="——","——",N61)</f>
        <v>——</v>
      </c>
      <c r="I112" s="129"/>
    </row>
    <row r="113" spans="1:27" ht="18.75" customHeight="1">
      <c r="A113" s="129"/>
      <c r="B113" s="129"/>
      <c r="C113" s="129"/>
      <c r="D113" s="129"/>
      <c r="E113" s="3588" t="s">
        <v>1436</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1438</v>
      </c>
      <c r="B115" s="3599"/>
      <c r="C115" s="3599"/>
      <c r="D115" s="3599"/>
      <c r="E115" s="3599"/>
      <c r="F115" s="3599"/>
      <c r="G115" s="3599"/>
      <c r="H115" s="3599"/>
      <c r="I115" s="3600"/>
    </row>
    <row r="116" spans="1:27" ht="27" customHeight="1">
      <c r="A116" s="3554" t="s">
        <v>1439</v>
      </c>
      <c r="B116" s="3589" t="s">
        <v>1440</v>
      </c>
      <c r="C116" s="3589" t="s">
        <v>1441</v>
      </c>
      <c r="D116" s="3602" t="s">
        <v>1442</v>
      </c>
      <c r="E116" s="3603"/>
      <c r="F116" s="3597" t="s">
        <v>1443</v>
      </c>
      <c r="G116" s="3597"/>
      <c r="H116" s="3554" t="s">
        <v>1444</v>
      </c>
      <c r="I116" s="3554"/>
    </row>
    <row r="117" spans="1:27" ht="18.75" customHeight="1">
      <c r="A117" s="3554"/>
      <c r="B117" s="3590"/>
      <c r="C117" s="3590"/>
      <c r="D117" s="2329" t="s">
        <v>1445</v>
      </c>
      <c r="E117" s="2329" t="s">
        <v>1446</v>
      </c>
      <c r="F117" s="2329" t="s">
        <v>1445</v>
      </c>
      <c r="G117" s="2329" t="s">
        <v>1447</v>
      </c>
      <c r="H117" s="2329" t="s">
        <v>1445</v>
      </c>
      <c r="I117" s="2329" t="s">
        <v>1447</v>
      </c>
    </row>
    <row r="118" spans="1:27" ht="24.75" customHeight="1">
      <c r="A118" s="2600" t="str">
        <f>项目基本情况!S2</f>
        <v>北京市房地产</v>
      </c>
      <c r="B118" s="2329">
        <f>M18</f>
        <v>104671.29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125704</v>
      </c>
      <c r="I118" s="2329">
        <f ca="1">ROUND(IF(D32="楼面单价",C32,H118*10000/B118),0)</f>
        <v>12009</v>
      </c>
    </row>
    <row r="119" spans="1:27" ht="18.75" customHeight="1">
      <c r="A119" s="3554" t="s">
        <v>1448</v>
      </c>
      <c r="B119" s="3554"/>
      <c r="C119" s="3554"/>
      <c r="D119" s="3594" t="e">
        <f ca="1">NUMBERSTRING(INT(D118*10000),2)&amp;"元整"</f>
        <v>#REF!</v>
      </c>
      <c r="E119" s="3596"/>
      <c r="F119" s="3594" t="e">
        <f ca="1">NUMBERSTRING(INT(F118*10000),2)&amp;"元整"</f>
        <v>#REF!</v>
      </c>
      <c r="G119" s="3596"/>
      <c r="H119" s="3594" t="str">
        <f ca="1">NUMBERSTRING(INT(H118*10000),2)&amp;"元整"</f>
        <v>壹拾贰亿伍仟柒佰零肆万元整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1448</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125704</v>
      </c>
      <c r="E122" s="3619"/>
      <c r="F122" s="3619"/>
      <c r="G122" s="3619"/>
      <c r="H122" s="3619"/>
      <c r="I122" s="3620"/>
      <c r="AA122" s="725"/>
    </row>
    <row r="123" spans="1:27" ht="18.75" customHeight="1">
      <c r="A123" s="3554" t="s">
        <v>1448</v>
      </c>
      <c r="B123" s="3554"/>
      <c r="C123" s="3554"/>
      <c r="D123" s="3594" t="str">
        <f ca="1">NUMBERSTRING(INT(D122*10000),2)&amp;"元整"</f>
        <v>壹拾贰亿伍仟柒佰零肆万元整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1448</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1448</v>
      </c>
      <c r="B127" s="3554"/>
      <c r="C127" s="3554"/>
      <c r="D127" s="3594" t="e">
        <f>NUMBERSTRING(INT(D126*10000),2)&amp;"元整"</f>
        <v>#VALUE!</v>
      </c>
      <c r="E127" s="3595"/>
      <c r="F127" s="3595"/>
      <c r="G127" s="3595"/>
      <c r="H127" s="3595"/>
      <c r="I127" s="3596"/>
      <c r="AA127" s="725"/>
    </row>
    <row r="128" spans="1:27" ht="21.75" customHeight="1">
      <c r="A128" s="3601" t="s">
        <v>1449</v>
      </c>
      <c r="B128" s="3601"/>
      <c r="C128" s="3601"/>
      <c r="D128" s="3601"/>
      <c r="E128" s="3601"/>
      <c r="F128" s="3601"/>
      <c r="G128" s="3601"/>
      <c r="H128" s="3601"/>
      <c r="I128" s="3601"/>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f ca="1">IF(D2="——",C52,C52-E2)</f>
        <v>184208</v>
      </c>
      <c r="C2" s="199" t="s">
        <v>1459</v>
      </c>
      <c r="D2" s="1853" t="s">
        <v>43</v>
      </c>
      <c r="E2" s="1169" t="e">
        <f ca="1">SUMIF(INDIRECT("'"&amp;G2&amp;"'"&amp;"!A:A"),"承租人权益价值",INDIRECT("'"&amp;G2&amp;"'"&amp;"!c:c"))</f>
        <v>#REF!</v>
      </c>
      <c r="F2" s="1854" t="s">
        <v>1459</v>
      </c>
      <c r="G2" s="1855"/>
    </row>
    <row r="3" spans="1:9" s="200" customFormat="1" ht="18" customHeight="1" thickBot="1">
      <c r="A3" s="203" t="s">
        <v>1460</v>
      </c>
      <c r="B3" s="204">
        <f ca="1">ROUND(B2*10000/(IF(B1="",'数据-汇总表'!E3,INDIRECT("'数据-取费表'!k"&amp;$G$1))),0)</f>
        <v>17599</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 ca="1">C6+C7+C8</f>
        <v>86291.032000000007</v>
      </c>
      <c r="D5" s="211" t="s">
        <v>1465</v>
      </c>
      <c r="E5" s="212" t="s">
        <v>1466</v>
      </c>
      <c r="F5" s="212" t="s">
        <v>1467</v>
      </c>
      <c r="G5" s="213"/>
    </row>
    <row r="6" spans="1:9" s="214" customFormat="1" ht="13.5" customHeight="1">
      <c r="A6" s="778" t="s">
        <v>1468</v>
      </c>
      <c r="B6" s="215" t="s">
        <v>1469</v>
      </c>
      <c r="C6" s="216">
        <f ca="1">D9*0.8</f>
        <v>83737.032000000007</v>
      </c>
      <c r="D6" s="217"/>
      <c r="E6" s="218"/>
      <c r="F6" s="218"/>
      <c r="G6" s="219"/>
    </row>
    <row r="7" spans="1:9" s="214" customFormat="1" ht="13.5" customHeight="1">
      <c r="A7" s="778" t="s">
        <v>1470</v>
      </c>
      <c r="B7" s="215" t="s">
        <v>1471</v>
      </c>
      <c r="C7" s="220">
        <f ca="1">ROUND(C6*F7,0)</f>
        <v>2554</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355</v>
      </c>
      <c r="B9" s="224" t="s">
        <v>1474</v>
      </c>
      <c r="C9" s="225">
        <f ca="1">ROUND(D9*E9/10000,0)</f>
        <v>0</v>
      </c>
      <c r="D9" s="845">
        <f ca="1">IF(B1="",'数据-汇总表'!E5,IF(INDIRECT("'数据-取费表'!c"&amp;$G$1)="住宅",INDIRECT("'数据-取费表'!k"&amp;$G$1),0))</f>
        <v>104671.29</v>
      </c>
      <c r="E9" s="225">
        <f>'数据-取费表'!B27</f>
        <v>0</v>
      </c>
      <c r="F9" s="221"/>
      <c r="G9" s="1857"/>
      <c r="H9" s="1137"/>
      <c r="I9" s="1858" t="s">
        <v>1475</v>
      </c>
    </row>
    <row r="10" spans="1:9" s="214" customFormat="1" ht="13.5" customHeight="1">
      <c r="A10" s="779" t="s">
        <v>356</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2093</v>
      </c>
      <c r="D19" s="849">
        <f ca="1">D9+D10</f>
        <v>104671.29</v>
      </c>
      <c r="E19" s="211">
        <f>'数据-取费表'!B31</f>
        <v>200</v>
      </c>
      <c r="F19" s="231"/>
      <c r="G19" s="1856"/>
    </row>
    <row r="20" spans="1:7" s="214" customFormat="1" ht="13.5" customHeight="1">
      <c r="A20" s="255" t="s">
        <v>1489</v>
      </c>
      <c r="B20" s="210" t="s">
        <v>1490</v>
      </c>
      <c r="C20" s="232">
        <f ca="1">ROUND((C5+C19)*F20,0)</f>
        <v>1768</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6265</v>
      </c>
      <c r="D22" s="235">
        <f ca="1">C26</f>
        <v>6.9999999999999999E-4</v>
      </c>
      <c r="E22" s="236" t="s">
        <v>1494</v>
      </c>
      <c r="F22" s="237">
        <f ca="1">'数据-取费表'!B40</f>
        <v>3.4500000000000003E-2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6057</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147</v>
      </c>
      <c r="D24" s="238"/>
      <c r="E24" s="238"/>
      <c r="F24" s="239"/>
      <c r="G24" s="240" t="s">
        <v>1503</v>
      </c>
    </row>
    <row r="25" spans="1:7" s="214" customFormat="1" ht="24">
      <c r="A25" s="780" t="s">
        <v>1504</v>
      </c>
      <c r="B25" s="215" t="s">
        <v>1505</v>
      </c>
      <c r="C25" s="1105">
        <f ca="1">ROUND(IF('数据-取费表'!B22&lt;=1,C20*F22*'数据-取费表'!B23/2,C20*(POWER((1+F22),'数据-取费表'!B23/2)-1)),0)</f>
        <v>61</v>
      </c>
      <c r="D25" s="238"/>
      <c r="E25" s="241"/>
      <c r="F25" s="239"/>
      <c r="G25" s="242" t="s">
        <v>1506</v>
      </c>
    </row>
    <row r="26" spans="1:7" s="214" customFormat="1">
      <c r="A26" s="780" t="s">
        <v>350</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f ca="1">C28</f>
        <v>13523</v>
      </c>
      <c r="D27" s="235">
        <f ca="1">C29</f>
        <v>3.0000000000000001E-3</v>
      </c>
      <c r="E27" s="236" t="s">
        <v>1510</v>
      </c>
      <c r="F27" s="246">
        <f ca="1">IF(B1="",'数据-取费表'!Q16,INDIRECT("'数据-取费表'!q"&amp;$G$1))</f>
        <v>0.15</v>
      </c>
      <c r="G27" s="247" t="s">
        <v>1511</v>
      </c>
    </row>
    <row r="28" spans="1:7" s="214" customFormat="1" ht="13.5" customHeight="1">
      <c r="A28" s="780" t="s">
        <v>346</v>
      </c>
      <c r="B28" s="248" t="s">
        <v>1512</v>
      </c>
      <c r="C28" s="249">
        <f ca="1">ROUND((C5+C19+C20)*F27*'数据-取费表'!B21/'数据-取费表'!B20,0)</f>
        <v>13523</v>
      </c>
      <c r="D28" s="235"/>
      <c r="E28" s="236"/>
      <c r="F28" s="246"/>
      <c r="G28" s="247"/>
    </row>
    <row r="29" spans="1:7" s="214" customFormat="1" ht="13.5" customHeight="1">
      <c r="A29" s="780" t="s">
        <v>347</v>
      </c>
      <c r="B29" s="248" t="s">
        <v>1513</v>
      </c>
      <c r="C29" s="238">
        <f ca="1">ROUND(C21*F27*'数据-取费表'!B21/'数据-取费表'!B20,4)</f>
        <v>3.0000000000000001E-3</v>
      </c>
      <c r="D29" s="235"/>
      <c r="E29" s="236"/>
      <c r="F29" s="246"/>
      <c r="G29" s="247"/>
    </row>
    <row r="30" spans="1:7" s="214" customFormat="1" ht="13.5" customHeight="1">
      <c r="A30" s="255" t="s">
        <v>1514</v>
      </c>
      <c r="B30" s="210" t="s">
        <v>1515</v>
      </c>
      <c r="C30" s="235">
        <f>ROUND(F30/(1+'数据-取费表'!C42),4)</f>
        <v>5.2400000000000002E-2</v>
      </c>
      <c r="D30" s="236" t="s">
        <v>1510</v>
      </c>
      <c r="E30" s="241"/>
      <c r="F30" s="237">
        <f>'数据-取费表'!B41</f>
        <v>5.5000000000000007E-2</v>
      </c>
      <c r="G30" s="234" t="s">
        <v>1516</v>
      </c>
    </row>
    <row r="31" spans="1:7" ht="16.5" customHeight="1">
      <c r="A31" s="209">
        <v>1</v>
      </c>
      <c r="B31" s="210" t="s">
        <v>1517</v>
      </c>
      <c r="C31" s="211">
        <f ca="1">ROUND((C5+C19+C20+C22+C27)/(1-C21-D22-D27-C30),0)</f>
        <v>118996</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337</v>
      </c>
      <c r="B33" s="210" t="s">
        <v>1520</v>
      </c>
      <c r="C33" s="256">
        <f ca="1">SUM(C34:C38)</f>
        <v>52492</v>
      </c>
      <c r="D33" s="232"/>
      <c r="E33" s="212"/>
      <c r="F33" s="241"/>
      <c r="G33" s="234"/>
    </row>
    <row r="34" spans="1:7" s="258" customFormat="1" ht="13.5" customHeight="1">
      <c r="A34" s="780" t="s">
        <v>346</v>
      </c>
      <c r="B34" s="215" t="s">
        <v>1521</v>
      </c>
      <c r="C34" s="220">
        <f ca="1">IF(B1="",IF(F34=100%,'数据-取费表'!M16,'数据-取费表'!O16),IF(F34=100%,INDIRECT("'数据-取费表'!m"&amp;$G$1)+INDIRECT("'数据-取费表'!t"&amp;$G$1),INDIRECT("'数据-取费表'!o"&amp;$G$1)+INDIRECT("'数据-取费表'!aq"&amp;$G$1)))</f>
        <v>47102</v>
      </c>
      <c r="D34" s="217"/>
      <c r="E34" s="220"/>
      <c r="F34" s="257">
        <f ca="1">IF('数据-取费表'!B24=0,1,IF(B1="",'数据-取费表'!N16,INDIRECT("'数据-取费表'!n"&amp;$G$1)))</f>
        <v>1</v>
      </c>
      <c r="G34" s="219" t="s">
        <v>1522</v>
      </c>
    </row>
    <row r="35" spans="1:7" ht="13.5" customHeight="1">
      <c r="A35" s="780" t="s">
        <v>351</v>
      </c>
      <c r="B35" s="215" t="s">
        <v>1523</v>
      </c>
      <c r="C35" s="220">
        <f ca="1">ROUND(C34*F35,0)</f>
        <v>2355</v>
      </c>
      <c r="D35" s="220"/>
      <c r="E35" s="220"/>
      <c r="F35" s="259">
        <f>'数据-取费表'!B33</f>
        <v>0.05</v>
      </c>
      <c r="G35" s="219" t="s">
        <v>1524</v>
      </c>
    </row>
    <row r="36" spans="1:7" ht="24">
      <c r="A36" s="780" t="s">
        <v>352</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1526</v>
      </c>
    </row>
    <row r="37" spans="1:7" s="258" customFormat="1" ht="13.5" customHeight="1">
      <c r="A37" s="780" t="s">
        <v>353</v>
      </c>
      <c r="B37" s="215" t="s">
        <v>1527</v>
      </c>
      <c r="C37" s="249">
        <f ca="1">ROUND(E37*D37*F34/10000,0)</f>
        <v>2093</v>
      </c>
      <c r="D37" s="217">
        <f ca="1">D19</f>
        <v>104671.29</v>
      </c>
      <c r="E37" s="249">
        <f>'数据-取费表'!B35</f>
        <v>200</v>
      </c>
      <c r="F37" s="259"/>
      <c r="G37" s="261" t="s">
        <v>1528</v>
      </c>
    </row>
    <row r="38" spans="1:7" ht="13.5" customHeight="1">
      <c r="A38" s="780" t="s">
        <v>354</v>
      </c>
      <c r="B38" s="215" t="s">
        <v>1529</v>
      </c>
      <c r="C38" s="220">
        <f ca="1">ROUND(C34*F38,0)</f>
        <v>942</v>
      </c>
      <c r="D38" s="220"/>
      <c r="E38" s="220"/>
      <c r="F38" s="259">
        <f>'数据-取费表'!B36</f>
        <v>0.02</v>
      </c>
      <c r="G38" s="219" t="s">
        <v>1524</v>
      </c>
    </row>
    <row r="39" spans="1:7" s="214" customFormat="1" ht="13.5" customHeight="1">
      <c r="A39" s="255" t="s">
        <v>1530</v>
      </c>
      <c r="B39" s="210" t="s">
        <v>1531</v>
      </c>
      <c r="C39" s="232">
        <f ca="1">ROUND(C33*F20,0)</f>
        <v>1050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1847</v>
      </c>
      <c r="D41" s="235">
        <f ca="1">C44</f>
        <v>6.9999999999999999E-4</v>
      </c>
      <c r="E41" s="236" t="s">
        <v>1535</v>
      </c>
      <c r="F41" s="237">
        <f ca="1">F22</f>
        <v>3.4500000000000003E-2</v>
      </c>
      <c r="G41" s="234" t="str">
        <f>IF('数据-取费表'!B22&lt;=1,"单利计息","复利计息")</f>
        <v>复利计息</v>
      </c>
    </row>
    <row r="42" spans="1:7" ht="13.5" customHeight="1">
      <c r="A42" s="780" t="s">
        <v>346</v>
      </c>
      <c r="B42" s="215" t="s">
        <v>1539</v>
      </c>
      <c r="C42" s="238">
        <f ca="1">ROUND(IF('数据-取费表'!B22&lt;=1,C33*F22*'数据-取费表'!B21/2,C33*(POWER((1+F22),'数据-取费表'!B21/2)-1)),0)</f>
        <v>1811</v>
      </c>
      <c r="D42" s="238"/>
      <c r="E42" s="238"/>
      <c r="F42" s="239"/>
      <c r="G42" s="3634" t="s">
        <v>1540</v>
      </c>
    </row>
    <row r="43" spans="1:7" ht="13.5" customHeight="1">
      <c r="A43" s="780" t="s">
        <v>347</v>
      </c>
      <c r="B43" s="215" t="s">
        <v>1541</v>
      </c>
      <c r="C43" s="238">
        <f ca="1">ROUND(IF('数据-取费表'!B22&lt;=1,C39*F22*'数据-取费表'!B21/2,C39*(POWER((1+F22),'数据-取费表'!B21/2)-1)),0)</f>
        <v>36</v>
      </c>
      <c r="D43" s="238"/>
      <c r="E43" s="238"/>
      <c r="F43" s="239"/>
      <c r="G43" s="3635"/>
    </row>
    <row r="44" spans="1:7" ht="13.5" customHeight="1">
      <c r="A44" s="780" t="s">
        <v>348</v>
      </c>
      <c r="B44" s="215" t="s">
        <v>1542</v>
      </c>
      <c r="C44" s="238">
        <f ca="1">ROUND(IF('数据-取费表'!B22&lt;=1,C40*F22*'数据-取费表'!B21/2,C40*(POWER((1+F22),'数据-取费表'!B21/2)-1)),4)</f>
        <v>6.9999999999999999E-4</v>
      </c>
      <c r="D44" s="238"/>
      <c r="E44" s="238"/>
      <c r="F44" s="239"/>
      <c r="G44" s="3636"/>
    </row>
    <row r="45" spans="1:7" s="214" customFormat="1" ht="13.5" customHeight="1">
      <c r="A45" s="255" t="s">
        <v>1543</v>
      </c>
      <c r="B45" s="244" t="s">
        <v>1509</v>
      </c>
      <c r="C45" s="245">
        <f ca="1">C46</f>
        <v>8031</v>
      </c>
      <c r="D45" s="235">
        <f ca="1">C47</f>
        <v>3.0000000000000001E-3</v>
      </c>
      <c r="E45" s="236" t="s">
        <v>1535</v>
      </c>
      <c r="F45" s="246">
        <f ca="1">F27</f>
        <v>0.15</v>
      </c>
      <c r="G45" s="247" t="s">
        <v>1544</v>
      </c>
    </row>
    <row r="46" spans="1:7" s="214" customFormat="1" ht="13.5" customHeight="1">
      <c r="A46" s="780" t="s">
        <v>346</v>
      </c>
      <c r="B46" s="248" t="s">
        <v>1545</v>
      </c>
      <c r="C46" s="249">
        <f ca="1">ROUND((C33+C39)*F27,0)</f>
        <v>8031</v>
      </c>
      <c r="D46" s="263"/>
      <c r="E46" s="236"/>
      <c r="F46" s="246"/>
      <c r="G46" s="247"/>
    </row>
    <row r="47" spans="1:7" s="214" customFormat="1" ht="13.5" customHeight="1">
      <c r="A47" s="780" t="s">
        <v>347</v>
      </c>
      <c r="B47" s="248" t="s">
        <v>1546</v>
      </c>
      <c r="C47" s="238">
        <f ca="1">ROUND(C40*F27,4)</f>
        <v>3.0000000000000001E-3</v>
      </c>
      <c r="D47" s="263"/>
      <c r="E47" s="236"/>
      <c r="F47" s="246"/>
      <c r="G47" s="247"/>
    </row>
    <row r="48" spans="1:7" s="214" customFormat="1" ht="13.5" customHeight="1">
      <c r="A48" s="255" t="s">
        <v>1508</v>
      </c>
      <c r="B48" s="210" t="s">
        <v>1547</v>
      </c>
      <c r="C48" s="1327">
        <f>ROUND(F30/(1+'数据-取费表'!C42),4)</f>
        <v>5.2400000000000002E-2</v>
      </c>
      <c r="D48" s="236" t="s">
        <v>1535</v>
      </c>
      <c r="E48" s="232"/>
      <c r="F48" s="237">
        <f>F30</f>
        <v>5.5000000000000007E-2</v>
      </c>
      <c r="G48" s="234" t="s">
        <v>1548</v>
      </c>
    </row>
    <row r="49" spans="1:7" ht="16.5" customHeight="1">
      <c r="A49" s="255" t="s">
        <v>1514</v>
      </c>
      <c r="B49" s="210" t="s">
        <v>1549</v>
      </c>
      <c r="C49" s="232">
        <f ca="1">ROUND((C33+C39+C41+C45)/(1-C40-D41-D45-C48),0)</f>
        <v>68644</v>
      </c>
      <c r="D49" s="232"/>
      <c r="E49" s="232"/>
      <c r="F49" s="264"/>
      <c r="G49" s="234" t="s">
        <v>1550</v>
      </c>
    </row>
    <row r="50" spans="1:7" s="258" customFormat="1" ht="24">
      <c r="A50" s="255" t="s">
        <v>1551</v>
      </c>
      <c r="B50" s="210" t="s">
        <v>1552</v>
      </c>
      <c r="C50" s="232"/>
      <c r="D50" s="232"/>
      <c r="E50" s="232"/>
      <c r="F50" s="264">
        <f>IF('数据-取费表'!B24=0,'数据-取费表'!N16,1)</f>
        <v>0.95</v>
      </c>
      <c r="G50" s="247" t="s">
        <v>1553</v>
      </c>
    </row>
    <row r="51" spans="1:7" ht="16.5" customHeight="1">
      <c r="A51" s="255" t="s">
        <v>1554</v>
      </c>
      <c r="B51" s="210" t="s">
        <v>1555</v>
      </c>
      <c r="C51" s="232">
        <f ca="1">ROUND(C49*F50,0)</f>
        <v>65212</v>
      </c>
      <c r="D51" s="232"/>
      <c r="E51" s="232"/>
      <c r="F51" s="264"/>
      <c r="G51" s="234" t="s">
        <v>1556</v>
      </c>
    </row>
    <row r="52" spans="1:7" s="208" customFormat="1" ht="16.5" thickBot="1">
      <c r="A52" s="265" t="s">
        <v>1557</v>
      </c>
      <c r="B52" s="266"/>
      <c r="C52" s="267">
        <f ca="1">C31+C51</f>
        <v>184208</v>
      </c>
      <c r="D52" s="266"/>
      <c r="E52" s="266"/>
      <c r="F52" s="266"/>
      <c r="G52" s="268"/>
    </row>
    <row r="55" spans="1:7" ht="15">
      <c r="B55" s="270" t="s">
        <v>1558</v>
      </c>
      <c r="C55" s="271"/>
    </row>
    <row r="56" spans="1:7">
      <c r="B56" s="273" t="s">
        <v>798</v>
      </c>
      <c r="C56" s="275">
        <f ca="1">1-C57</f>
        <v>0.64600000000000002</v>
      </c>
    </row>
    <row r="57" spans="1:7">
      <c r="B57" s="273" t="s">
        <v>799</v>
      </c>
      <c r="C57" s="274">
        <f ca="1">ROUND(C51/C52,3)</f>
        <v>0.35399999999999998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4">
        <f ca="1">ROUND(IF(D2="——",C52/10000,C52/10000-E2),4)</f>
        <v>68031.186499999996</v>
      </c>
      <c r="C2" s="199" t="s">
        <v>1459</v>
      </c>
      <c r="D2" s="1853" t="s">
        <v>43</v>
      </c>
      <c r="E2" s="1169" t="e">
        <f ca="1">SUMIF(INDIRECT("'"&amp;G2&amp;"'"&amp;"!A:A"),"承租人权益价值",INDIRECT("'"&amp;G2&amp;"'"&amp;"!c:c"))</f>
        <v>#REF!</v>
      </c>
      <c r="F2" s="1854" t="s">
        <v>1459</v>
      </c>
      <c r="G2" s="1855"/>
    </row>
    <row r="3" spans="1:8" s="200" customFormat="1" ht="18" customHeight="1" thickBot="1">
      <c r="A3" s="203" t="s">
        <v>1460</v>
      </c>
      <c r="B3" s="204">
        <f ca="1">ROUND(B2*10000/(IF(B1="",'数据-汇总表'!E3,INDIRECT("'数据-取费表'!k"&amp;$G$1))),0)</f>
        <v>6500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0</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0</v>
      </c>
      <c r="D8" s="222"/>
      <c r="E8" s="220"/>
      <c r="F8" s="221"/>
      <c r="G8" s="1856"/>
    </row>
    <row r="9" spans="1:8" s="214" customFormat="1" ht="13.5" customHeight="1">
      <c r="A9" s="779" t="s">
        <v>355</v>
      </c>
      <c r="B9" s="224" t="s">
        <v>1474</v>
      </c>
      <c r="C9" s="225">
        <f ca="1">ROUND(D9*E9,0)</f>
        <v>0</v>
      </c>
      <c r="D9" s="845">
        <f ca="1">IF(B1="",'数据-汇总表'!E5,IF(INDIRECT("'数据-取费表'!c"&amp;$G$1)="住宅",INDIRECT("'数据-取费表'!k"&amp;$G$1),0))</f>
        <v>104671.29</v>
      </c>
      <c r="E9" s="225">
        <f>'数据-取费表'!B27</f>
        <v>0</v>
      </c>
      <c r="F9" s="221"/>
      <c r="G9" s="226"/>
    </row>
    <row r="10" spans="1:8" s="214" customFormat="1" ht="13.5" customHeight="1">
      <c r="A10" s="779" t="s">
        <v>356</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20934258</v>
      </c>
      <c r="D19" s="849">
        <f ca="1">D9+D10</f>
        <v>104671.29</v>
      </c>
      <c r="E19" s="211">
        <f>'数据-取费表'!B31</f>
        <v>200</v>
      </c>
      <c r="F19" s="231"/>
      <c r="G19" s="1856"/>
    </row>
    <row r="20" spans="1:7" s="214" customFormat="1" ht="13.5" customHeight="1">
      <c r="A20" s="255" t="s">
        <v>1570</v>
      </c>
      <c r="B20" s="210" t="s">
        <v>1571</v>
      </c>
      <c r="C20" s="232">
        <f ca="1">ROUND((C5+C19)*F20,0)</f>
        <v>418685</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1483826</v>
      </c>
      <c r="D22" s="235">
        <f ca="1">C26</f>
        <v>6.9999999999999999E-4</v>
      </c>
      <c r="E22" s="236" t="s">
        <v>1575</v>
      </c>
      <c r="F22" s="237">
        <f ca="1">'数据-取费表'!B40</f>
        <v>3.4500000000000003E-2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0</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1469381</v>
      </c>
      <c r="D24" s="238"/>
      <c r="E24" s="238"/>
      <c r="F24" s="239"/>
      <c r="G24" s="240" t="s">
        <v>1582</v>
      </c>
    </row>
    <row r="25" spans="1:7" s="214" customFormat="1" ht="24">
      <c r="A25" s="780" t="s">
        <v>1472</v>
      </c>
      <c r="B25" s="215" t="s">
        <v>1583</v>
      </c>
      <c r="C25" s="1128">
        <f ca="1">ROUND(IF('数据-取费表'!B22&lt;=1,C20*F22*'数据-取费表'!B22/2,C20*(POWER((1+F22),'数据-取费表'!B22/2)-1)),0)</f>
        <v>14445</v>
      </c>
      <c r="D25" s="238"/>
      <c r="E25" s="241"/>
      <c r="F25" s="239"/>
      <c r="G25" s="242" t="s">
        <v>1584</v>
      </c>
    </row>
    <row r="26" spans="1:7" s="214" customFormat="1">
      <c r="A26" s="780" t="s">
        <v>350</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f ca="1">C28</f>
        <v>3202941</v>
      </c>
      <c r="D27" s="235">
        <f ca="1">C29</f>
        <v>3.0000000000000001E-3</v>
      </c>
      <c r="E27" s="236" t="s">
        <v>1510</v>
      </c>
      <c r="F27" s="246">
        <f ca="1">IF(B1="",'数据-取费表'!Q16,INDIRECT("'数据-取费表'!q"&amp;$G$1))</f>
        <v>0.15</v>
      </c>
      <c r="G27" s="247" t="s">
        <v>1511</v>
      </c>
    </row>
    <row r="28" spans="1:7" s="214" customFormat="1" ht="13.5" customHeight="1">
      <c r="A28" s="780" t="s">
        <v>346</v>
      </c>
      <c r="B28" s="248" t="s">
        <v>1512</v>
      </c>
      <c r="C28" s="249">
        <f ca="1">ROUND((C5+C19+C20)*F27,0)</f>
        <v>3202941</v>
      </c>
      <c r="D28" s="235"/>
      <c r="E28" s="236"/>
      <c r="F28" s="246"/>
      <c r="G28" s="247"/>
    </row>
    <row r="29" spans="1:7" s="214" customFormat="1" ht="13.5" customHeight="1">
      <c r="A29" s="780" t="s">
        <v>347</v>
      </c>
      <c r="B29" s="248" t="s">
        <v>1513</v>
      </c>
      <c r="C29" s="238">
        <f ca="1">ROUND(C21*F27,4)</f>
        <v>3.0000000000000001E-3</v>
      </c>
      <c r="D29" s="235"/>
      <c r="E29" s="236"/>
      <c r="F29" s="246"/>
      <c r="G29" s="247"/>
    </row>
    <row r="30" spans="1:7" s="214" customFormat="1" ht="13.5" customHeight="1">
      <c r="A30" s="255" t="s">
        <v>1514</v>
      </c>
      <c r="B30" s="210" t="s">
        <v>1515</v>
      </c>
      <c r="C30" s="235">
        <f>ROUND(F30/(1+'数据-取费表'!C42),4)</f>
        <v>5.2400000000000002E-2</v>
      </c>
      <c r="D30" s="236" t="s">
        <v>1510</v>
      </c>
      <c r="E30" s="241"/>
      <c r="F30" s="237">
        <f>'数据-取费表'!B41</f>
        <v>5.5000000000000007E-2</v>
      </c>
      <c r="G30" s="234" t="s">
        <v>1516</v>
      </c>
    </row>
    <row r="31" spans="1:7" ht="16.5" customHeight="1">
      <c r="A31" s="209">
        <v>1</v>
      </c>
      <c r="B31" s="210" t="s">
        <v>1517</v>
      </c>
      <c r="C31" s="211">
        <f ca="1">ROUND((C5+C19+C20+C22+C27)/(1-C21-D22-D27-C30),0)</f>
        <v>28184555</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337</v>
      </c>
      <c r="B33" s="210" t="s">
        <v>1586</v>
      </c>
      <c r="C33" s="256">
        <f ca="1">SUM(C34:C38)</f>
        <v>524926519</v>
      </c>
      <c r="D33" s="232"/>
      <c r="E33" s="212"/>
      <c r="F33" s="241"/>
      <c r="G33" s="234"/>
    </row>
    <row r="34" spans="1:7" s="258" customFormat="1" ht="13.5" customHeight="1">
      <c r="A34" s="780" t="s">
        <v>346</v>
      </c>
      <c r="B34" s="215" t="s">
        <v>1521</v>
      </c>
      <c r="C34" s="220">
        <f ca="1">ROUND(IF(B1="",SUMPRODUCT('数据-取费表'!K6:K14,'数据-取费表'!L6:L14),INDIRECT("'数据-取费表'!l"&amp;$G$1)*INDIRECT("'数据-取费表'!k"&amp;$G$1)+'数据-取费表'!L14*INDIRECT("'数据-取费表'!S"&amp;$G$1)),0)</f>
        <v>471020805</v>
      </c>
      <c r="D34" s="217"/>
      <c r="E34" s="220"/>
      <c r="F34" s="257"/>
      <c r="G34" s="219"/>
    </row>
    <row r="35" spans="1:7" ht="13.5" customHeight="1">
      <c r="A35" s="780" t="s">
        <v>351</v>
      </c>
      <c r="B35" s="215" t="s">
        <v>1523</v>
      </c>
      <c r="C35" s="220">
        <f ca="1">ROUND(C34*F35,0)</f>
        <v>23551040</v>
      </c>
      <c r="D35" s="220"/>
      <c r="E35" s="220"/>
      <c r="F35" s="259">
        <f>'数据-取费表'!B33</f>
        <v>0.05</v>
      </c>
      <c r="G35" s="219" t="s">
        <v>1524</v>
      </c>
    </row>
    <row r="36" spans="1:7" ht="24">
      <c r="A36" s="780" t="s">
        <v>352</v>
      </c>
      <c r="B36" s="215" t="s">
        <v>1525</v>
      </c>
      <c r="C36" s="220">
        <f ca="1">ROUND(IF(B1="",SUM('数据-取费表'!AP6:AP13)*F36,IF(INDIRECT("'数据-取费表'!c"&amp;$G$1)="住宅",INDIRECT("'数据-取费表'!k"&amp;$G$1)*INDIRECT("'数据-取费表'!l"&amp;$G$1)*F36,0)),0)</f>
        <v>0</v>
      </c>
      <c r="D36" s="220"/>
      <c r="E36" s="220"/>
      <c r="F36" s="259">
        <f>'数据-取费表'!B34</f>
        <v>0</v>
      </c>
      <c r="G36" s="260" t="s">
        <v>1526</v>
      </c>
    </row>
    <row r="37" spans="1:7" s="258" customFormat="1" ht="13.5" customHeight="1">
      <c r="A37" s="780" t="s">
        <v>353</v>
      </c>
      <c r="B37" s="215" t="s">
        <v>1527</v>
      </c>
      <c r="C37" s="249">
        <f ca="1">ROUND(E37*D37,0)</f>
        <v>20934258</v>
      </c>
      <c r="D37" s="217">
        <f ca="1">D19</f>
        <v>104671.29</v>
      </c>
      <c r="E37" s="249">
        <f>'数据-取费表'!B35</f>
        <v>200</v>
      </c>
      <c r="F37" s="259"/>
      <c r="G37" s="261"/>
    </row>
    <row r="38" spans="1:7" ht="13.5" customHeight="1">
      <c r="A38" s="780" t="s">
        <v>354</v>
      </c>
      <c r="B38" s="215" t="s">
        <v>1529</v>
      </c>
      <c r="C38" s="220">
        <f ca="1">ROUND(C34*F38,0)</f>
        <v>9420416</v>
      </c>
      <c r="D38" s="220"/>
      <c r="E38" s="220"/>
      <c r="F38" s="259">
        <f>'数据-取费表'!B36</f>
        <v>0.02</v>
      </c>
      <c r="G38" s="219" t="s">
        <v>1524</v>
      </c>
    </row>
    <row r="39" spans="1:7" s="214" customFormat="1" ht="13.5" customHeight="1">
      <c r="A39" s="255" t="s">
        <v>1530</v>
      </c>
      <c r="B39" s="210" t="s">
        <v>1531</v>
      </c>
      <c r="C39" s="232">
        <f ca="1">ROUND(C33*F20,0)</f>
        <v>10498530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18472164</v>
      </c>
      <c r="D41" s="235">
        <f ca="1">C44</f>
        <v>6.9999999999999999E-4</v>
      </c>
      <c r="E41" s="236" t="s">
        <v>1535</v>
      </c>
      <c r="F41" s="237">
        <f ca="1">F22</f>
        <v>3.4500000000000003E-2</v>
      </c>
      <c r="G41" s="234" t="str">
        <f>IF('数据-取费表'!B22&lt;=1,"单利计息","复利计息")</f>
        <v>复利计息</v>
      </c>
    </row>
    <row r="42" spans="1:7" ht="13.5" customHeight="1">
      <c r="A42" s="780" t="s">
        <v>346</v>
      </c>
      <c r="B42" s="215" t="s">
        <v>1539</v>
      </c>
      <c r="C42" s="238">
        <f ca="1">ROUND(IF('数据-取费表'!B22&lt;=1,C33*F22*'数据-取费表'!B20/2,C33*(POWER((1+F22),'数据-取费表'!B20/2)-1)),0)</f>
        <v>18109965</v>
      </c>
      <c r="D42" s="238"/>
      <c r="E42" s="238"/>
      <c r="F42" s="239"/>
      <c r="G42" s="3634" t="s">
        <v>1587</v>
      </c>
    </row>
    <row r="43" spans="1:7" ht="13.5" customHeight="1">
      <c r="A43" s="780" t="s">
        <v>347</v>
      </c>
      <c r="B43" s="215" t="s">
        <v>1541</v>
      </c>
      <c r="C43" s="238">
        <f ca="1">ROUND(IF('数据-取费表'!B22&lt;=1,C39*F22*'数据-取费表'!B20/2,C39*(POWER((1+F22),'数据-取费表'!B20/2)-1)),0)</f>
        <v>362199</v>
      </c>
      <c r="D43" s="238"/>
      <c r="E43" s="238"/>
      <c r="F43" s="239"/>
      <c r="G43" s="3635"/>
    </row>
    <row r="44" spans="1:7" ht="13.5" customHeight="1">
      <c r="A44" s="780" t="s">
        <v>348</v>
      </c>
      <c r="B44" s="215" t="s">
        <v>1542</v>
      </c>
      <c r="C44" s="238">
        <f ca="1">ROUND(IF('数据-取费表'!B22&lt;=1,C40*F22*'数据-取费表'!B20/2,C40*(POWER((1+F22),'数据-取费表'!B20/2)-1)),4)</f>
        <v>6.9999999999999999E-4</v>
      </c>
      <c r="D44" s="238"/>
      <c r="E44" s="238"/>
      <c r="F44" s="239"/>
      <c r="G44" s="3636"/>
    </row>
    <row r="45" spans="1:7" s="214" customFormat="1" ht="13.5" customHeight="1">
      <c r="A45" s="255" t="s">
        <v>1543</v>
      </c>
      <c r="B45" s="244" t="s">
        <v>1509</v>
      </c>
      <c r="C45" s="245">
        <f ca="1">C46</f>
        <v>80313757</v>
      </c>
      <c r="D45" s="235">
        <f ca="1">C47</f>
        <v>3.0000000000000001E-3</v>
      </c>
      <c r="E45" s="236" t="s">
        <v>1535</v>
      </c>
      <c r="F45" s="246">
        <f ca="1">F27</f>
        <v>0.15</v>
      </c>
      <c r="G45" s="247" t="s">
        <v>1544</v>
      </c>
    </row>
    <row r="46" spans="1:7" s="214" customFormat="1" ht="13.5" customHeight="1">
      <c r="A46" s="780" t="s">
        <v>346</v>
      </c>
      <c r="B46" s="248" t="s">
        <v>1545</v>
      </c>
      <c r="C46" s="249">
        <f ca="1">ROUND((C33+C39)*F27,0)</f>
        <v>80313757</v>
      </c>
      <c r="D46" s="263"/>
      <c r="E46" s="236"/>
      <c r="F46" s="246"/>
      <c r="G46" s="247"/>
    </row>
    <row r="47" spans="1:7" s="214" customFormat="1" ht="13.5" customHeight="1">
      <c r="A47" s="780" t="s">
        <v>347</v>
      </c>
      <c r="B47" s="248" t="s">
        <v>1546</v>
      </c>
      <c r="C47" s="238">
        <f ca="1">ROUND(C40*F27,4)</f>
        <v>3.0000000000000001E-3</v>
      </c>
      <c r="D47" s="263"/>
      <c r="E47" s="236"/>
      <c r="F47" s="246"/>
      <c r="G47" s="247"/>
    </row>
    <row r="48" spans="1:7" s="214" customFormat="1" ht="13.5" customHeight="1">
      <c r="A48" s="255" t="s">
        <v>1508</v>
      </c>
      <c r="B48" s="210" t="s">
        <v>1547</v>
      </c>
      <c r="C48" s="262">
        <f>ROUND(F30/(1+'数据-取费表'!C42),4)</f>
        <v>5.2400000000000002E-2</v>
      </c>
      <c r="D48" s="236" t="s">
        <v>1535</v>
      </c>
      <c r="E48" s="232"/>
      <c r="F48" s="237">
        <f>F30</f>
        <v>5.5000000000000007E-2</v>
      </c>
      <c r="G48" s="234" t="s">
        <v>1548</v>
      </c>
    </row>
    <row r="49" spans="1:7" ht="16.5" customHeight="1">
      <c r="A49" s="255" t="s">
        <v>1514</v>
      </c>
      <c r="B49" s="210" t="s">
        <v>1588</v>
      </c>
      <c r="C49" s="232">
        <f ca="1">ROUND((C33+C39+C41+C45)/(1-C40-D41-D45-C48),0)</f>
        <v>686449800</v>
      </c>
      <c r="D49" s="232"/>
      <c r="E49" s="232"/>
      <c r="F49" s="264"/>
      <c r="G49" s="234" t="s">
        <v>1550</v>
      </c>
    </row>
    <row r="50" spans="1:7" s="258" customFormat="1">
      <c r="A50" s="255" t="s">
        <v>1551</v>
      </c>
      <c r="B50" s="210" t="s">
        <v>1552</v>
      </c>
      <c r="C50" s="232"/>
      <c r="D50" s="232"/>
      <c r="E50" s="232"/>
      <c r="F50" s="264">
        <f>IF('数据-取费表'!B24=0,'数据-取费表'!N16,1)</f>
        <v>0.95</v>
      </c>
      <c r="G50" s="247"/>
    </row>
    <row r="51" spans="1:7" ht="16.5" customHeight="1">
      <c r="A51" s="255" t="s">
        <v>1554</v>
      </c>
      <c r="B51" s="210" t="s">
        <v>1589</v>
      </c>
      <c r="C51" s="232">
        <f ca="1">ROUND(C49*F50,0)</f>
        <v>652127310</v>
      </c>
      <c r="D51" s="232"/>
      <c r="E51" s="232"/>
      <c r="F51" s="264"/>
      <c r="G51" s="234" t="s">
        <v>1556</v>
      </c>
    </row>
    <row r="52" spans="1:7" s="208" customFormat="1" ht="16.5" thickBot="1">
      <c r="A52" s="265" t="s">
        <v>1557</v>
      </c>
      <c r="B52" s="266"/>
      <c r="C52" s="267">
        <f ca="1">C31+C51</f>
        <v>680311865</v>
      </c>
      <c r="D52" s="266"/>
      <c r="E52" s="266"/>
      <c r="F52" s="266"/>
      <c r="G52" s="268"/>
    </row>
    <row r="55" spans="1:7" ht="15">
      <c r="B55" s="270" t="s">
        <v>1558</v>
      </c>
      <c r="C55" s="271"/>
    </row>
    <row r="56" spans="1:7">
      <c r="B56" s="273" t="s">
        <v>798</v>
      </c>
      <c r="C56" s="275">
        <f ca="1">1-C57</f>
        <v>4.1000000000000036E-2</v>
      </c>
    </row>
    <row r="57" spans="1:7">
      <c r="B57" s="273" t="s">
        <v>799</v>
      </c>
      <c r="C57" s="274">
        <f ca="1">ROUND(C51/C52,3)</f>
        <v>0.95899999999999996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6"/>
      <c r="F1" s="2806"/>
      <c r="G1" s="2671"/>
      <c r="H1" s="2806"/>
      <c r="I1" s="2806"/>
      <c r="J1" s="2806"/>
      <c r="K1" s="2807">
        <f>MATCH(C1,'数据-取费表'!A6:A16,0)+5</f>
        <v>7</v>
      </c>
    </row>
    <row r="2" spans="1:33" ht="18" customHeight="1">
      <c r="A2" s="201" t="s">
        <v>1458</v>
      </c>
      <c r="B2" s="204">
        <f ca="1">C32</f>
        <v>0</v>
      </c>
      <c r="C2" s="276" t="s">
        <v>1591</v>
      </c>
      <c r="D2" s="276"/>
      <c r="E2" s="2806"/>
      <c r="F2" s="2806"/>
      <c r="G2" s="2806"/>
      <c r="H2" s="2806"/>
      <c r="I2" s="2806"/>
      <c r="J2" s="2806"/>
      <c r="K2" s="2806"/>
    </row>
    <row r="3" spans="1:33" ht="18" customHeight="1" thickBot="1">
      <c r="A3" s="203" t="s">
        <v>1460</v>
      </c>
      <c r="B3" s="204">
        <f ca="1">ROUND(B2*10000/IF(C1="",'数据-汇总表'!E3,INDIRECT("'数据-取费表'!K"&amp;$K$1)),0)</f>
        <v>0</v>
      </c>
      <c r="C3" s="276" t="s">
        <v>1592</v>
      </c>
      <c r="D3" s="276"/>
      <c r="E3" s="2806"/>
      <c r="F3" s="2806"/>
      <c r="G3" s="2806"/>
      <c r="H3" s="2806"/>
      <c r="I3" s="2806"/>
      <c r="J3" s="2806"/>
      <c r="K3" s="2806"/>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635</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1609</v>
      </c>
      <c r="C12" s="21">
        <f ca="1">ROUND(C11*F12,0)</f>
        <v>0</v>
      </c>
      <c r="D12" s="802"/>
      <c r="E12" s="329"/>
      <c r="F12" s="812">
        <f>'数据-取费表'!B33</f>
        <v>0.05</v>
      </c>
      <c r="G12" s="5" t="s">
        <v>1610</v>
      </c>
      <c r="H12" s="797"/>
      <c r="I12" s="797"/>
      <c r="J12" s="797"/>
      <c r="K12" s="798"/>
    </row>
    <row r="13" spans="1:33" s="803" customFormat="1" ht="13.5" customHeight="1">
      <c r="A13" s="800" t="s">
        <v>637</v>
      </c>
      <c r="B13" s="801" t="s">
        <v>1611</v>
      </c>
      <c r="C13" s="21">
        <f ca="1">ROUND(IF(C1="",SUMIF('数据-取费表'!C:C,"住宅",'数据-取费表'!P:P)*F13,IF(INDIRECT("'数据-取费表'!c"&amp;$K$1)="住宅",INDIRECT("'数据-取费表'!P"&amp;$K$1)*F13,0)),0)</f>
        <v>0</v>
      </c>
      <c r="D13" s="846"/>
      <c r="E13" s="329"/>
      <c r="F13" s="812">
        <f>'数据-取费表'!B34</f>
        <v>0</v>
      </c>
      <c r="G13" s="5" t="s">
        <v>1612</v>
      </c>
      <c r="H13" s="797"/>
      <c r="I13" s="797"/>
      <c r="J13" s="797"/>
      <c r="K13" s="798"/>
    </row>
    <row r="14" spans="1:33" s="805" customFormat="1" ht="13.5" customHeight="1">
      <c r="A14" s="800" t="s">
        <v>638</v>
      </c>
      <c r="B14" s="801" t="s">
        <v>1613</v>
      </c>
      <c r="C14" s="21">
        <f ca="1">ROUND(D14*E14*F11/10000,0)</f>
        <v>0</v>
      </c>
      <c r="D14" s="846">
        <f ca="1">IF(C1="",'数据-汇总表'!E3,INDIRECT("'数据-取费表'!K"&amp;$K$1)+INDIRECT("'数据-取费表'!S"&amp;$K$1))</f>
        <v>104671.29</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1615</v>
      </c>
      <c r="C15" s="811">
        <f ca="1">ROUND(C11*F15,0)</f>
        <v>0</v>
      </c>
      <c r="D15" s="806"/>
      <c r="E15" s="811"/>
      <c r="F15" s="812">
        <f>'数据-取费表'!B36</f>
        <v>0.02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1618</v>
      </c>
      <c r="C17" s="21">
        <f ca="1">ROUND(D17*E17/10000,0)</f>
        <v>0</v>
      </c>
      <c r="D17" s="846">
        <f ca="1">D14</f>
        <v>104671.29</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1620</v>
      </c>
      <c r="C18" s="21">
        <f ca="1">C19+C20-IF(C1="",'数据-取费表'!B29,IF(G18="已全部缴纳",C19+C20,H18))</f>
        <v>0</v>
      </c>
      <c r="D18" s="846"/>
      <c r="E18" s="21"/>
      <c r="F18" s="804"/>
      <c r="G18" s="1862"/>
      <c r="H18" s="1187"/>
      <c r="I18" s="1863" t="s">
        <v>1621</v>
      </c>
      <c r="J18" s="807"/>
      <c r="K18" s="808"/>
    </row>
    <row r="19" spans="1:33" s="803" customFormat="1" ht="13.5" customHeight="1">
      <c r="A19" s="800" t="s">
        <v>360</v>
      </c>
      <c r="B19" s="801" t="s">
        <v>1622</v>
      </c>
      <c r="C19" s="21">
        <f ca="1">ROUND(D19*E19/10000,0)</f>
        <v>0</v>
      </c>
      <c r="D19" s="846">
        <f ca="1">IF(C1="",'数据-汇总表'!E5,IF(INDIRECT("'数据-取费表'!c"&amp;$K$1)="住宅",INDIRECT("'数据-取费表'!k"&amp;$K$1),0))</f>
        <v>104671.29</v>
      </c>
      <c r="E19" s="21">
        <f>'数据-取费表'!B27</f>
        <v>0</v>
      </c>
      <c r="F19" s="804"/>
      <c r="G19" s="12"/>
      <c r="H19" s="1189"/>
      <c r="I19" s="809"/>
      <c r="J19" s="809"/>
      <c r="K19" s="810"/>
    </row>
    <row r="20" spans="1:33" s="803" customFormat="1" ht="13.5" customHeight="1">
      <c r="A20" s="800" t="s">
        <v>361</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1624</v>
      </c>
      <c r="C21" s="814">
        <f ca="1">C16+C17+C18</f>
        <v>0</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1639</v>
      </c>
      <c r="C29" s="284">
        <f ca="1">ROUND((1+C24)*F28*'数据-取费表'!B24/'数据-取费表'!B20,4)</f>
        <v>0</v>
      </c>
      <c r="D29" s="284"/>
      <c r="E29" s="285"/>
      <c r="F29" s="290"/>
      <c r="G29" s="131" t="s">
        <v>1640</v>
      </c>
      <c r="H29" s="807"/>
      <c r="I29" s="807"/>
      <c r="J29" s="807"/>
      <c r="K29" s="808"/>
    </row>
    <row r="30" spans="1:33" s="291" customFormat="1" ht="13.5" customHeight="1">
      <c r="A30" s="800" t="s">
        <v>359</v>
      </c>
      <c r="B30" s="822" t="s">
        <v>1641</v>
      </c>
      <c r="C30" s="292">
        <f ca="1">ROUND((C21+C22+C23)*F28,0)</f>
        <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5.5000000000000007E-2</v>
      </c>
      <c r="G31" s="838" t="s">
        <v>1644</v>
      </c>
      <c r="H31" s="839"/>
      <c r="I31" s="839"/>
      <c r="J31" s="839"/>
      <c r="K31" s="840"/>
    </row>
    <row r="32" spans="1:33" s="799" customFormat="1" ht="13.5" customHeight="1" thickBot="1">
      <c r="A32" s="828" t="s">
        <v>1645</v>
      </c>
      <c r="B32" s="829"/>
      <c r="C32" s="830">
        <f ca="1">ROUND((C4-C21-C22-C23-C25-C28-C31)/(1+C24+D25+D28),0)</f>
        <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t="s">
        <v>3383</v>
      </c>
      <c r="D1" s="1362" t="s">
        <v>43</v>
      </c>
      <c r="E1" s="1363" t="s">
        <v>674</v>
      </c>
      <c r="F1" s="1062">
        <f ca="1">J53</f>
        <v>62.86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f ca="1">C40+J29+L46</f>
        <v>37948</v>
      </c>
      <c r="C2" s="1387" t="s">
        <v>801</v>
      </c>
      <c r="D2" s="1387"/>
      <c r="E2" s="1388"/>
      <c r="F2" s="1389"/>
      <c r="G2" s="2706"/>
      <c r="H2" s="2695"/>
      <c r="I2" s="2695"/>
      <c r="J2" s="2695"/>
      <c r="K2" s="2696"/>
      <c r="L2" s="2695"/>
      <c r="M2" s="2695"/>
    </row>
    <row r="3" spans="1:37" ht="18" customHeight="1" thickBot="1">
      <c r="A3" s="1390" t="s">
        <v>802</v>
      </c>
      <c r="B3" s="1391">
        <f ca="1">IF(ISERROR(B2*10000/F43),0,ROUND(B2*10000/F43,0))</f>
        <v>3625</v>
      </c>
      <c r="C3" s="1387" t="s">
        <v>803</v>
      </c>
      <c r="D3" s="1387"/>
      <c r="E3" s="1388"/>
      <c r="F3" s="1389"/>
      <c r="G3" s="2706"/>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2601</v>
      </c>
      <c r="D5" s="1364" t="s">
        <v>689</v>
      </c>
      <c r="E5" s="1071"/>
      <c r="F5" s="1072"/>
      <c r="G5" s="1384"/>
      <c r="H5" s="299">
        <v>1</v>
      </c>
      <c r="I5" s="300" t="s">
        <v>688</v>
      </c>
      <c r="J5" s="1070">
        <f ca="1">J6+J10+J12</f>
        <v>0</v>
      </c>
      <c r="K5" s="1364" t="s">
        <v>689</v>
      </c>
      <c r="L5" s="1071"/>
      <c r="M5" s="1072"/>
    </row>
    <row r="6" spans="1:37" ht="18" customHeight="1">
      <c r="A6" s="1069" t="s">
        <v>398</v>
      </c>
      <c r="B6" s="3639" t="s">
        <v>690</v>
      </c>
      <c r="C6" s="1074">
        <f ca="1">ROUND(F6*F8*F7*(1-F9)/10000,0)</f>
        <v>2598</v>
      </c>
      <c r="D6" s="155" t="s">
        <v>2105</v>
      </c>
      <c r="E6" s="302" t="s">
        <v>692</v>
      </c>
      <c r="F6" s="303">
        <f ca="1">INDIRECT("'数据-取费表'!u"&amp;$G$1)</f>
        <v>0.8</v>
      </c>
      <c r="G6" s="1384"/>
      <c r="H6" s="1069" t="s">
        <v>398</v>
      </c>
      <c r="I6" s="3639" t="s">
        <v>690</v>
      </c>
      <c r="J6" s="301">
        <f ca="1">ROUND(M6*M8*M7*(1-M9)/10000,0)</f>
        <v>0</v>
      </c>
      <c r="K6" s="155" t="s">
        <v>2104</v>
      </c>
      <c r="L6" s="302" t="s">
        <v>692</v>
      </c>
      <c r="M6" s="303">
        <f ca="1">INDIRECT("'数据-取费表'!z"&amp;$G$1)</f>
        <v>0</v>
      </c>
    </row>
    <row r="7" spans="1:37" ht="18" customHeight="1">
      <c r="A7" s="1073"/>
      <c r="B7" s="3640"/>
      <c r="C7" s="1075"/>
      <c r="D7" s="307"/>
      <c r="E7" s="1076" t="s">
        <v>693</v>
      </c>
      <c r="F7" s="303">
        <f ca="1">IF(INDIRECT("'数据-取费表'!ah"&amp;$G$1)="",INDIRECT("'数据-取费表'!k"&amp;$G$1),INDIRECT("'数据-取费表'!ah"&amp;$G$1))</f>
        <v>104671.29</v>
      </c>
      <c r="G7" s="1384"/>
      <c r="H7" s="304"/>
      <c r="I7" s="3640"/>
      <c r="J7" s="306"/>
      <c r="K7" s="307"/>
      <c r="L7" s="302" t="s">
        <v>693</v>
      </c>
      <c r="M7" s="303">
        <f ca="1">F7</f>
        <v>104671.29</v>
      </c>
    </row>
    <row r="8" spans="1:37" ht="18" customHeight="1">
      <c r="A8" s="304"/>
      <c r="B8" s="3640"/>
      <c r="C8" s="306"/>
      <c r="D8" s="307"/>
      <c r="E8" s="302" t="s">
        <v>694</v>
      </c>
      <c r="F8" s="303">
        <f ca="1">INDIRECT("'数据-取费表'!ai"&amp;$G$1)</f>
        <v>365</v>
      </c>
      <c r="G8" s="1384"/>
      <c r="H8" s="304"/>
      <c r="I8" s="3640"/>
      <c r="J8" s="306"/>
      <c r="K8" s="307"/>
      <c r="L8" s="302" t="s">
        <v>694</v>
      </c>
      <c r="M8" s="303">
        <f ca="1">INDIRECT("'数据-取费表'!ai"&amp;$G$1)</f>
        <v>365</v>
      </c>
    </row>
    <row r="9" spans="1:37" ht="18" customHeight="1">
      <c r="A9" s="304"/>
      <c r="B9" s="3641"/>
      <c r="C9" s="306"/>
      <c r="D9" s="307"/>
      <c r="E9" s="302" t="s">
        <v>695</v>
      </c>
      <c r="F9" s="312">
        <f ca="1">INDIRECT("'数据-取费表'!w"&amp;$G$1)</f>
        <v>0.15</v>
      </c>
      <c r="G9" s="1384"/>
      <c r="H9" s="304"/>
      <c r="I9" s="3641"/>
      <c r="J9" s="306"/>
      <c r="K9" s="307"/>
      <c r="L9" s="313" t="s">
        <v>695</v>
      </c>
      <c r="M9" s="314">
        <f ca="1">INDIRECT("'数据-取费表'!ab"&amp;$G$1)</f>
        <v>0</v>
      </c>
    </row>
    <row r="10" spans="1:37" ht="18" customHeight="1">
      <c r="A10" s="1069" t="s">
        <v>402</v>
      </c>
      <c r="B10" s="1365" t="s">
        <v>696</v>
      </c>
      <c r="C10" s="316">
        <f ca="1">ROUND(IF(F10="押一",C6/12*F11,IF(F10="押二",C6/12*2*F11,IF(F10="押三",C6/12*3*F11,C11*F11))),0)</f>
        <v>3</v>
      </c>
      <c r="D10" s="1366" t="s">
        <v>2113</v>
      </c>
      <c r="E10" s="313" t="s">
        <v>697</v>
      </c>
      <c r="F10" s="1116" t="s">
        <v>3391</v>
      </c>
      <c r="G10" s="1384"/>
      <c r="H10" s="1069" t="s">
        <v>402</v>
      </c>
      <c r="I10" s="1365" t="s">
        <v>696</v>
      </c>
      <c r="J10" s="301">
        <f ca="1">ROUND(IF(M10="押一",J6/12*M11,IF(M10="押二",J6/12*2*M11,IF(M10="押三",J6/12*3*M11,J11*M11))),0)</f>
        <v>0</v>
      </c>
      <c r="K10" s="1366" t="s">
        <v>2112</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65212</v>
      </c>
      <c r="D13" s="1081" t="s">
        <v>701</v>
      </c>
      <c r="E13" s="1081" t="s">
        <v>702</v>
      </c>
      <c r="F13" s="1082">
        <f ca="1">INDIRECT("'数据-取费表'!y"&amp;$G$1)</f>
        <v>0.95</v>
      </c>
      <c r="G13" s="1384"/>
      <c r="H13" s="1079">
        <v>2</v>
      </c>
      <c r="I13" s="1080" t="s">
        <v>700</v>
      </c>
      <c r="J13" s="1068">
        <f ca="1">ROUND(J14*J15,0)</f>
        <v>0</v>
      </c>
      <c r="K13" s="1087" t="s">
        <v>701</v>
      </c>
      <c r="L13" s="1392"/>
      <c r="M13" s="1393"/>
    </row>
    <row r="14" spans="1:37" ht="18" customHeight="1">
      <c r="A14" s="982" t="s">
        <v>397</v>
      </c>
      <c r="B14" s="302" t="s">
        <v>703</v>
      </c>
      <c r="C14" s="318">
        <f ca="1">INDIRECT("'数据-取费表'!m"&amp;$G$1)+INDIRECT("'数据-取费表'!t"&amp;$G$1)</f>
        <v>47102</v>
      </c>
      <c r="D14" s="1345" t="s">
        <v>704</v>
      </c>
      <c r="E14" s="1342"/>
      <c r="F14" s="319"/>
      <c r="G14" s="1384"/>
      <c r="H14" s="982" t="s">
        <v>398</v>
      </c>
      <c r="I14" s="302" t="s">
        <v>705</v>
      </c>
      <c r="J14" s="21">
        <f ca="1">C29</f>
        <v>68644</v>
      </c>
      <c r="K14" s="12"/>
      <c r="L14" s="807"/>
      <c r="M14" s="808"/>
    </row>
    <row r="15" spans="1:37" s="1397" customFormat="1" ht="18" customHeight="1" thickBot="1">
      <c r="A15" s="982" t="s">
        <v>399</v>
      </c>
      <c r="B15" s="302" t="s">
        <v>706</v>
      </c>
      <c r="C15" s="21">
        <f ca="1">ROUND(C14*F15,0)</f>
        <v>2355</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393</v>
      </c>
      <c r="I16" s="1080" t="s">
        <v>710</v>
      </c>
      <c r="J16" s="310">
        <f ca="1">ROUND(J17+J22+J23+J24,0)</f>
        <v>686</v>
      </c>
      <c r="K16" s="1087" t="s">
        <v>711</v>
      </c>
      <c r="L16" s="1088"/>
      <c r="M16" s="1072"/>
    </row>
    <row r="17" spans="1:37" s="1397" customFormat="1" ht="18" customHeight="1">
      <c r="A17" s="982" t="s">
        <v>677</v>
      </c>
      <c r="B17" s="302" t="s">
        <v>712</v>
      </c>
      <c r="C17" s="21">
        <f ca="1">ROUND(F17*(F43+INDIRECT("'数据-取费表'!S"&amp;$G$1))/10000,0)</f>
        <v>2093</v>
      </c>
      <c r="D17" s="302" t="s">
        <v>713</v>
      </c>
      <c r="E17" s="302" t="s">
        <v>714</v>
      </c>
      <c r="F17" s="23">
        <f>'数据-取费表'!B35</f>
        <v>200</v>
      </c>
      <c r="G17" s="1396"/>
      <c r="H17" s="982" t="s">
        <v>398</v>
      </c>
      <c r="I17" s="302" t="s">
        <v>715</v>
      </c>
      <c r="J17" s="2316">
        <f ca="1">ROUND(IF(AND(项目基本情况!B11="自然人",项目基本情况!B10="北京市"),J6*M17/(1+'数据-取费表'!C42),J18+J19+J20),2)</f>
        <v>0</v>
      </c>
      <c r="K17" s="1345" t="s">
        <v>716</v>
      </c>
      <c r="L17" s="1344" t="s">
        <v>717</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942</v>
      </c>
      <c r="D18" s="302" t="s">
        <v>707</v>
      </c>
      <c r="E18" s="302" t="s">
        <v>708</v>
      </c>
      <c r="F18" s="322">
        <f>'数据-取费表'!B36</f>
        <v>0.02</v>
      </c>
      <c r="G18" s="1396"/>
      <c r="H18" s="982" t="s">
        <v>397</v>
      </c>
      <c r="I18" s="302" t="s">
        <v>719</v>
      </c>
      <c r="J18" s="21">
        <f ca="1">ROUND(J6*M18/(1+'数据-取费表'!C42),2)</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52492</v>
      </c>
      <c r="D19" s="131" t="s">
        <v>722</v>
      </c>
      <c r="E19" s="1360"/>
      <c r="F19" s="23"/>
      <c r="G19" s="1384"/>
      <c r="H19" s="982" t="s">
        <v>399</v>
      </c>
      <c r="I19" s="302" t="s">
        <v>723</v>
      </c>
      <c r="J19" s="21">
        <f ca="1">IF(K19="按租金收入计税",ROUND(J6*M19/(1+'数据-取费表'!C42),2),ROUND(C29*M19*0.7,2))</f>
        <v>0</v>
      </c>
      <c r="K19" s="1370" t="s">
        <v>3335</v>
      </c>
      <c r="L19" s="302" t="s">
        <v>708</v>
      </c>
      <c r="M19" s="322">
        <f>IF(K19="按租金收入计税",'数据-取费表'!B51,'数据-取费表'!B50)</f>
        <v>0.12</v>
      </c>
    </row>
    <row r="20" spans="1:37" s="1397" customFormat="1" ht="18" customHeight="1">
      <c r="A20" s="982" t="s">
        <v>402</v>
      </c>
      <c r="B20" s="302" t="s">
        <v>724</v>
      </c>
      <c r="C20" s="21">
        <f ca="1">ROUND(C19*F20,0)</f>
        <v>1050</v>
      </c>
      <c r="D20" s="323" t="s">
        <v>725</v>
      </c>
      <c r="E20" s="302" t="s">
        <v>708</v>
      </c>
      <c r="F20" s="322">
        <f>'数据-取费表'!B37</f>
        <v>0.02</v>
      </c>
      <c r="G20" s="1396"/>
      <c r="H20" s="982" t="s">
        <v>676</v>
      </c>
      <c r="I20" s="155" t="s">
        <v>726</v>
      </c>
      <c r="J20" s="22">
        <f ca="1">ROUND(M20*M21/10000,2)</f>
        <v>0</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402</v>
      </c>
      <c r="I22" s="302" t="s">
        <v>734</v>
      </c>
      <c r="J22" s="21">
        <f ca="1">ROUND(J14*M22,2)</f>
        <v>686.44</v>
      </c>
      <c r="K22" s="1344" t="s">
        <v>735</v>
      </c>
      <c r="L22" s="302" t="s">
        <v>708</v>
      </c>
      <c r="M22" s="328">
        <f ca="1">INDIRECT("'数据-取费表'!Ak"&amp;$G$1)</f>
        <v>0.01</v>
      </c>
    </row>
    <row r="23" spans="1:37" s="1397" customFormat="1" ht="18" customHeight="1">
      <c r="A23" s="982" t="s">
        <v>397</v>
      </c>
      <c r="B23" s="302" t="s">
        <v>736</v>
      </c>
      <c r="C23" s="21">
        <f ca="1">IF('数据-取费表'!B22&lt;=1,ROUND(C19*F24*F23/2,0)+ROUND(C20*F24*F23/2,0),ROUND(C19*(POWER((1+F24),F23/2)-1),0)+ROUND(C20*(POWER((1+F24),F23/2)-1),0))</f>
        <v>1847</v>
      </c>
      <c r="D23" s="329" t="str">
        <f>IF(F23&lt;=1,"(建造成本+管理费用)×利率×(建设周期÷2)","(建造成本+管理费用)×((1+利率)^(建设周期÷2)-1)")</f>
        <v>(建造成本+管理费用)×((1+利率)^(建设周期÷2)-1)</v>
      </c>
      <c r="E23" s="302" t="s">
        <v>737</v>
      </c>
      <c r="F23" s="325">
        <f>'数据-取费表'!B20</f>
        <v>2</v>
      </c>
      <c r="G23" s="1396"/>
      <c r="H23" s="982" t="s">
        <v>437</v>
      </c>
      <c r="I23" s="302" t="s">
        <v>738</v>
      </c>
      <c r="J23" s="21">
        <f ca="1">ROUND(J13*M23,2)</f>
        <v>0</v>
      </c>
      <c r="K23" s="1344" t="s">
        <v>739</v>
      </c>
      <c r="L23" s="302" t="s">
        <v>740</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6"/>
      <c r="H24" s="1089" t="s">
        <v>680</v>
      </c>
      <c r="I24" s="1090" t="s">
        <v>724</v>
      </c>
      <c r="J24" s="1091">
        <f ca="1">ROUND(J5*M24,2)</f>
        <v>0</v>
      </c>
      <c r="K24" s="1092" t="s">
        <v>744</v>
      </c>
      <c r="L24" s="1090" t="s">
        <v>740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394</v>
      </c>
      <c r="I25" s="1094" t="s">
        <v>748</v>
      </c>
      <c r="J25" s="310">
        <f ca="1">J5-J16</f>
        <v>-686</v>
      </c>
      <c r="K25" s="1095" t="s">
        <v>749</v>
      </c>
      <c r="L25" s="1096"/>
      <c r="M25" s="1097"/>
    </row>
    <row r="26" spans="1:37">
      <c r="A26" s="982" t="s">
        <v>397</v>
      </c>
      <c r="B26" s="302" t="s">
        <v>750</v>
      </c>
      <c r="C26" s="21">
        <f ca="1">ROUND((C19+C20)*F26,0)</f>
        <v>8031</v>
      </c>
      <c r="D26" s="323" t="s">
        <v>751</v>
      </c>
      <c r="E26" s="313" t="s">
        <v>752</v>
      </c>
      <c r="F26" s="312">
        <f ca="1">INDIRECT("'数据-取费表'!q"&amp;$G$1)</f>
        <v>0.15</v>
      </c>
      <c r="G26" s="1384"/>
      <c r="H26" s="299" t="s">
        <v>395</v>
      </c>
      <c r="I26" s="300" t="s">
        <v>753</v>
      </c>
      <c r="J26" s="301">
        <f ca="1">IF(J5&lt;&gt;0,ROUND(J25*(1-((1+M28)/(1+M26))^M27)/(M26-M28),0),0)</f>
        <v>0</v>
      </c>
      <c r="K26" s="324" t="s">
        <v>754</v>
      </c>
      <c r="L26" s="302" t="s">
        <v>755</v>
      </c>
      <c r="M26" s="312">
        <f ca="1">INDIRECT("'数据-取费表'!I"&amp;$G$1)</f>
        <v>0.05</v>
      </c>
    </row>
    <row r="27" spans="1:37" ht="18" customHeight="1">
      <c r="A27" s="982" t="s">
        <v>399</v>
      </c>
      <c r="B27" s="302" t="s">
        <v>756</v>
      </c>
      <c r="C27" s="21">
        <f ca="1">ROUND(F21*F26,4)</f>
        <v>3.0000000000000001E-3</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68644</v>
      </c>
      <c r="D29" s="1092"/>
      <c r="E29" s="1090"/>
      <c r="F29" s="1093"/>
      <c r="G29" s="1396"/>
      <c r="H29" s="334" t="s">
        <v>396</v>
      </c>
      <c r="I29" s="335" t="s">
        <v>764</v>
      </c>
      <c r="J29" s="336">
        <f ca="1">ROUND(J26/(1+F40)^F41,0)</f>
        <v>0</v>
      </c>
      <c r="K29" s="337" t="s">
        <v>765</v>
      </c>
      <c r="L29" s="338"/>
      <c r="M29" s="339">
        <f ca="1">INDIRECT("'数据-取费表'!k"&amp;$G$1)</f>
        <v>104671.29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1243</v>
      </c>
      <c r="D30" s="1087" t="s">
        <v>711</v>
      </c>
      <c r="E30" s="1088"/>
      <c r="F30" s="1072"/>
      <c r="G30" s="1384"/>
      <c r="H30" s="2697"/>
      <c r="I30" s="1398"/>
      <c r="J30" s="1399"/>
      <c r="K30" s="2475"/>
      <c r="L30" s="2698"/>
      <c r="M30" s="2699"/>
    </row>
    <row r="31" spans="1:37" ht="18" customHeight="1">
      <c r="A31" s="982" t="s">
        <v>398</v>
      </c>
      <c r="B31" s="302" t="s">
        <v>715</v>
      </c>
      <c r="C31" s="2316">
        <f ca="1">ROUND(IF(AND(项目基本情况!B11="自然人",项目基本情况!B10="北京市"),C6*F31/(1+'数据-取费表'!C42),C32+C33+C34),2)</f>
        <v>433</v>
      </c>
      <c r="D31" s="1345" t="s">
        <v>716</v>
      </c>
      <c r="E31" s="1344" t="s">
        <v>766</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719</v>
      </c>
      <c r="C32" s="21">
        <f ca="1">IF(项目基本情况!B11="自然人","——",ROUND(C6*F32/(1+'数据-取费表'!C42),2))</f>
        <v>136.09</v>
      </c>
      <c r="D32" s="1344" t="s">
        <v>720</v>
      </c>
      <c r="E32" s="302" t="s">
        <v>708</v>
      </c>
      <c r="F32" s="331">
        <f>'数据-取费表'!B41</f>
        <v>5.5000000000000007E-2</v>
      </c>
      <c r="G32" s="1384"/>
      <c r="H32" s="2697"/>
      <c r="I32" s="1398"/>
      <c r="J32" s="1399"/>
      <c r="K32" s="2475"/>
      <c r="L32" s="2698"/>
      <c r="M32" s="2699"/>
    </row>
    <row r="33" spans="1:18" ht="18" customHeight="1">
      <c r="A33" s="982" t="s">
        <v>399</v>
      </c>
      <c r="B33" s="302" t="s">
        <v>723</v>
      </c>
      <c r="C33" s="21">
        <f ca="1">IF(项目基本情况!B11="自然人","——",IF(D33="按租金收入计税",ROUND(C6*F33/(1+'数据-取费表'!C42),2),IF(D33="按房产原值计税",ROUND(C29*F33*0.7,2),INDIRECT("'数据-取费表'!Aj"&amp;$G$1))))</f>
        <v>296.91000000000003</v>
      </c>
      <c r="D33" s="1370" t="s">
        <v>3335</v>
      </c>
      <c r="E33" s="302" t="s">
        <v>708</v>
      </c>
      <c r="F33" s="322">
        <f>IF(D33="按票据","——",IF(D33="按租金收入计税",'数据-取费表'!B51,'数据-取费表'!B50))</f>
        <v>0.12</v>
      </c>
      <c r="G33" s="1384"/>
      <c r="H33" s="2700"/>
      <c r="I33" s="1398"/>
      <c r="J33" s="1399"/>
      <c r="K33" s="2701"/>
      <c r="L33" s="2700"/>
      <c r="M33" s="2700"/>
    </row>
    <row r="34" spans="1:18" ht="18" customHeight="1">
      <c r="A34" s="1069" t="s">
        <v>676</v>
      </c>
      <c r="B34" s="155" t="s">
        <v>726</v>
      </c>
      <c r="C34" s="22">
        <f ca="1">IF(项目基本情况!B11="自然人","——",ROUND(F34*F35/10000,2))</f>
        <v>0</v>
      </c>
      <c r="D34" s="324" t="s">
        <v>727</v>
      </c>
      <c r="E34" s="302" t="s">
        <v>728</v>
      </c>
      <c r="F34" s="325">
        <f>'数据-取费表'!B52</f>
        <v>1.5</v>
      </c>
      <c r="G34" s="1384"/>
      <c r="H34" s="2697"/>
      <c r="I34" s="1398"/>
      <c r="J34" s="1399"/>
      <c r="K34" s="2702"/>
      <c r="L34" s="2703"/>
      <c r="M34" s="2703"/>
    </row>
    <row r="35" spans="1:18" ht="18" customHeight="1">
      <c r="A35" s="1103"/>
      <c r="B35" s="1101"/>
      <c r="C35" s="26"/>
      <c r="D35" s="327"/>
      <c r="E35" s="302" t="s">
        <v>732</v>
      </c>
      <c r="F35" s="303">
        <f ca="1">INDIRECT("'数据-取费表'!r"&amp;$G$1)</f>
        <v>0</v>
      </c>
      <c r="G35" s="1384"/>
      <c r="H35" s="2697"/>
      <c r="I35" s="1398"/>
      <c r="J35" s="1399"/>
      <c r="K35" s="2701"/>
      <c r="L35" s="2700"/>
      <c r="M35" s="2700"/>
    </row>
    <row r="36" spans="1:18" ht="18" customHeight="1">
      <c r="A36" s="1102" t="s">
        <v>402</v>
      </c>
      <c r="B36" s="302" t="s">
        <v>734</v>
      </c>
      <c r="C36" s="21">
        <f ca="1">ROUND(C29*F36,2)</f>
        <v>686.44</v>
      </c>
      <c r="D36" s="1344" t="s">
        <v>767</v>
      </c>
      <c r="E36" s="302" t="s">
        <v>708</v>
      </c>
      <c r="F36" s="328">
        <f ca="1">INDIRECT("'数据-取费表'!Ak"&amp;$G$1)</f>
        <v>0.01</v>
      </c>
      <c r="G36" s="1384"/>
      <c r="H36" s="2700"/>
      <c r="I36" s="1398"/>
      <c r="J36" s="1399"/>
      <c r="K36" s="2544"/>
      <c r="L36" s="2700"/>
      <c r="M36" s="2700"/>
    </row>
    <row r="37" spans="1:18" ht="18" customHeight="1">
      <c r="A37" s="982" t="s">
        <v>437</v>
      </c>
      <c r="B37" s="302" t="s">
        <v>738</v>
      </c>
      <c r="C37" s="21">
        <f ca="1">ROUND(C13*F37,2)</f>
        <v>97.82</v>
      </c>
      <c r="D37" s="1344" t="s">
        <v>739</v>
      </c>
      <c r="E37" s="302" t="s">
        <v>740</v>
      </c>
      <c r="F37" s="330">
        <f ca="1">INDIRECT("'数据-取费表'!Al"&amp;$G$1)</f>
        <v>1.5E-3</v>
      </c>
      <c r="G37" s="1384"/>
      <c r="H37" s="2700"/>
      <c r="I37" s="1398"/>
      <c r="J37" s="1399"/>
      <c r="K37" s="2544"/>
      <c r="L37" s="2700"/>
      <c r="M37" s="2700"/>
    </row>
    <row r="38" spans="1:18" ht="18" customHeight="1" thickBot="1">
      <c r="A38" s="1089" t="s">
        <v>680</v>
      </c>
      <c r="B38" s="1090" t="s">
        <v>724</v>
      </c>
      <c r="C38" s="1091">
        <f ca="1">ROUND(C5*F38,2)</f>
        <v>26.01</v>
      </c>
      <c r="D38" s="1092" t="s">
        <v>744</v>
      </c>
      <c r="E38" s="1090" t="s">
        <v>740</v>
      </c>
      <c r="F38" s="1086">
        <f ca="1">INDIRECT("'数据-取费表'!Am"&amp;$G$1)</f>
        <v>0.01</v>
      </c>
      <c r="G38" s="1384"/>
      <c r="H38" s="2700"/>
      <c r="I38" s="1398"/>
      <c r="J38" s="1399"/>
      <c r="K38" s="2704"/>
      <c r="L38" s="2700"/>
      <c r="M38" s="2700"/>
    </row>
    <row r="39" spans="1:18" ht="24.6" customHeight="1" thickTop="1">
      <c r="A39" s="1079" t="s">
        <v>394</v>
      </c>
      <c r="B39" s="1094" t="s">
        <v>768</v>
      </c>
      <c r="C39" s="310">
        <f ca="1">C5-C30</f>
        <v>1358</v>
      </c>
      <c r="D39" s="1095" t="s">
        <v>769</v>
      </c>
      <c r="E39" s="1096"/>
      <c r="F39" s="1097"/>
      <c r="G39" s="1384"/>
      <c r="H39" s="2700"/>
      <c r="I39" s="1398"/>
      <c r="J39" s="1399"/>
      <c r="K39" s="2704"/>
      <c r="L39" s="2700"/>
      <c r="M39" s="2700"/>
    </row>
    <row r="40" spans="1:18" ht="18" customHeight="1">
      <c r="A40" s="299" t="s">
        <v>395</v>
      </c>
      <c r="B40" s="300" t="s">
        <v>770</v>
      </c>
      <c r="C40" s="301">
        <f ca="1">ROUND(C39*(1-((1+F42)/(1+F40))^F41)/(F40-F42),0)</f>
        <v>37948</v>
      </c>
      <c r="D40" s="324" t="s">
        <v>754</v>
      </c>
      <c r="E40" s="302" t="s">
        <v>755</v>
      </c>
      <c r="F40" s="312">
        <f ca="1">INDIRECT("'数据-取费表'!I"&amp;$G$1)</f>
        <v>0.05</v>
      </c>
      <c r="G40" s="1384"/>
      <c r="H40" s="1461"/>
      <c r="I40" s="1398"/>
      <c r="J40" s="1399"/>
      <c r="K40" s="2704"/>
      <c r="L40" s="1461"/>
      <c r="M40" s="1461"/>
    </row>
    <row r="41" spans="1:18" ht="18" customHeight="1">
      <c r="A41" s="304"/>
      <c r="B41" s="305"/>
      <c r="C41" s="306"/>
      <c r="D41" s="332" t="s">
        <v>771</v>
      </c>
      <c r="E41" s="302" t="s">
        <v>759</v>
      </c>
      <c r="F41" s="333">
        <f ca="1">IF(INDIRECT("'数据-取费表'!af"&amp;$G$1)=0,INDIRECT("'数据-取费表'!ae"&amp;$G$1),INDIRECT("'数据-取费表'!af"&amp;$G$1))</f>
        <v>62.86</v>
      </c>
      <c r="G41" s="1384"/>
      <c r="H41" s="1191"/>
      <c r="I41" s="1398"/>
      <c r="J41" s="1399"/>
      <c r="K41" s="2544"/>
      <c r="L41" s="1191"/>
      <c r="M41" s="1191"/>
    </row>
    <row r="42" spans="1:18" ht="18" customHeight="1">
      <c r="A42" s="308"/>
      <c r="B42" s="309"/>
      <c r="C42" s="310"/>
      <c r="D42" s="327"/>
      <c r="E42" s="302" t="s">
        <v>762</v>
      </c>
      <c r="F42" s="312">
        <f ca="1">INDIRECT("'数据-取费表'!v"&amp;$G$1)</f>
        <v>0.02</v>
      </c>
      <c r="G42" s="1384"/>
      <c r="H42" s="1191"/>
      <c r="I42" s="1398"/>
      <c r="J42" s="1399"/>
      <c r="K42" s="2544"/>
      <c r="L42" s="1191"/>
      <c r="M42" s="1191"/>
    </row>
    <row r="43" spans="1:18" ht="18" customHeight="1" thickBot="1">
      <c r="A43" s="334" t="s">
        <v>396</v>
      </c>
      <c r="B43" s="335" t="s">
        <v>772</v>
      </c>
      <c r="C43" s="336">
        <f ca="1">ROUND(C40*10000/F43,0)</f>
        <v>3625</v>
      </c>
      <c r="D43" s="337" t="s">
        <v>773</v>
      </c>
      <c r="E43" s="338" t="s">
        <v>774</v>
      </c>
      <c r="F43" s="339">
        <f ca="1">INDIRECT("'数据-取费表'!k"&amp;$G$1)</f>
        <v>104671.29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804</v>
      </c>
      <c r="P45" s="1461"/>
      <c r="Q45" s="1461"/>
      <c r="R45" s="1461"/>
    </row>
    <row r="46" spans="1:18" s="1384" customFormat="1" ht="13.5" thickBot="1">
      <c r="A46" s="1404" t="s">
        <v>805</v>
      </c>
      <c r="C46" s="1405">
        <f ca="1">C68-C40</f>
        <v>-52898</v>
      </c>
      <c r="D46" s="1406" t="str">
        <f>C2</f>
        <v>万元</v>
      </c>
      <c r="E46" s="1400"/>
      <c r="F46" s="1400"/>
      <c r="I46" s="1407" t="s">
        <v>806</v>
      </c>
      <c r="J46" s="1408"/>
      <c r="K46" s="1409"/>
      <c r="L46" s="1410">
        <f>IF(M47="住宅",0,IF(L48&gt;J51,L60,J60))</f>
        <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t="s">
        <v>3392</v>
      </c>
      <c r="K47" s="1416" t="s">
        <v>812</v>
      </c>
      <c r="L47" s="1417">
        <f ca="1">INDIRECT("'数据-取费表'!d"&amp;$G$1)</f>
        <v>70</v>
      </c>
      <c r="M47" s="1380" t="str">
        <f>IF(ISNUMBER(FIND("住宅",C1)),"住宅","非住宅")</f>
        <v>住宅</v>
      </c>
      <c r="O47" s="1418" t="s">
        <v>403</v>
      </c>
      <c r="P47" s="1419" t="s">
        <v>813</v>
      </c>
      <c r="Q47" s="1420">
        <f ca="1">C40+J29</f>
        <v>37948</v>
      </c>
      <c r="R47" s="1420" t="s">
        <v>814</v>
      </c>
    </row>
    <row r="48" spans="1:18" s="1384" customFormat="1" ht="28.5" thickBot="1">
      <c r="A48" s="1110" t="s">
        <v>438</v>
      </c>
      <c r="B48" s="300" t="s">
        <v>688</v>
      </c>
      <c r="C48" s="1359">
        <f ca="1">C49+C53+C55</f>
        <v>0</v>
      </c>
      <c r="D48" s="1112"/>
      <c r="E48" s="1113"/>
      <c r="F48" s="962"/>
      <c r="G48" s="722"/>
      <c r="H48" s="723"/>
      <c r="I48" s="1421" t="s">
        <v>815</v>
      </c>
      <c r="J48" s="1422" t="s">
        <v>3393</v>
      </c>
      <c r="K48" s="1423" t="s">
        <v>816</v>
      </c>
      <c r="L48" s="1424">
        <f ca="1">INDIRECT("'数据-取费表'!f"&amp;$G$1)</f>
        <v>62.86</v>
      </c>
      <c r="O48" s="1418" t="s">
        <v>404</v>
      </c>
      <c r="P48" s="1419" t="s">
        <v>817</v>
      </c>
      <c r="Q48" s="1420" t="str">
        <f ca="1">J60</f>
        <v>0</v>
      </c>
      <c r="R48" s="1420" t="s">
        <v>818</v>
      </c>
    </row>
    <row r="49" spans="1:18" s="1384" customFormat="1" ht="13.5" thickBot="1">
      <c r="A49" s="975" t="s">
        <v>439</v>
      </c>
      <c r="B49" s="1371" t="s">
        <v>775</v>
      </c>
      <c r="C49" s="1114">
        <f ca="1">ROUND(F49*F51*F50*(1-F52)/10000,0)</f>
        <v>0</v>
      </c>
      <c r="D49" s="1055" t="s">
        <v>2106</v>
      </c>
      <c r="E49" s="1372" t="s">
        <v>776</v>
      </c>
      <c r="F49" s="1060"/>
      <c r="G49" s="1425"/>
      <c r="H49" s="723"/>
      <c r="I49" s="1421" t="s">
        <v>819</v>
      </c>
      <c r="J49" s="1426">
        <v>2021</v>
      </c>
      <c r="K49" s="1423" t="s">
        <v>820</v>
      </c>
      <c r="L49" s="1427"/>
      <c r="O49" s="1428" t="s">
        <v>405</v>
      </c>
      <c r="P49" s="1419" t="s">
        <v>821</v>
      </c>
      <c r="Q49" s="1420">
        <f ca="1">C29</f>
        <v>68644</v>
      </c>
      <c r="R49" s="1420" t="s">
        <v>814</v>
      </c>
    </row>
    <row r="50" spans="1:18" s="1384" customFormat="1" ht="13.5" thickBot="1">
      <c r="A50" s="976"/>
      <c r="B50" s="979"/>
      <c r="C50" s="1118"/>
      <c r="D50" s="953"/>
      <c r="E50" s="1056" t="s">
        <v>693</v>
      </c>
      <c r="F50" s="1057">
        <f ca="1">F7</f>
        <v>104671.29</v>
      </c>
      <c r="H50" s="723"/>
      <c r="I50" s="1421" t="s">
        <v>822</v>
      </c>
      <c r="J50" s="1429">
        <f>SUMPRODUCT((I63:I65=J47)*(J62:L62=J48)*(J63:L65))</f>
        <v>60</v>
      </c>
      <c r="K50" s="1423" t="s">
        <v>823</v>
      </c>
      <c r="L50" s="1427"/>
      <c r="M50" s="1430"/>
      <c r="O50" s="1428" t="s">
        <v>406</v>
      </c>
      <c r="P50" s="1419" t="s">
        <v>824</v>
      </c>
      <c r="Q50" s="1431" t="e">
        <f ca="1">J58</f>
        <v>#VALUE!</v>
      </c>
      <c r="R50" s="1420"/>
    </row>
    <row r="51" spans="1:18" s="1384" customFormat="1" ht="13.5" thickBot="1">
      <c r="A51" s="977"/>
      <c r="B51" s="979"/>
      <c r="C51" s="980"/>
      <c r="D51" s="953"/>
      <c r="E51" s="981" t="s">
        <v>694</v>
      </c>
      <c r="F51" s="303">
        <f ca="1">F8</f>
        <v>365</v>
      </c>
      <c r="I51" s="1432" t="s">
        <v>825</v>
      </c>
      <c r="J51" s="1433">
        <f>IF(J49="",J50,J49+J50-YEAR('数据-取费表'!B2))</f>
        <v>57</v>
      </c>
      <c r="K51" s="1434" t="s">
        <v>826</v>
      </c>
      <c r="L51" s="1435">
        <f ca="1">ROUND(-PV(INDIRECT("'数据-取费表'!h"&amp;$G$1),J51,(C39-C13*C76),0),0)</f>
        <v>-65466</v>
      </c>
      <c r="M51" s="1436"/>
      <c r="O51" s="1428" t="s">
        <v>407</v>
      </c>
      <c r="P51" s="1419" t="s">
        <v>827</v>
      </c>
      <c r="Q51" s="1431">
        <f>J52</f>
        <v>7.4999999999999997E-2</v>
      </c>
      <c r="R51" s="1420"/>
    </row>
    <row r="52" spans="1:18" s="1384" customFormat="1" ht="13.5" thickBot="1">
      <c r="A52" s="977"/>
      <c r="B52" s="979"/>
      <c r="C52" s="980"/>
      <c r="D52" s="953"/>
      <c r="E52" s="981" t="s">
        <v>695</v>
      </c>
      <c r="F52" s="1054"/>
      <c r="I52" s="1437" t="s">
        <v>828</v>
      </c>
      <c r="J52" s="1438">
        <v>7.4999999999999997E-2</v>
      </c>
      <c r="K52" s="1437" t="s">
        <v>829</v>
      </c>
      <c r="L52" s="1438"/>
      <c r="O52" s="1428" t="s">
        <v>408</v>
      </c>
      <c r="P52" s="1419" t="s">
        <v>830</v>
      </c>
      <c r="Q52" s="1420">
        <f ca="1">J53</f>
        <v>62.86</v>
      </c>
      <c r="R52" s="1420" t="s">
        <v>831</v>
      </c>
    </row>
    <row r="53" spans="1:18" s="1384" customFormat="1" ht="24.75" thickBot="1">
      <c r="A53" s="1152" t="s">
        <v>440</v>
      </c>
      <c r="B53" s="1373" t="s">
        <v>696</v>
      </c>
      <c r="C53" s="316">
        <f ca="1">ROUND(IF(F53="押一",C49/12*F11,IF(F53="押二",C49/12*2*F11,IF(F53="押三",C49/12*3*F11,C54*F11))),0)</f>
        <v>0</v>
      </c>
      <c r="D53" s="1366" t="s">
        <v>2112</v>
      </c>
      <c r="E53" s="313" t="s">
        <v>697</v>
      </c>
      <c r="F53" s="1116"/>
      <c r="I53" s="1439" t="s">
        <v>832</v>
      </c>
      <c r="J53" s="2168">
        <f ca="1">IF(M47="住宅",IF(D1="——",MAX(J51,L48),MAX(J51,L48-'数据-取费表'!B24)),IF(D1="——",MIN(J51,L48),MIN(J51,L48-'数据-取费表'!B24)))</f>
        <v>62.86</v>
      </c>
      <c r="K53" s="3637" t="s">
        <v>833</v>
      </c>
      <c r="L53" s="3638"/>
      <c r="O53" s="1418" t="s">
        <v>409</v>
      </c>
      <c r="P53" s="1419" t="s">
        <v>834</v>
      </c>
      <c r="Q53" s="1420">
        <f ca="1">Q47+Q48</f>
        <v>37948</v>
      </c>
      <c r="R53" s="1420" t="s">
        <v>410</v>
      </c>
    </row>
    <row r="54" spans="1:18" s="1384" customFormat="1" ht="13.5" thickBot="1">
      <c r="A54" s="1153"/>
      <c r="B54" s="1367" t="s">
        <v>675</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#VALUE!</v>
      </c>
      <c r="K55" s="1445" t="s">
        <v>837</v>
      </c>
      <c r="L55" s="1446"/>
      <c r="O55" s="1411" t="s">
        <v>807</v>
      </c>
      <c r="P55" s="1412" t="s">
        <v>808</v>
      </c>
      <c r="Q55" s="1413" t="s">
        <v>809</v>
      </c>
      <c r="R55" s="1413" t="s">
        <v>810</v>
      </c>
    </row>
    <row r="56" spans="1:18" s="1384" customFormat="1" ht="25.5" thickTop="1" thickBot="1">
      <c r="A56" s="957">
        <v>2</v>
      </c>
      <c r="B56" s="958" t="s">
        <v>700</v>
      </c>
      <c r="C56" s="232">
        <f ca="1">C13</f>
        <v>65212</v>
      </c>
      <c r="D56" s="1447"/>
      <c r="E56" s="1448"/>
      <c r="F56" s="1440"/>
      <c r="I56" s="1449" t="s">
        <v>838</v>
      </c>
      <c r="J56" s="1450" t="s">
        <v>3394</v>
      </c>
      <c r="K56" s="1421" t="s">
        <v>839</v>
      </c>
      <c r="L56" s="1424">
        <f ca="1">IF(L48&lt;J51,"——",L48-J53)</f>
        <v>0</v>
      </c>
      <c r="O56" s="1418" t="s">
        <v>403</v>
      </c>
      <c r="P56" s="1419" t="s">
        <v>813</v>
      </c>
      <c r="Q56" s="1420">
        <f ca="1">C40+J29</f>
        <v>37948</v>
      </c>
      <c r="R56" s="1420" t="s">
        <v>814</v>
      </c>
    </row>
    <row r="57" spans="1:18" s="1384" customFormat="1" ht="24.75" thickBot="1">
      <c r="A57" s="1451"/>
      <c r="B57" s="950" t="s">
        <v>763</v>
      </c>
      <c r="C57" s="238">
        <f ca="1">C29</f>
        <v>68644</v>
      </c>
      <c r="D57" s="1452"/>
      <c r="E57" s="1453"/>
      <c r="F57" s="1454"/>
      <c r="I57" s="1455" t="s">
        <v>840</v>
      </c>
      <c r="J57" s="1456" t="str">
        <f ca="1">IF(OR(M47="住宅",J51&lt;L48,J56="是"),"——",J51-L48)</f>
        <v>——</v>
      </c>
      <c r="K57" s="1421" t="s">
        <v>841</v>
      </c>
      <c r="L57" s="1424">
        <f ca="1">IF(L48&lt;J51,"——",IF(L55="比较法",L49,IF(L55="基准地价",L50,L51)))</f>
        <v>-65466</v>
      </c>
      <c r="O57" s="1418" t="s">
        <v>404</v>
      </c>
      <c r="P57" s="1419" t="s">
        <v>842</v>
      </c>
      <c r="Q57" s="1420">
        <f ca="1">L60</f>
        <v>0</v>
      </c>
      <c r="R57" s="1420" t="s">
        <v>843</v>
      </c>
    </row>
    <row r="58" spans="1:18" s="1384" customFormat="1" ht="24.75" thickBot="1">
      <c r="A58" s="315" t="s">
        <v>393</v>
      </c>
      <c r="B58" s="958" t="s">
        <v>710</v>
      </c>
      <c r="C58" s="316">
        <f ca="1">ROUND(C59+C64+C65+C66,0)</f>
        <v>784</v>
      </c>
      <c r="D58" s="960" t="s">
        <v>711</v>
      </c>
      <c r="E58" s="961"/>
      <c r="F58" s="962"/>
      <c r="I58" s="1455" t="s">
        <v>844</v>
      </c>
      <c r="J58" s="1457" t="e">
        <f ca="1">IF(J55&lt;0.4,0.4,J55)</f>
        <v>#VALUE!</v>
      </c>
      <c r="K58" s="1434" t="s">
        <v>845</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6">
        <f ca="1">ROUND(IF(AND(项目基本情况!B11="自然人",项目基本情况!B10="北京市"),C49*F59/(1+'数据-取费表'!C42),C60+C61+C62),0)</f>
        <v>0</v>
      </c>
      <c r="D59" s="963" t="s">
        <v>716</v>
      </c>
      <c r="E59" s="964" t="s">
        <v>717</v>
      </c>
      <c r="F59" s="2315" t="str">
        <f>IF(项目基本情况!B11="企业","——",IF('数据-取费表'!B10="住宅",IF(F49*F50*F51/12/(1+'数据-取费表'!F30)&gt;100000,4%,2.5%),IF(F49*F50*F51/12/(1+'数据-取费表'!F30)&gt;100000,12%,7%)))</f>
        <v>——</v>
      </c>
      <c r="I59" s="1455" t="s">
        <v>847</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IF(项目基本情况!B11="自然人","——",ROUND(C48*F60/(1+'数据-取费表'!C42),2))</f>
        <v>0</v>
      </c>
      <c r="D60" s="964" t="s">
        <v>720</v>
      </c>
      <c r="E60" s="950" t="s">
        <v>708</v>
      </c>
      <c r="F60" s="331">
        <f t="shared" ref="F60:F66" si="0">F32</f>
        <v>5.5000000000000007E-2</v>
      </c>
      <c r="I60" s="1458" t="s">
        <v>849</v>
      </c>
      <c r="J60" s="1459" t="str">
        <f ca="1">IF(OR(M47="住宅",J51&lt;L48,J56="是"),"0",ROUND(J59/(1+J52)^J53,0))</f>
        <v>0</v>
      </c>
      <c r="K60" s="1460" t="s">
        <v>850</v>
      </c>
      <c r="L60" s="1459">
        <f ca="1">IF(OR(M47="住宅",L48&lt;J51),0,ROUND(L57*(L58/L59-1),0))</f>
        <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3335</v>
      </c>
      <c r="E61" s="950" t="s">
        <v>779</v>
      </c>
      <c r="F61" s="322">
        <f t="shared" si="0"/>
        <v>0.12</v>
      </c>
      <c r="I61" s="1461"/>
      <c r="J61" s="1461"/>
      <c r="K61" s="1461"/>
      <c r="L61" s="1461"/>
      <c r="O61" s="1428" t="s">
        <v>408</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IF(项目基本情况!B11="自然人","——",ROUND(F62*F63/10000,2))</f>
        <v>0</v>
      </c>
      <c r="D62" s="965" t="s">
        <v>782</v>
      </c>
      <c r="E62" s="950" t="s">
        <v>783</v>
      </c>
      <c r="F62" s="325">
        <f t="shared" si="0"/>
        <v>1.5</v>
      </c>
      <c r="I62" s="1462" t="s">
        <v>854</v>
      </c>
      <c r="J62" s="1463" t="s">
        <v>855</v>
      </c>
      <c r="K62" s="1463" t="s">
        <v>856</v>
      </c>
      <c r="L62" s="1463" t="s">
        <v>857</v>
      </c>
      <c r="M62" s="1464" t="s">
        <v>858</v>
      </c>
      <c r="O62" s="1418" t="s">
        <v>409</v>
      </c>
      <c r="P62" s="1419" t="s">
        <v>859</v>
      </c>
      <c r="Q62" s="1420">
        <f ca="1">Q56+Q57</f>
        <v>37948</v>
      </c>
      <c r="R62" s="1420" t="s">
        <v>410</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686.44</v>
      </c>
      <c r="D64" s="964" t="s">
        <v>787</v>
      </c>
      <c r="E64" s="950" t="s">
        <v>779</v>
      </c>
      <c r="F64" s="328">
        <f t="shared" ca="1" si="0"/>
        <v>0.01</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97.82</v>
      </c>
      <c r="D65" s="964" t="s">
        <v>739</v>
      </c>
      <c r="E65" s="950" t="s">
        <v>740</v>
      </c>
      <c r="F65" s="330">
        <f t="shared" ca="1" si="0"/>
        <v>1.5E-3</v>
      </c>
      <c r="I65" s="1462" t="s">
        <v>863</v>
      </c>
      <c r="J65" s="1463">
        <v>40</v>
      </c>
      <c r="K65" s="1463">
        <v>30</v>
      </c>
      <c r="L65" s="1463">
        <v>50</v>
      </c>
      <c r="M65" s="1465">
        <v>0.02</v>
      </c>
      <c r="O65" s="1418" t="s">
        <v>403</v>
      </c>
      <c r="P65" s="1419" t="s">
        <v>864</v>
      </c>
      <c r="Q65" s="1420">
        <f ca="1">C40+J29</f>
        <v>37948</v>
      </c>
      <c r="R65" s="1420" t="s">
        <v>814</v>
      </c>
    </row>
    <row r="66" spans="1:18" s="1384" customFormat="1" ht="16.5" thickBot="1">
      <c r="A66" s="982" t="s">
        <v>789</v>
      </c>
      <c r="B66" s="950" t="s">
        <v>724</v>
      </c>
      <c r="C66" s="21">
        <f ca="1">ROUND(C48*F66,2)</f>
        <v>0</v>
      </c>
      <c r="D66" s="964" t="s">
        <v>790</v>
      </c>
      <c r="E66" s="950" t="s">
        <v>708</v>
      </c>
      <c r="F66" s="312">
        <f t="shared" ca="1" si="0"/>
        <v>0.01</v>
      </c>
      <c r="O66" s="1418" t="s">
        <v>404</v>
      </c>
      <c r="P66" s="1419" t="s">
        <v>842</v>
      </c>
      <c r="Q66" s="1420">
        <f ca="1">L60</f>
        <v>0</v>
      </c>
      <c r="R66" s="1420" t="s">
        <v>865</v>
      </c>
    </row>
    <row r="67" spans="1:18" s="1384" customFormat="1" ht="16.5" thickBot="1">
      <c r="A67" s="957" t="s">
        <v>394</v>
      </c>
      <c r="B67" s="967" t="s">
        <v>748</v>
      </c>
      <c r="C67" s="316">
        <f ca="1">C48-C58</f>
        <v>-784</v>
      </c>
      <c r="D67" s="963" t="s">
        <v>749</v>
      </c>
      <c r="E67" s="968"/>
      <c r="F67" s="969"/>
      <c r="O67" s="1428" t="s">
        <v>405</v>
      </c>
      <c r="P67" s="1419" t="s">
        <v>846</v>
      </c>
      <c r="Q67" s="1466">
        <f ca="1">L51</f>
        <v>-65466</v>
      </c>
      <c r="R67" s="1420" t="s">
        <v>866</v>
      </c>
    </row>
    <row r="68" spans="1:18" s="1384" customFormat="1" ht="16.5" thickBot="1">
      <c r="A68" s="947" t="s">
        <v>395</v>
      </c>
      <c r="B68" s="948" t="s">
        <v>770</v>
      </c>
      <c r="C68" s="301">
        <f ca="1">ROUND(C67*(1-((1+F70)/(1+F68))^F69)/(F68-F70),0)</f>
        <v>-14950</v>
      </c>
      <c r="D68" s="965" t="s">
        <v>754</v>
      </c>
      <c r="E68" s="950" t="s">
        <v>755</v>
      </c>
      <c r="F68" s="312">
        <f ca="1">F40</f>
        <v>0.05</v>
      </c>
      <c r="O68" s="1428" t="s">
        <v>406</v>
      </c>
      <c r="P68" s="1467" t="s">
        <v>867</v>
      </c>
      <c r="Q68" s="1420">
        <f ca="1">ROUND(Q69-Q70*Q71,0)</f>
        <v>-3207</v>
      </c>
      <c r="R68" s="1420" t="s">
        <v>414</v>
      </c>
    </row>
    <row r="69" spans="1:18" s="1384" customFormat="1" ht="13.5" thickBot="1">
      <c r="A69" s="951"/>
      <c r="B69" s="952"/>
      <c r="C69" s="306"/>
      <c r="D69" s="970" t="s">
        <v>758</v>
      </c>
      <c r="E69" s="950" t="s">
        <v>759</v>
      </c>
      <c r="F69" s="333">
        <f ca="1">F41</f>
        <v>62.86</v>
      </c>
      <c r="O69" s="1428" t="s">
        <v>411</v>
      </c>
      <c r="P69" s="1467" t="s">
        <v>868</v>
      </c>
      <c r="Q69" s="1420">
        <f ca="1">C39</f>
        <v>1358</v>
      </c>
      <c r="R69" s="1420" t="s">
        <v>814</v>
      </c>
    </row>
    <row r="70" spans="1:18" s="1384" customFormat="1" ht="13.5" thickBot="1">
      <c r="A70" s="954"/>
      <c r="B70" s="955"/>
      <c r="C70" s="310"/>
      <c r="D70" s="966"/>
      <c r="E70" s="950" t="s">
        <v>762</v>
      </c>
      <c r="F70" s="1054"/>
      <c r="O70" s="1428" t="s">
        <v>412</v>
      </c>
      <c r="P70" s="1467" t="s">
        <v>869</v>
      </c>
      <c r="Q70" s="1420">
        <f ca="1">C13</f>
        <v>65212</v>
      </c>
      <c r="R70" s="1420" t="s">
        <v>814</v>
      </c>
    </row>
    <row r="71" spans="1:18" s="1384" customFormat="1" ht="13.5" thickBot="1">
      <c r="A71" s="971" t="s">
        <v>396</v>
      </c>
      <c r="B71" s="972" t="s">
        <v>772</v>
      </c>
      <c r="C71" s="336">
        <f ca="1">ROUND(C68*10000/F71,0)</f>
        <v>-1428</v>
      </c>
      <c r="D71" s="973" t="s">
        <v>773</v>
      </c>
      <c r="E71" s="974" t="s">
        <v>774</v>
      </c>
      <c r="F71" s="339">
        <f ca="1">F43</f>
        <v>104671.29</v>
      </c>
      <c r="O71" s="1428" t="s">
        <v>413</v>
      </c>
      <c r="P71" s="1467" t="s">
        <v>870</v>
      </c>
      <c r="Q71" s="1431">
        <f ca="1">C76</f>
        <v>7.0000000000000007E-2</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建筑物剩余耐用年限下的土地年期修正系数Kn</v>
      </c>
      <c r="Q74" s="1420" t="e">
        <f ca="1">L59</f>
        <v>#DIV/0!</v>
      </c>
      <c r="R74" s="1420" t="s">
        <v>853</v>
      </c>
    </row>
    <row r="75" spans="1:18" ht="13.5" thickBot="1">
      <c r="A75" s="1384"/>
      <c r="B75" s="340" t="s">
        <v>791</v>
      </c>
      <c r="C75" s="341">
        <f ca="1">ROUND(C13*C76,0)</f>
        <v>4565</v>
      </c>
      <c r="D75" s="1384"/>
      <c r="E75" s="1384"/>
      <c r="F75" s="1384"/>
      <c r="K75" s="1402"/>
      <c r="L75" s="1384"/>
      <c r="O75" s="1418" t="s">
        <v>409</v>
      </c>
      <c r="P75" s="1419" t="s">
        <v>834</v>
      </c>
      <c r="Q75" s="1420">
        <f ca="1">Q65+Q66</f>
        <v>37948</v>
      </c>
      <c r="R75" s="1420" t="s">
        <v>410</v>
      </c>
    </row>
    <row r="76" spans="1:18">
      <c r="B76" s="342" t="s">
        <v>792</v>
      </c>
      <c r="C76" s="343">
        <f ca="1">INDIRECT("'数据-取费表'!j"&amp;$G$1)</f>
        <v>7.0000000000000007E-2</v>
      </c>
      <c r="I76" s="1384"/>
      <c r="J76" s="1384"/>
      <c r="K76" s="1402"/>
      <c r="L76" s="1384"/>
    </row>
    <row r="77" spans="1:18">
      <c r="B77" s="344" t="s">
        <v>793</v>
      </c>
      <c r="C77" s="345"/>
      <c r="I77" s="1384"/>
      <c r="J77" s="1384"/>
      <c r="K77" s="1402"/>
      <c r="L77" s="1384"/>
    </row>
    <row r="78" spans="1:18">
      <c r="B78" s="270" t="s">
        <v>794</v>
      </c>
      <c r="C78" s="346"/>
    </row>
    <row r="79" spans="1:18">
      <c r="B79" s="340" t="s">
        <v>795</v>
      </c>
      <c r="C79" s="274">
        <f ca="1">1-C80</f>
        <v>-2.3620000000000001</v>
      </c>
    </row>
    <row r="80" spans="1:18">
      <c r="B80" s="340" t="s">
        <v>796</v>
      </c>
      <c r="C80" s="274">
        <f ca="1">ROUND(C75/C39,3)</f>
        <v>3.3620000000000001</v>
      </c>
    </row>
    <row r="81" spans="2:3">
      <c r="B81" s="270" t="s">
        <v>797</v>
      </c>
      <c r="C81" s="238"/>
    </row>
    <row r="82" spans="2:3">
      <c r="B82" s="273" t="s">
        <v>798</v>
      </c>
      <c r="C82" s="275">
        <f ca="1">1-C83</f>
        <v>-0.71799999999999997</v>
      </c>
    </row>
    <row r="83" spans="2:3">
      <c r="B83" s="273" t="s">
        <v>799</v>
      </c>
      <c r="C83" s="274">
        <f ca="1">ROUND(C13/C40,3)</f>
        <v>1.718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43</v>
      </c>
      <c r="E1" s="1363" t="s">
        <v>674</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5" t="e">
        <f ca="1">ROUND(D2/10000,4)</f>
        <v>#DIV/0!</v>
      </c>
      <c r="C2" s="1387" t="s">
        <v>875</v>
      </c>
      <c r="D2" s="1471" t="e">
        <f ca="1">C40+J29+L46</f>
        <v>#DIV/0!</v>
      </c>
      <c r="E2" s="1388" t="s">
        <v>876</v>
      </c>
      <c r="F2" s="1389"/>
      <c r="G2" s="2706"/>
      <c r="H2" s="2695"/>
      <c r="I2" s="2695"/>
      <c r="J2" s="2695"/>
      <c r="K2" s="2696"/>
      <c r="L2" s="2695"/>
      <c r="M2" s="2695"/>
    </row>
    <row r="3" spans="1:37" ht="18" customHeight="1" thickBot="1">
      <c r="A3" s="1390" t="s">
        <v>877</v>
      </c>
      <c r="B3" s="1391">
        <f ca="1">IF(ISERROR(D2/F43),0,ROUND(D2/F43,0))</f>
        <v>0</v>
      </c>
      <c r="C3" s="1387" t="s">
        <v>878</v>
      </c>
      <c r="D3" s="1387"/>
      <c r="E3" s="1388"/>
      <c r="F3" s="1389"/>
      <c r="G3" s="2706"/>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398</v>
      </c>
      <c r="B6" s="3639" t="s">
        <v>690</v>
      </c>
      <c r="C6" s="1074">
        <f ca="1">ROUND(F6*F8*F7*(1-F9),0)</f>
        <v>0</v>
      </c>
      <c r="D6" s="155" t="s">
        <v>2102</v>
      </c>
      <c r="E6" s="302" t="s">
        <v>692</v>
      </c>
      <c r="F6" s="303">
        <f ca="1">INDIRECT("'数据-取费表'!u"&amp;$G$1)</f>
        <v>0</v>
      </c>
      <c r="G6" s="1384"/>
      <c r="H6" s="1069" t="s">
        <v>398</v>
      </c>
      <c r="I6" s="3639" t="s">
        <v>690</v>
      </c>
      <c r="J6" s="301">
        <f ca="1">ROUND(M6*M8*M7*(1-M9),0)</f>
        <v>0</v>
      </c>
      <c r="K6" s="1376" t="s">
        <v>2103</v>
      </c>
      <c r="L6" s="302" t="s">
        <v>692</v>
      </c>
      <c r="M6" s="303">
        <f ca="1">INDIRECT("'数据-取费表'!z"&amp;$G$1)</f>
        <v>0</v>
      </c>
    </row>
    <row r="7" spans="1:37" ht="18" customHeight="1">
      <c r="A7" s="1073"/>
      <c r="B7" s="3640"/>
      <c r="C7" s="1075"/>
      <c r="D7" s="307"/>
      <c r="E7" s="1076" t="s">
        <v>693</v>
      </c>
      <c r="F7" s="303">
        <f ca="1">IF(INDIRECT("'数据-取费表'!ah"&amp;$G$1)="",INDIRECT("'数据-取费表'!k"&amp;$G$1),INDIRECT("'数据-取费表'!ah"&amp;$G$1))</f>
        <v>0</v>
      </c>
      <c r="G7" s="1384"/>
      <c r="H7" s="304"/>
      <c r="I7" s="3640"/>
      <c r="J7" s="306"/>
      <c r="K7" s="307"/>
      <c r="L7" s="302" t="s">
        <v>693</v>
      </c>
      <c r="M7" s="303">
        <f ca="1">F7</f>
        <v>0</v>
      </c>
    </row>
    <row r="8" spans="1:37" ht="18" customHeight="1">
      <c r="A8" s="304"/>
      <c r="B8" s="3640"/>
      <c r="C8" s="306"/>
      <c r="D8" s="307"/>
      <c r="E8" s="302" t="s">
        <v>694</v>
      </c>
      <c r="F8" s="303">
        <f ca="1">INDIRECT("'数据-取费表'!ai"&amp;$G$1)</f>
        <v>0</v>
      </c>
      <c r="G8" s="1384"/>
      <c r="H8" s="304"/>
      <c r="I8" s="3640"/>
      <c r="J8" s="306"/>
      <c r="K8" s="307"/>
      <c r="L8" s="302" t="s">
        <v>694</v>
      </c>
      <c r="M8" s="303">
        <f ca="1">INDIRECT("'数据-取费表'!ai"&amp;$G$1)</f>
        <v>0</v>
      </c>
    </row>
    <row r="9" spans="1:37" ht="18" customHeight="1">
      <c r="A9" s="304"/>
      <c r="B9" s="3641"/>
      <c r="C9" s="306"/>
      <c r="D9" s="307"/>
      <c r="E9" s="302" t="s">
        <v>695</v>
      </c>
      <c r="F9" s="312">
        <f ca="1">INDIRECT("'数据-取费表'!w"&amp;$G$1)</f>
        <v>0</v>
      </c>
      <c r="G9" s="1384"/>
      <c r="H9" s="304"/>
      <c r="I9" s="3641"/>
      <c r="J9" s="306"/>
      <c r="K9" s="307"/>
      <c r="L9" s="313" t="s">
        <v>695</v>
      </c>
      <c r="M9" s="314">
        <f ca="1">INDIRECT("'数据-取费表'!ab"&amp;$G$1)</f>
        <v>0</v>
      </c>
    </row>
    <row r="10" spans="1:37" ht="18" customHeight="1">
      <c r="A10" s="1069" t="s">
        <v>402</v>
      </c>
      <c r="B10" s="1365" t="s">
        <v>696</v>
      </c>
      <c r="C10" s="316">
        <f ca="1">ROUND(IF(F10="押一",C6/12*F11,IF(F10="押二",C6/12*2*F11,IF(F10="押三",C6/12*3*F11,C11*F11))),0)</f>
        <v>0</v>
      </c>
      <c r="D10" s="1366" t="s">
        <v>2112</v>
      </c>
      <c r="E10" s="313" t="s">
        <v>697</v>
      </c>
      <c r="F10" s="1116"/>
      <c r="G10" s="1384"/>
      <c r="H10" s="1069" t="s">
        <v>402</v>
      </c>
      <c r="I10" s="1365" t="s">
        <v>696</v>
      </c>
      <c r="J10" s="301">
        <f ca="1">ROUND(IF(M10="押一",J6/12*M11,IF(M10="押二",J6/12*2*M11,IF(M10="押三",J6/12*3*M11,J11*M11))),0)</f>
        <v>0</v>
      </c>
      <c r="K10" s="1377" t="s">
        <v>2114</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397</v>
      </c>
      <c r="B14" s="302" t="s">
        <v>703</v>
      </c>
      <c r="C14" s="318">
        <f ca="1">ROUND(INDIRECT("'数据-取费表'!l"&amp;$G$1)*F43+'数据-取费表'!L14*INDIRECT("'数据-取费表'!S"&amp;$G$1),0)</f>
        <v>0</v>
      </c>
      <c r="D14" s="1345" t="s">
        <v>704</v>
      </c>
      <c r="E14" s="1342"/>
      <c r="F14" s="319"/>
      <c r="G14" s="1384"/>
      <c r="H14" s="982" t="s">
        <v>398</v>
      </c>
      <c r="I14" s="302" t="s">
        <v>705</v>
      </c>
      <c r="J14" s="21">
        <f ca="1">C29</f>
        <v>0</v>
      </c>
      <c r="K14" s="12"/>
      <c r="L14" s="807"/>
      <c r="M14" s="808"/>
    </row>
    <row r="15" spans="1:37" s="1397" customFormat="1" ht="18" customHeight="1" thickBot="1">
      <c r="A15" s="982" t="s">
        <v>399</v>
      </c>
      <c r="B15" s="302" t="s">
        <v>706</v>
      </c>
      <c r="C15" s="21">
        <f ca="1">ROUND(C14*F15,0)</f>
        <v>0</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393</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398</v>
      </c>
      <c r="I17" s="302" t="s">
        <v>715</v>
      </c>
      <c r="J17" s="2316">
        <f ca="1">ROUND(IF(AND(项目基本情况!B11="自然人",项目基本情况!B10="北京市"),J6*M17/(1+'数据-取费表'!C42),J18+J19+J20),0)</f>
        <v>0</v>
      </c>
      <c r="K17" s="1345" t="s">
        <v>716</v>
      </c>
      <c r="L17" s="1344" t="s">
        <v>717</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0.02</v>
      </c>
      <c r="G18" s="1396"/>
      <c r="H18" s="982" t="s">
        <v>397</v>
      </c>
      <c r="I18" s="302" t="s">
        <v>719</v>
      </c>
      <c r="J18" s="21">
        <f ca="1">ROUND(J6*M18/(1+'数据-取费表'!C42),0)</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0</v>
      </c>
      <c r="D19" s="131" t="s">
        <v>722</v>
      </c>
      <c r="E19" s="1360"/>
      <c r="F19" s="23"/>
      <c r="G19" s="1384"/>
      <c r="H19" s="982" t="s">
        <v>399</v>
      </c>
      <c r="I19" s="302" t="s">
        <v>723</v>
      </c>
      <c r="J19" s="21">
        <f ca="1">IF(K19="按租金收入计税",ROUND(J6*M19/(1+'数据-取费表'!C42),0),ROUND(C29*M19*0.7,0))</f>
        <v>0</v>
      </c>
      <c r="K19" s="1370" t="s">
        <v>3335</v>
      </c>
      <c r="L19" s="302" t="s">
        <v>708</v>
      </c>
      <c r="M19" s="322">
        <f>IF(K19="按租金收入计税",'数据-取费表'!B51,'数据-取费表'!B50)</f>
        <v>0.12</v>
      </c>
    </row>
    <row r="20" spans="1:37" s="1397" customFormat="1" ht="18" customHeight="1">
      <c r="A20" s="982" t="s">
        <v>402</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402</v>
      </c>
      <c r="I22" s="302" t="s">
        <v>734</v>
      </c>
      <c r="J22" s="21">
        <f ca="1">ROUND(J14*M22,0)</f>
        <v>0</v>
      </c>
      <c r="K22" s="1344" t="s">
        <v>735</v>
      </c>
      <c r="L22" s="302" t="s">
        <v>708</v>
      </c>
      <c r="M22" s="328">
        <f ca="1">INDIRECT("'数据-取费表'!Ak"&amp;$G$1)</f>
        <v>0</v>
      </c>
    </row>
    <row r="23" spans="1:37" s="1397" customFormat="1" ht="18" customHeight="1">
      <c r="A23" s="982"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437</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394</v>
      </c>
      <c r="I25" s="1094" t="s">
        <v>748</v>
      </c>
      <c r="J25" s="310">
        <f ca="1">J5-J16</f>
        <v>0</v>
      </c>
      <c r="K25" s="1095" t="s">
        <v>749</v>
      </c>
      <c r="L25" s="1096"/>
      <c r="M25" s="1097"/>
    </row>
    <row r="26" spans="1:37" ht="18" customHeight="1">
      <c r="A26" s="982" t="s">
        <v>397</v>
      </c>
      <c r="B26" s="302" t="s">
        <v>750</v>
      </c>
      <c r="C26" s="21">
        <f ca="1">ROUND((C19+C20)*F26,0)</f>
        <v>0</v>
      </c>
      <c r="D26" s="323" t="s">
        <v>751</v>
      </c>
      <c r="E26" s="313" t="s">
        <v>752</v>
      </c>
      <c r="F26" s="312">
        <f ca="1">INDIRECT("'数据-取费表'!q"&amp;$G$1)</f>
        <v>0</v>
      </c>
      <c r="G26" s="1384"/>
      <c r="H26" s="299" t="s">
        <v>395</v>
      </c>
      <c r="I26" s="300" t="s">
        <v>753</v>
      </c>
      <c r="J26" s="301">
        <f ca="1">IF(J5&lt;&gt;0,ROUND(J25*(1-((1+M28)/(1+M26))^M27)/(M26-M28),0),0)</f>
        <v>0</v>
      </c>
      <c r="K26" s="324" t="s">
        <v>754</v>
      </c>
      <c r="L26" s="302" t="s">
        <v>755</v>
      </c>
      <c r="M26" s="312">
        <f ca="1">INDIRECT("'数据-取费表'!I"&amp;$G$1)</f>
        <v>0</v>
      </c>
    </row>
    <row r="27" spans="1:37" ht="18" customHeight="1">
      <c r="A27" s="982" t="s">
        <v>399</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0</v>
      </c>
      <c r="D29" s="1092"/>
      <c r="E29" s="1090"/>
      <c r="F29" s="1093"/>
      <c r="G29" s="1396"/>
      <c r="H29" s="334" t="s">
        <v>396</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0</v>
      </c>
      <c r="D30" s="1087" t="s">
        <v>711</v>
      </c>
      <c r="E30" s="1088"/>
      <c r="F30" s="1072"/>
      <c r="G30" s="1384"/>
      <c r="H30" s="2697"/>
      <c r="I30" s="1398"/>
      <c r="J30" s="1399"/>
      <c r="K30" s="2475"/>
      <c r="L30" s="2698"/>
      <c r="M30" s="2699"/>
    </row>
    <row r="31" spans="1:37" ht="18" customHeight="1">
      <c r="A31" s="982" t="s">
        <v>398</v>
      </c>
      <c r="B31" s="302" t="s">
        <v>715</v>
      </c>
      <c r="C31" s="2316">
        <f ca="1">ROUND(IF(AND(项目基本情况!B11="自然人",项目基本情况!B10="北京市"),C6*F31/(1+'数据-取费表'!C42),C32+C33+C34),0)</f>
        <v>0</v>
      </c>
      <c r="D31" s="1345" t="s">
        <v>716</v>
      </c>
      <c r="E31" s="1344" t="s">
        <v>766</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719</v>
      </c>
      <c r="C32" s="21">
        <f ca="1">IF(项目基本情况!B11="自然人","——",ROUND(C6*F32/(1+'数据-取费表'!C42),0))</f>
        <v>0</v>
      </c>
      <c r="D32" s="1344" t="s">
        <v>720</v>
      </c>
      <c r="E32" s="302" t="s">
        <v>708</v>
      </c>
      <c r="F32" s="331">
        <f>'数据-取费表'!B41</f>
        <v>5.5000000000000007E-2</v>
      </c>
      <c r="G32" s="1384"/>
      <c r="H32" s="2697"/>
      <c r="I32" s="1398"/>
      <c r="J32" s="1399"/>
      <c r="K32" s="2475"/>
      <c r="L32" s="2698"/>
      <c r="M32" s="2699"/>
    </row>
    <row r="33" spans="1:18" ht="18" customHeight="1">
      <c r="A33" s="982" t="s">
        <v>399</v>
      </c>
      <c r="B33" s="302" t="s">
        <v>723</v>
      </c>
      <c r="C33" s="21">
        <f ca="1">IF(项目基本情况!B11="自然人","——",IF(D33="按租金收入计税",ROUND(C6*F33/(1+'数据-取费表'!C42),0),IF(D33="按房产原值计税",ROUND(C29*F33*0.7,0),INDIRECT("'数据-取费表'!Aj"&amp;$G$1))))</f>
        <v>0</v>
      </c>
      <c r="D33" s="1370" t="s">
        <v>3335</v>
      </c>
      <c r="E33" s="302" t="s">
        <v>708</v>
      </c>
      <c r="F33" s="322">
        <f>IF(D33="按票据","——",IF(D33="按租金收入计税",'数据-取费表'!B51,'数据-取费表'!B50))</f>
        <v>0.12</v>
      </c>
      <c r="G33" s="1384"/>
      <c r="H33" s="2700"/>
      <c r="I33" s="1398"/>
      <c r="J33" s="1399"/>
      <c r="K33" s="2701"/>
      <c r="L33" s="2700"/>
      <c r="M33" s="2700"/>
    </row>
    <row r="34" spans="1:18" ht="18" customHeight="1">
      <c r="A34" s="1069" t="s">
        <v>676</v>
      </c>
      <c r="B34" s="155" t="s">
        <v>726</v>
      </c>
      <c r="C34" s="22">
        <f ca="1">IF(项目基本情况!B11="自然人","——",ROUND(F34*F35,0))</f>
        <v>0</v>
      </c>
      <c r="D34" s="324" t="s">
        <v>727</v>
      </c>
      <c r="E34" s="302" t="s">
        <v>728</v>
      </c>
      <c r="F34" s="325">
        <f>'数据-取费表'!B52</f>
        <v>1.5</v>
      </c>
      <c r="G34" s="1384"/>
      <c r="H34" s="2697"/>
      <c r="I34" s="1398"/>
      <c r="J34" s="1399"/>
      <c r="K34" s="2702"/>
      <c r="L34" s="2703"/>
      <c r="M34" s="2703"/>
    </row>
    <row r="35" spans="1:18" ht="18" customHeight="1">
      <c r="A35" s="1103"/>
      <c r="B35" s="1101"/>
      <c r="C35" s="26"/>
      <c r="D35" s="327"/>
      <c r="E35" s="302" t="s">
        <v>732</v>
      </c>
      <c r="F35" s="303">
        <f ca="1">INDIRECT("'数据-取费表'!r"&amp;$G$1)</f>
        <v>0</v>
      </c>
      <c r="G35" s="1384"/>
      <c r="H35" s="2697"/>
      <c r="I35" s="1398"/>
      <c r="J35" s="1399"/>
      <c r="K35" s="2701"/>
      <c r="L35" s="2700"/>
      <c r="M35" s="2700"/>
    </row>
    <row r="36" spans="1:18" ht="18" customHeight="1">
      <c r="A36" s="1102" t="s">
        <v>402</v>
      </c>
      <c r="B36" s="302" t="s">
        <v>734</v>
      </c>
      <c r="C36" s="21">
        <f ca="1">ROUND(C29*F36,0)</f>
        <v>0</v>
      </c>
      <c r="D36" s="1344" t="s">
        <v>767</v>
      </c>
      <c r="E36" s="302" t="s">
        <v>708</v>
      </c>
      <c r="F36" s="328">
        <f ca="1">INDIRECT("'数据-取费表'!Ak"&amp;$G$1)</f>
        <v>0</v>
      </c>
      <c r="G36" s="1384"/>
      <c r="H36" s="2700"/>
      <c r="I36" s="1398"/>
      <c r="J36" s="1399"/>
      <c r="K36" s="2544"/>
      <c r="L36" s="2700"/>
      <c r="M36" s="2700"/>
    </row>
    <row r="37" spans="1:18" ht="18" customHeight="1">
      <c r="A37" s="982" t="s">
        <v>437</v>
      </c>
      <c r="B37" s="302" t="s">
        <v>738</v>
      </c>
      <c r="C37" s="21">
        <f ca="1">ROUND(C13*F37,0)</f>
        <v>0</v>
      </c>
      <c r="D37" s="1344" t="s">
        <v>739</v>
      </c>
      <c r="E37" s="302" t="s">
        <v>740</v>
      </c>
      <c r="F37" s="330">
        <f ca="1">INDIRECT("'数据-取费表'!Al"&amp;$G$1)</f>
        <v>0</v>
      </c>
      <c r="G37" s="1384"/>
      <c r="H37" s="2700"/>
      <c r="I37" s="1398"/>
      <c r="J37" s="1399"/>
      <c r="K37" s="2544"/>
      <c r="L37" s="2700"/>
      <c r="M37" s="2700"/>
    </row>
    <row r="38" spans="1:18" ht="18" customHeight="1" thickBot="1">
      <c r="A38" s="1089" t="s">
        <v>680</v>
      </c>
      <c r="B38" s="1090" t="s">
        <v>724</v>
      </c>
      <c r="C38" s="1091">
        <f ca="1">ROUND(C5*F38,0)</f>
        <v>0</v>
      </c>
      <c r="D38" s="1092" t="s">
        <v>744</v>
      </c>
      <c r="E38" s="1090" t="s">
        <v>740</v>
      </c>
      <c r="F38" s="1086">
        <f ca="1">INDIRECT("'数据-取费表'!Am"&amp;$G$1)</f>
        <v>0</v>
      </c>
      <c r="G38" s="1384"/>
      <c r="H38" s="2700"/>
      <c r="I38" s="1398"/>
      <c r="J38" s="1399"/>
      <c r="K38" s="2704"/>
      <c r="L38" s="2700"/>
      <c r="M38" s="2700"/>
    </row>
    <row r="39" spans="1:18" ht="24.6" customHeight="1" thickTop="1">
      <c r="A39" s="1079" t="s">
        <v>394</v>
      </c>
      <c r="B39" s="1094" t="s">
        <v>768</v>
      </c>
      <c r="C39" s="310">
        <f ca="1">C5-C30</f>
        <v>0</v>
      </c>
      <c r="D39" s="1095" t="s">
        <v>769</v>
      </c>
      <c r="E39" s="1096"/>
      <c r="F39" s="1097"/>
      <c r="G39" s="1384"/>
      <c r="H39" s="2700"/>
      <c r="I39" s="1398"/>
      <c r="J39" s="1399"/>
      <c r="K39" s="2704"/>
      <c r="L39" s="2700"/>
      <c r="M39" s="2700"/>
    </row>
    <row r="40" spans="1:18" ht="18" customHeight="1">
      <c r="A40" s="299" t="s">
        <v>395</v>
      </c>
      <c r="B40" s="300" t="s">
        <v>770</v>
      </c>
      <c r="C40" s="301" t="e">
        <f ca="1">ROUND(C39*(1-((1+F42)/(1+F40))^F41)/(F40-F42),0)</f>
        <v>#DIV/0!</v>
      </c>
      <c r="D40" s="324" t="s">
        <v>754</v>
      </c>
      <c r="E40" s="302" t="s">
        <v>755</v>
      </c>
      <c r="F40" s="312">
        <f ca="1">INDIRECT("'数据-取费表'!I"&amp;$G$1)</f>
        <v>0</v>
      </c>
      <c r="G40" s="1384"/>
      <c r="H40" s="1461"/>
      <c r="I40" s="1398"/>
      <c r="J40" s="1399"/>
      <c r="K40" s="2704"/>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762</v>
      </c>
      <c r="F42" s="312">
        <f ca="1">INDIRECT("'数据-取费表'!v"&amp;$G$1)</f>
        <v>0</v>
      </c>
      <c r="G42" s="1384"/>
      <c r="H42" s="1191"/>
      <c r="I42" s="1398"/>
      <c r="J42" s="1399"/>
      <c r="K42" s="2544"/>
      <c r="L42" s="1191"/>
      <c r="M42" s="1191"/>
    </row>
    <row r="43" spans="1:18" ht="18" customHeight="1" thickBot="1">
      <c r="A43" s="334" t="s">
        <v>396</v>
      </c>
      <c r="B43" s="335" t="s">
        <v>772</v>
      </c>
      <c r="C43" s="336" t="e">
        <f ca="1">ROUND(C40/F43,0)</f>
        <v>#DIV/0!</v>
      </c>
      <c r="D43" s="337" t="s">
        <v>773</v>
      </c>
      <c r="E43" s="338" t="s">
        <v>774</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403</v>
      </c>
      <c r="P47" s="1419" t="s">
        <v>813</v>
      </c>
      <c r="Q47" s="1420" t="e">
        <f ca="1">C40+J29</f>
        <v>#DIV/0!</v>
      </c>
      <c r="R47" s="1420" t="s">
        <v>814</v>
      </c>
    </row>
    <row r="48" spans="1:18" s="1384" customFormat="1" ht="28.5" thickBot="1">
      <c r="A48" s="1110" t="s">
        <v>438</v>
      </c>
      <c r="B48" s="300" t="s">
        <v>688</v>
      </c>
      <c r="C48" s="1359">
        <f ca="1">C49+C53+C55</f>
        <v>0</v>
      </c>
      <c r="D48" s="1112"/>
      <c r="E48" s="1113"/>
      <c r="F48" s="962"/>
      <c r="G48" s="722"/>
      <c r="H48" s="723"/>
      <c r="I48" s="1421" t="s">
        <v>815</v>
      </c>
      <c r="J48" s="1422"/>
      <c r="K48" s="1423" t="s">
        <v>816</v>
      </c>
      <c r="L48" s="1424">
        <f ca="1">INDIRECT("'数据-取费表'!f"&amp;$G$1)</f>
        <v>0</v>
      </c>
      <c r="O48" s="1418" t="s">
        <v>404</v>
      </c>
      <c r="P48" s="1419" t="s">
        <v>817</v>
      </c>
      <c r="Q48" s="1420" t="e">
        <f ca="1">J60</f>
        <v>#DIV/0!</v>
      </c>
      <c r="R48" s="1420" t="s">
        <v>818</v>
      </c>
    </row>
    <row r="49" spans="1:18" s="1384" customFormat="1" ht="13.5" thickBot="1">
      <c r="A49" s="975" t="s">
        <v>439</v>
      </c>
      <c r="B49" s="1371" t="s">
        <v>775</v>
      </c>
      <c r="C49" s="1114">
        <f ca="1">ROUND(F49*F51*F50*(1-F52),0)</f>
        <v>0</v>
      </c>
      <c r="D49" s="1055" t="s">
        <v>691</v>
      </c>
      <c r="E49" s="1372" t="s">
        <v>776</v>
      </c>
      <c r="F49" s="1060"/>
      <c r="G49" s="1425"/>
      <c r="H49" s="723"/>
      <c r="I49" s="1421" t="s">
        <v>819</v>
      </c>
      <c r="J49" s="1426"/>
      <c r="K49" s="1423" t="s">
        <v>820</v>
      </c>
      <c r="L49" s="1427"/>
      <c r="O49" s="1428" t="s">
        <v>405</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406</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407</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408</v>
      </c>
      <c r="P52" s="1419" t="s">
        <v>830</v>
      </c>
      <c r="Q52" s="1420">
        <f ca="1">J53</f>
        <v>0</v>
      </c>
      <c r="R52" s="1420" t="s">
        <v>831</v>
      </c>
    </row>
    <row r="53" spans="1:18" s="1384" customFormat="1" ht="30.75" customHeight="1" thickBot="1">
      <c r="A53" s="1111" t="s">
        <v>440</v>
      </c>
      <c r="B53" s="323" t="s">
        <v>696</v>
      </c>
      <c r="C53" s="316">
        <f ca="1">ROUND(IF(F53="押一",C49/12*F11,IF(F53="押二",C49/12*2*F11,IF(F53="押三",C49/12*3*F11,C54*F11))),0)</f>
        <v>0</v>
      </c>
      <c r="D53" s="1366" t="s">
        <v>2115</v>
      </c>
      <c r="E53" s="313" t="s">
        <v>697</v>
      </c>
      <c r="F53" s="1116"/>
      <c r="I53" s="1439" t="s">
        <v>832</v>
      </c>
      <c r="J53" s="2168">
        <f ca="1">IF(M47="住宅",IF(D1="——",MAX(J51,L48),MAX(J51,L48-'数据-取费表'!B24)),IF(D1="——",MIN(J51,L48),MIN(J51,L48-'数据-取费表'!B24)))</f>
        <v>0</v>
      </c>
      <c r="K53" s="3637" t="s">
        <v>833</v>
      </c>
      <c r="L53" s="3638"/>
      <c r="O53" s="1418" t="s">
        <v>409</v>
      </c>
      <c r="P53" s="1419" t="s">
        <v>834</v>
      </c>
      <c r="Q53" s="1420" t="e">
        <f ca="1">Q47+Q48</f>
        <v>#DIV/0!</v>
      </c>
      <c r="R53" s="1420" t="s">
        <v>410</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403</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404</v>
      </c>
      <c r="P57" s="1419" t="s">
        <v>889</v>
      </c>
      <c r="Q57" s="1420" t="e">
        <f ca="1">L60</f>
        <v>#DIV/0!</v>
      </c>
      <c r="R57" s="1420" t="s">
        <v>890</v>
      </c>
    </row>
    <row r="58" spans="1:18" s="1384" customFormat="1" ht="24.75" thickBot="1">
      <c r="A58" s="315" t="s">
        <v>393</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6">
        <f ca="1">ROUND(IF(AND(项目基本情况!B11="自然人",项目基本情况!B10="北京市"),C49*F59/(1+'数据-取费表'!C42),C60+C61+C62),0)</f>
        <v>0</v>
      </c>
      <c r="D59" s="963" t="s">
        <v>716</v>
      </c>
      <c r="E59" s="964" t="s">
        <v>717</v>
      </c>
      <c r="F59" s="2315"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IF(项目基本情况!B11="自然人","——",ROUND(C48*F60/(1+'数据-取费表'!C42),0))</f>
        <v>0</v>
      </c>
      <c r="D60" s="964" t="s">
        <v>720</v>
      </c>
      <c r="E60" s="950" t="s">
        <v>708</v>
      </c>
      <c r="F60" s="331">
        <f t="shared" ref="F60:F66" si="0">F32</f>
        <v>5.5000000000000007E-2</v>
      </c>
      <c r="I60" s="1458" t="s">
        <v>849</v>
      </c>
      <c r="J60" s="1459" t="e">
        <f ca="1">IF(OR(M47="住宅",J51&lt;L48,J56="是"),"0",ROUND(J59/(1+J52)^J53,0))</f>
        <v>#DIV/0!</v>
      </c>
      <c r="K60" s="1460" t="s">
        <v>850</v>
      </c>
      <c r="L60" s="1459" t="e">
        <f ca="1">IF(OR(M47="住宅",L48&lt;J51),0,ROUND(L57*(L58/L59-1),0))</f>
        <v>#DIV/0!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3335</v>
      </c>
      <c r="E61" s="950" t="s">
        <v>779</v>
      </c>
      <c r="F61" s="322">
        <f t="shared" si="0"/>
        <v>0.12</v>
      </c>
      <c r="I61" s="1461"/>
      <c r="J61" s="1461"/>
      <c r="K61" s="1461"/>
      <c r="L61" s="1461"/>
      <c r="O61" s="1428" t="s">
        <v>408</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1.5</v>
      </c>
      <c r="I62" s="1462" t="s">
        <v>854</v>
      </c>
      <c r="J62" s="1463" t="s">
        <v>855</v>
      </c>
      <c r="K62" s="1463" t="s">
        <v>856</v>
      </c>
      <c r="L62" s="1463" t="s">
        <v>857</v>
      </c>
      <c r="M62" s="1464" t="s">
        <v>858</v>
      </c>
      <c r="O62" s="1418" t="s">
        <v>409</v>
      </c>
      <c r="P62" s="1419" t="s">
        <v>859</v>
      </c>
      <c r="Q62" s="1420" t="e">
        <f ca="1">Q56+Q57</f>
        <v>#DIV/0!</v>
      </c>
      <c r="R62" s="1420" t="s">
        <v>410</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403</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404</v>
      </c>
      <c r="P66" s="1419" t="s">
        <v>842</v>
      </c>
      <c r="Q66" s="1420" t="e">
        <f ca="1">L60</f>
        <v>#DIV/0!</v>
      </c>
      <c r="R66" s="1420" t="s">
        <v>865</v>
      </c>
    </row>
    <row r="67" spans="1:18" s="1384" customFormat="1" ht="16.5" thickBot="1">
      <c r="A67" s="957" t="s">
        <v>394</v>
      </c>
      <c r="B67" s="967" t="s">
        <v>748</v>
      </c>
      <c r="C67" s="316">
        <f ca="1">C48-C58</f>
        <v>0</v>
      </c>
      <c r="D67" s="963" t="s">
        <v>749</v>
      </c>
      <c r="E67" s="968"/>
      <c r="F67" s="969"/>
      <c r="O67" s="1428" t="s">
        <v>405</v>
      </c>
      <c r="P67" s="1419" t="s">
        <v>846</v>
      </c>
      <c r="Q67" s="1466">
        <f ca="1">L51</f>
        <v>0</v>
      </c>
      <c r="R67" s="1420" t="s">
        <v>866</v>
      </c>
    </row>
    <row r="68" spans="1:18" s="1384" customFormat="1" ht="16.5" thickBot="1">
      <c r="A68" s="947" t="s">
        <v>395</v>
      </c>
      <c r="B68" s="948" t="s">
        <v>770</v>
      </c>
      <c r="C68" s="301" t="e">
        <f ca="1">ROUND(C67*(1-((1+F70)/(1+F68))^F69)/(F68-F70),0)</f>
        <v>#DIV/0!</v>
      </c>
      <c r="D68" s="965" t="s">
        <v>754</v>
      </c>
      <c r="E68" s="950" t="s">
        <v>755</v>
      </c>
      <c r="F68" s="312">
        <f ca="1">F40</f>
        <v>0</v>
      </c>
      <c r="O68" s="1428" t="s">
        <v>406</v>
      </c>
      <c r="P68" s="1467" t="s">
        <v>867</v>
      </c>
      <c r="Q68" s="1420">
        <f ca="1">ROUND(Q69-Q70*Q71,0)</f>
        <v>0</v>
      </c>
      <c r="R68" s="1420" t="s">
        <v>414</v>
      </c>
    </row>
    <row r="69" spans="1:18" s="1384" customFormat="1" ht="13.5" thickBot="1">
      <c r="A69" s="951"/>
      <c r="B69" s="952"/>
      <c r="C69" s="306"/>
      <c r="D69" s="970" t="s">
        <v>758</v>
      </c>
      <c r="E69" s="950" t="s">
        <v>759</v>
      </c>
      <c r="F69" s="333">
        <f ca="1">F41</f>
        <v>0</v>
      </c>
      <c r="O69" s="1428" t="s">
        <v>411</v>
      </c>
      <c r="P69" s="1467" t="s">
        <v>868</v>
      </c>
      <c r="Q69" s="1420">
        <f ca="1">C39</f>
        <v>0</v>
      </c>
      <c r="R69" s="1420" t="s">
        <v>814</v>
      </c>
    </row>
    <row r="70" spans="1:18" s="1384" customFormat="1" ht="13.5" thickBot="1">
      <c r="A70" s="954"/>
      <c r="B70" s="955"/>
      <c r="C70" s="310"/>
      <c r="D70" s="966"/>
      <c r="E70" s="950" t="s">
        <v>762</v>
      </c>
      <c r="F70" s="1054"/>
      <c r="O70" s="1428" t="s">
        <v>412</v>
      </c>
      <c r="P70" s="1467" t="s">
        <v>869</v>
      </c>
      <c r="Q70" s="1420">
        <f ca="1">C13</f>
        <v>0</v>
      </c>
      <c r="R70" s="1420" t="s">
        <v>814</v>
      </c>
    </row>
    <row r="71" spans="1:18" s="1384" customFormat="1" ht="13.5" thickBot="1">
      <c r="A71" s="971" t="s">
        <v>396</v>
      </c>
      <c r="B71" s="972" t="s">
        <v>772</v>
      </c>
      <c r="C71" s="336" t="e">
        <f ca="1">ROUND(C68/F71,0)</f>
        <v>#DIV/0!</v>
      </c>
      <c r="D71" s="973" t="s">
        <v>773</v>
      </c>
      <c r="E71" s="974" t="s">
        <v>774</v>
      </c>
      <c r="F71" s="339">
        <f ca="1">F43</f>
        <v>0</v>
      </c>
      <c r="O71" s="1428" t="s">
        <v>413</v>
      </c>
      <c r="P71" s="1467" t="s">
        <v>870</v>
      </c>
      <c r="Q71" s="1431">
        <f ca="1">C76</f>
        <v>0</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409</v>
      </c>
      <c r="P75" s="1419" t="s">
        <v>834</v>
      </c>
      <c r="Q75" s="1420" t="e">
        <f ca="1">Q65+Q66</f>
        <v>#DIV/0!</v>
      </c>
      <c r="R75" s="1420" t="s">
        <v>410</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48" t="s">
        <v>2317</v>
      </c>
      <c r="K2" s="3649"/>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0" t="s">
        <v>2327</v>
      </c>
      <c r="K3" s="3651"/>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0" t="s">
        <v>2329</v>
      </c>
      <c r="K4" s="3651"/>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6" t="s">
        <v>2333</v>
      </c>
      <c r="B6" s="3657"/>
      <c r="C6" s="3658"/>
      <c r="D6" s="2870"/>
      <c r="E6" s="2871"/>
      <c r="F6" s="2872"/>
      <c r="G6" s="2873"/>
      <c r="H6" s="2848"/>
      <c r="I6" s="2849"/>
      <c r="J6" s="3642">
        <v>1</v>
      </c>
      <c r="K6" s="364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42"/>
      <c r="K7" s="3644"/>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59" t="s">
        <v>2347</v>
      </c>
      <c r="C8" s="3660"/>
      <c r="D8" s="2889" t="s">
        <v>2348</v>
      </c>
      <c r="E8" s="2890" t="s">
        <v>2349</v>
      </c>
      <c r="F8" s="2891" t="s">
        <v>2350</v>
      </c>
      <c r="G8" s="2892"/>
      <c r="H8" s="2848"/>
      <c r="I8" s="2849"/>
      <c r="J8" s="3642"/>
      <c r="K8" s="3644"/>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59" t="s">
        <v>2353</v>
      </c>
      <c r="C9" s="3660"/>
      <c r="D9" s="2889">
        <f>ROUND(D6*E9,0)</f>
        <v>0</v>
      </c>
      <c r="E9" s="2893"/>
      <c r="F9" s="2894" t="s">
        <v>2354</v>
      </c>
      <c r="G9" s="2873"/>
      <c r="H9" s="2848"/>
      <c r="I9" s="2849"/>
      <c r="J9" s="3642"/>
      <c r="K9" s="3644"/>
      <c r="L9" s="2883" t="s">
        <v>2355</v>
      </c>
      <c r="M9" s="2884"/>
      <c r="N9" s="2860"/>
      <c r="O9" s="2885"/>
      <c r="P9" s="2885"/>
      <c r="Q9" s="2886">
        <v>365</v>
      </c>
      <c r="R9" s="2887">
        <f t="shared" si="0"/>
        <v>0</v>
      </c>
      <c r="S9" s="2841"/>
      <c r="T9" s="2841"/>
      <c r="U9" s="2841"/>
      <c r="V9" s="2849"/>
    </row>
    <row r="10" spans="1:22" s="2853" customFormat="1" ht="13.15" customHeight="1">
      <c r="A10" s="2888">
        <v>2</v>
      </c>
      <c r="B10" s="3659" t="s">
        <v>2356</v>
      </c>
      <c r="C10" s="3660"/>
      <c r="D10" s="2889">
        <f>ROUND(D6*E10,0)</f>
        <v>0</v>
      </c>
      <c r="E10" s="2893"/>
      <c r="F10" s="2894" t="s">
        <v>2357</v>
      </c>
      <c r="G10" s="2873"/>
      <c r="H10" s="2848"/>
      <c r="I10" s="2849"/>
      <c r="J10" s="3642"/>
      <c r="K10" s="3644"/>
      <c r="L10" s="2883" t="s">
        <v>2358</v>
      </c>
      <c r="M10" s="2884"/>
      <c r="N10" s="2860"/>
      <c r="O10" s="2885"/>
      <c r="P10" s="2885"/>
      <c r="Q10" s="2886">
        <v>365</v>
      </c>
      <c r="R10" s="2887">
        <f t="shared" si="0"/>
        <v>0</v>
      </c>
      <c r="S10" s="2841"/>
      <c r="T10" s="2841"/>
      <c r="U10" s="2841"/>
      <c r="V10" s="2849"/>
    </row>
    <row r="11" spans="1:22" s="2853" customFormat="1" ht="13.15" customHeight="1">
      <c r="A11" s="2888">
        <v>3</v>
      </c>
      <c r="B11" s="3659" t="s">
        <v>2359</v>
      </c>
      <c r="C11" s="3660"/>
      <c r="D11" s="2889">
        <f>D12+D14+D15+D16</f>
        <v>0</v>
      </c>
      <c r="E11" s="2895" t="e">
        <f>D11/D6</f>
        <v>#DIV/0!</v>
      </c>
      <c r="F11" s="2891"/>
      <c r="G11" s="2892"/>
      <c r="H11" s="2848"/>
      <c r="I11" s="2849"/>
      <c r="J11" s="3642"/>
      <c r="K11" s="3644"/>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52" t="s">
        <v>2362</v>
      </c>
      <c r="C12" s="3653"/>
      <c r="D12" s="2897">
        <f>ROUND(D13*1.2%*(1-30%),0)</f>
        <v>0</v>
      </c>
      <c r="E12" s="2898">
        <v>1.2E-2</v>
      </c>
      <c r="F12" s="2891" t="s">
        <v>2363</v>
      </c>
      <c r="G12" s="2892"/>
      <c r="H12" s="2848"/>
      <c r="I12" s="2849"/>
      <c r="J12" s="3642"/>
      <c r="K12" s="3644"/>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42"/>
      <c r="K13" s="3644"/>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52" t="s">
        <v>2368</v>
      </c>
      <c r="C14" s="3653"/>
      <c r="D14" s="2897">
        <f>ROUND(E14*B5/10000,0)</f>
        <v>0</v>
      </c>
      <c r="E14" s="2886"/>
      <c r="F14" s="2891" t="s">
        <v>2369</v>
      </c>
      <c r="G14" s="2892"/>
      <c r="H14" s="2848"/>
      <c r="I14" s="2849"/>
      <c r="J14" s="3642"/>
      <c r="K14" s="364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52" t="s">
        <v>2372</v>
      </c>
      <c r="C15" s="3653"/>
      <c r="D15" s="2897">
        <f>ROUND(D6*E15,0)</f>
        <v>0</v>
      </c>
      <c r="E15" s="2898">
        <v>5.5E-2</v>
      </c>
      <c r="F15" s="2891" t="s">
        <v>2373</v>
      </c>
      <c r="G15" s="2873"/>
      <c r="H15" s="2848"/>
      <c r="I15" s="2849"/>
      <c r="J15" s="3642">
        <v>2</v>
      </c>
      <c r="K15" s="364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52" t="s">
        <v>2381</v>
      </c>
      <c r="C16" s="3653"/>
      <c r="D16" s="2908">
        <f>D6*E16</f>
        <v>0</v>
      </c>
      <c r="E16" s="2909"/>
      <c r="F16" s="2894" t="s">
        <v>2382</v>
      </c>
      <c r="G16" s="2873"/>
      <c r="H16" s="2848"/>
      <c r="I16" s="2849"/>
      <c r="J16" s="3642"/>
      <c r="K16" s="3644"/>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2384</v>
      </c>
      <c r="C17" s="3655"/>
      <c r="D17" s="2911">
        <f>ROUND(D6*E17,0)</f>
        <v>0</v>
      </c>
      <c r="E17" s="2912"/>
      <c r="F17" s="2913" t="s">
        <v>2385</v>
      </c>
      <c r="G17" s="2873"/>
      <c r="H17" s="2848"/>
      <c r="I17" s="2849"/>
      <c r="J17" s="3642"/>
      <c r="K17" s="3644"/>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42"/>
      <c r="K18" s="3644"/>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42"/>
      <c r="K19" s="364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42"/>
      <c r="K21" s="3644"/>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42"/>
      <c r="K22" s="3644"/>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42"/>
      <c r="K23" s="3644"/>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42"/>
      <c r="K24" s="364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4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48" t="s">
        <v>2317</v>
      </c>
      <c r="K32" s="3649"/>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0" t="s">
        <v>2327</v>
      </c>
      <c r="K33" s="3651"/>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0" t="s">
        <v>2329</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42">
        <v>1</v>
      </c>
      <c r="K36" s="3643"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42"/>
      <c r="K40" s="3645"/>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7"/>
      <c r="G1" s="1489"/>
      <c r="H1" s="1489"/>
      <c r="I1" s="1489"/>
      <c r="J1" s="1489"/>
      <c r="K1" s="1489"/>
      <c r="L1" s="1489"/>
      <c r="M1" s="1489"/>
      <c r="N1" s="1489"/>
      <c r="O1" s="1489"/>
      <c r="P1" s="1489"/>
      <c r="Q1" s="1489"/>
      <c r="R1" s="1489"/>
      <c r="S1" s="1489"/>
    </row>
    <row r="2" spans="1:22" ht="15.75">
      <c r="A2" s="1870" t="s">
        <v>1458</v>
      </c>
      <c r="B2" s="1871">
        <f ca="1">SUMIF(B6:B13,"&lt;&gt;#ref!",B6:B13)</f>
        <v>37948</v>
      </c>
      <c r="C2" s="1872" t="s">
        <v>1647</v>
      </c>
      <c r="D2" s="1873" t="s">
        <v>1648</v>
      </c>
      <c r="E2" s="2607">
        <f>SUM(E6:E13)</f>
        <v>104671.29</v>
      </c>
      <c r="F2" s="2707"/>
      <c r="G2" s="1489"/>
      <c r="H2" s="1489"/>
      <c r="I2" s="1489"/>
      <c r="J2" s="1489"/>
      <c r="K2" s="1489"/>
      <c r="L2" s="1489"/>
      <c r="M2" s="1489"/>
      <c r="N2" s="1489"/>
      <c r="O2" s="1489"/>
      <c r="P2" s="1489"/>
      <c r="Q2" s="1489"/>
      <c r="R2" s="1489"/>
      <c r="S2" s="1489"/>
    </row>
    <row r="3" spans="1:22" ht="15.75">
      <c r="A3" s="1870" t="s">
        <v>682</v>
      </c>
      <c r="B3" s="2601">
        <f ca="1">ROUND(B2*10000/E2,0)</f>
        <v>3625</v>
      </c>
      <c r="C3" s="1872" t="s">
        <v>1655</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1649</v>
      </c>
      <c r="B5" s="3661" t="s">
        <v>1650</v>
      </c>
      <c r="C5" s="3662"/>
      <c r="D5" s="2708"/>
      <c r="E5" s="1874" t="s">
        <v>1651</v>
      </c>
      <c r="F5" s="1875" t="s">
        <v>1652</v>
      </c>
      <c r="G5" s="1489"/>
      <c r="H5" s="1489"/>
      <c r="I5" s="1489"/>
      <c r="J5" s="1489"/>
      <c r="K5" s="1489"/>
      <c r="L5" s="1489"/>
      <c r="M5" s="1489"/>
      <c r="N5" s="1489"/>
      <c r="O5" s="1489"/>
      <c r="P5" s="1489"/>
      <c r="Q5" s="1489"/>
      <c r="R5" s="1489"/>
      <c r="S5" s="1489"/>
    </row>
    <row r="6" spans="1:22">
      <c r="A6" s="2604" t="str">
        <f>'数据-取费表'!AN6</f>
        <v>收益法</v>
      </c>
      <c r="B6" s="2602">
        <f ca="1">IF(F6="是",'数据-取费表'!AO6,0)</f>
        <v>37948</v>
      </c>
      <c r="C6" s="1872" t="s">
        <v>1647</v>
      </c>
      <c r="D6" s="2709"/>
      <c r="E6" s="2606">
        <f>IF(OR(A6=0,F6="否"),0,'数据-取费表'!K6+'数据-取费表'!S6)</f>
        <v>104671.29</v>
      </c>
      <c r="F6" s="1876" t="s">
        <v>1653</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1647</v>
      </c>
      <c r="D7" s="2709"/>
      <c r="E7" s="2606">
        <f>IF(OR(A7=0,F7="否"),0,'数据-取费表'!K7+'数据-取费表'!S7)</f>
        <v>0</v>
      </c>
      <c r="F7" s="1876" t="s">
        <v>1653</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1647</v>
      </c>
      <c r="D8" s="2709"/>
      <c r="E8" s="2606">
        <f>IF(OR(A8=0,F8="否"),0,'数据-取费表'!K8+'数据-取费表'!S8)</f>
        <v>0</v>
      </c>
      <c r="F8" s="1876" t="s">
        <v>1653</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1647</v>
      </c>
      <c r="D9" s="2709"/>
      <c r="E9" s="2606">
        <f>IF(OR(A9=0,F9="否"),0,'数据-取费表'!K9+'数据-取费表'!S9)</f>
        <v>0</v>
      </c>
      <c r="F9" s="1876" t="s">
        <v>1653</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1647</v>
      </c>
      <c r="D10" s="2709"/>
      <c r="E10" s="2606">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1647</v>
      </c>
      <c r="D11" s="2709"/>
      <c r="E11" s="2606">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1647</v>
      </c>
      <c r="D12" s="2709"/>
      <c r="E12" s="2606">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1647</v>
      </c>
      <c r="D13" s="2710"/>
      <c r="E13" s="2606">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c r="E1" s="3426"/>
      <c r="F1" s="1879"/>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1660</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0</v>
      </c>
      <c r="C3" s="354" t="s">
        <v>1661</v>
      </c>
      <c r="D3" s="353">
        <f>IF(D1="",'数据-汇总表'!E3,SUMIF('数据-汇总表'!$C19:$C33,D1,'数据-汇总表'!$E19:$E33))</f>
        <v>104671.29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1662</v>
      </c>
      <c r="B4" s="356"/>
      <c r="C4" s="3681" t="s">
        <v>1663</v>
      </c>
      <c r="D4" s="3682"/>
      <c r="E4" s="3683" t="s">
        <v>1664</v>
      </c>
      <c r="F4" s="3684"/>
      <c r="G4" s="3681" t="s">
        <v>1665</v>
      </c>
      <c r="H4" s="3682"/>
      <c r="I4" s="3681" t="s">
        <v>1666</v>
      </c>
      <c r="J4" s="3682"/>
      <c r="K4" s="1889" t="s">
        <v>1667</v>
      </c>
      <c r="L4" s="2715"/>
      <c r="M4" s="2716"/>
      <c r="N4" s="2716"/>
      <c r="O4" s="2716"/>
      <c r="P4" s="3685" t="s">
        <v>1668</v>
      </c>
      <c r="Q4" s="3686"/>
      <c r="R4" s="3691" t="s">
        <v>1664</v>
      </c>
      <c r="S4" s="3692"/>
      <c r="T4" s="3691" t="s">
        <v>1665</v>
      </c>
      <c r="U4" s="3692"/>
      <c r="V4" s="3697" t="s">
        <v>1666</v>
      </c>
      <c r="W4" s="3697"/>
      <c r="X4" s="1355"/>
      <c r="Y4" s="3691" t="s">
        <v>1668</v>
      </c>
      <c r="Z4" s="3692"/>
      <c r="AA4" s="3678" t="s">
        <v>1664</v>
      </c>
      <c r="AB4" s="3678" t="s">
        <v>1665</v>
      </c>
      <c r="AC4" s="3678" t="s">
        <v>1666</v>
      </c>
    </row>
    <row r="5" spans="1:29" ht="15">
      <c r="A5" s="358"/>
      <c r="B5" s="359"/>
      <c r="C5" s="3700" t="s">
        <v>1669</v>
      </c>
      <c r="D5" s="3701"/>
      <c r="E5" s="3707" t="s">
        <v>1670</v>
      </c>
      <c r="F5" s="3708"/>
      <c r="G5" s="3700" t="s">
        <v>1671</v>
      </c>
      <c r="H5" s="3701"/>
      <c r="I5" s="3700" t="s">
        <v>1672</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1673</v>
      </c>
      <c r="D6" s="3699"/>
      <c r="E6" s="3705" t="s">
        <v>1673</v>
      </c>
      <c r="F6" s="3706"/>
      <c r="G6" s="3698" t="s">
        <v>1673</v>
      </c>
      <c r="H6" s="3699"/>
      <c r="I6" s="3698" t="s">
        <v>1673</v>
      </c>
      <c r="J6" s="3699"/>
      <c r="K6" s="1890" t="s">
        <v>1674</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1675</v>
      </c>
      <c r="B7" s="363"/>
      <c r="C7" s="364">
        <f>'数据-取费表'!B2</f>
        <v>45421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1676</v>
      </c>
      <c r="Q7" s="3704"/>
      <c r="R7" s="701" t="s">
        <v>20</v>
      </c>
      <c r="S7" s="702">
        <f t="shared" ref="S7:S15" si="0">F7</f>
        <v>0</v>
      </c>
      <c r="T7" s="701" t="s">
        <v>20</v>
      </c>
      <c r="U7" s="702">
        <f t="shared" ref="U7:U15" si="1">H7</f>
        <v>0</v>
      </c>
      <c r="V7" s="701" t="s">
        <v>20</v>
      </c>
      <c r="W7" s="702">
        <f t="shared" ref="W7:W15" si="2">J7</f>
        <v>0</v>
      </c>
      <c r="X7" s="703"/>
      <c r="Y7" s="3702" t="s">
        <v>1676</v>
      </c>
      <c r="Z7" s="3703"/>
      <c r="AA7" s="704" t="e">
        <f>D7/F7</f>
        <v>#DIV/0!</v>
      </c>
      <c r="AB7" s="704" t="e">
        <f>D7/H7</f>
        <v>#DIV/0!</v>
      </c>
      <c r="AC7" s="704" t="e">
        <f>D7/J7</f>
        <v>#DIV/0!</v>
      </c>
    </row>
    <row r="8" spans="1:29" s="108" customFormat="1" ht="15.75" thickBot="1">
      <c r="A8" s="362" t="s">
        <v>1677</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1679</v>
      </c>
      <c r="Q8" s="3703"/>
      <c r="R8" s="701" t="s">
        <v>20</v>
      </c>
      <c r="S8" s="702">
        <f t="shared" si="0"/>
        <v>100</v>
      </c>
      <c r="T8" s="701" t="s">
        <v>20</v>
      </c>
      <c r="U8" s="702">
        <f t="shared" si="1"/>
        <v>100</v>
      </c>
      <c r="V8" s="701" t="s">
        <v>20</v>
      </c>
      <c r="W8" s="702">
        <f t="shared" si="2"/>
        <v>100</v>
      </c>
      <c r="X8" s="703"/>
      <c r="Y8" s="3702" t="s">
        <v>1679</v>
      </c>
      <c r="Z8" s="3703"/>
      <c r="AA8" s="704">
        <f t="shared" ref="AA8:AA19" si="3">D8/F8</f>
        <v>1</v>
      </c>
      <c r="AB8" s="704">
        <f t="shared" ref="AB8:AB19" si="4">D8/H8</f>
        <v>1</v>
      </c>
      <c r="AC8" s="704">
        <f t="shared" ref="AC8:AC19" si="5">D8/J8</f>
        <v>1</v>
      </c>
    </row>
    <row r="9" spans="1:29" s="108" customFormat="1">
      <c r="A9" s="369" t="s">
        <v>1680</v>
      </c>
      <c r="B9" s="63" t="s">
        <v>1681</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1682</v>
      </c>
      <c r="Q9" s="1343" t="str">
        <f t="shared" ref="Q9:Q15" si="6">B9</f>
        <v>用途</v>
      </c>
      <c r="R9" s="701" t="s">
        <v>14</v>
      </c>
      <c r="S9" s="702">
        <f t="shared" si="0"/>
        <v>100</v>
      </c>
      <c r="T9" s="701" t="s">
        <v>14</v>
      </c>
      <c r="U9" s="702">
        <f t="shared" si="1"/>
        <v>100</v>
      </c>
      <c r="V9" s="701" t="s">
        <v>14</v>
      </c>
      <c r="W9" s="702">
        <f t="shared" si="2"/>
        <v>100</v>
      </c>
      <c r="X9" s="703"/>
      <c r="Y9" s="3541" t="s">
        <v>1683</v>
      </c>
      <c r="Z9" s="52" t="str">
        <f t="shared" ref="Z9:Z15" si="7">Q9</f>
        <v>用途</v>
      </c>
      <c r="AA9" s="704">
        <f t="shared" si="3"/>
        <v>1</v>
      </c>
      <c r="AB9" s="704">
        <f t="shared" si="4"/>
        <v>1</v>
      </c>
      <c r="AC9" s="704">
        <f t="shared" si="5"/>
        <v>1</v>
      </c>
    </row>
    <row r="10" spans="1:29" s="378" customFormat="1" ht="27">
      <c r="A10" s="374"/>
      <c r="B10" s="375" t="s">
        <v>1684</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1685</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1686</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1687</v>
      </c>
      <c r="Q15" s="1352" t="str">
        <f t="shared" si="6"/>
        <v>居住社区成熟度</v>
      </c>
      <c r="R15" s="705" t="s">
        <v>18</v>
      </c>
      <c r="S15" s="706">
        <f t="shared" si="0"/>
        <v>100</v>
      </c>
      <c r="T15" s="705" t="s">
        <v>18</v>
      </c>
      <c r="U15" s="706">
        <f t="shared" si="1"/>
        <v>100</v>
      </c>
      <c r="V15" s="705" t="s">
        <v>18</v>
      </c>
      <c r="W15" s="706">
        <f t="shared" si="2"/>
        <v>100</v>
      </c>
      <c r="X15" s="1355"/>
      <c r="Y15" s="3668" t="s">
        <v>1687</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1688</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1689</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1690</v>
      </c>
      <c r="B32" s="63" t="s">
        <v>1691</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1692</v>
      </c>
      <c r="Q32" s="1352" t="str">
        <f t="shared" si="11"/>
        <v>建筑类型</v>
      </c>
      <c r="R32" s="705" t="s">
        <v>18</v>
      </c>
      <c r="S32" s="706">
        <f t="shared" si="12"/>
        <v>100</v>
      </c>
      <c r="T32" s="705" t="s">
        <v>18</v>
      </c>
      <c r="U32" s="706">
        <f t="shared" si="13"/>
        <v>100</v>
      </c>
      <c r="V32" s="705" t="s">
        <v>18</v>
      </c>
      <c r="W32" s="706">
        <f t="shared" si="14"/>
        <v>100</v>
      </c>
      <c r="X32" s="1355"/>
      <c r="Y32" s="3673" t="s">
        <v>1692</v>
      </c>
      <c r="Z32" s="1356" t="str">
        <f t="shared" si="18"/>
        <v>建筑类型</v>
      </c>
      <c r="AA32" s="1353">
        <f t="shared" si="15"/>
        <v>1</v>
      </c>
      <c r="AB32" s="1353">
        <f t="shared" si="16"/>
        <v>1</v>
      </c>
      <c r="AC32" s="1353">
        <f t="shared" si="17"/>
        <v>1</v>
      </c>
    </row>
    <row r="33" spans="1:29" s="422" customFormat="1" ht="15">
      <c r="A33" s="419"/>
      <c r="B33" s="375" t="s">
        <v>1693</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1694</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1695</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1696</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1697</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1698</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1692</v>
      </c>
      <c r="Q38" s="1352" t="str">
        <f t="shared" si="11"/>
        <v>物业管理</v>
      </c>
      <c r="R38" s="705" t="s">
        <v>18</v>
      </c>
      <c r="S38" s="706">
        <f t="shared" si="12"/>
        <v>100</v>
      </c>
      <c r="T38" s="705" t="s">
        <v>18</v>
      </c>
      <c r="U38" s="706">
        <f t="shared" si="13"/>
        <v>100</v>
      </c>
      <c r="V38" s="705" t="s">
        <v>18</v>
      </c>
      <c r="W38" s="706">
        <f t="shared" si="14"/>
        <v>100</v>
      </c>
      <c r="X38" s="1355"/>
      <c r="Y38" s="3673" t="s">
        <v>1692</v>
      </c>
      <c r="Z38" s="1356" t="str">
        <f t="shared" si="18"/>
        <v>物业管理</v>
      </c>
      <c r="AA38" s="1353">
        <f t="shared" si="15"/>
        <v>1</v>
      </c>
      <c r="AB38" s="1353">
        <f t="shared" si="16"/>
        <v>1</v>
      </c>
      <c r="AC38" s="1353">
        <f t="shared" si="17"/>
        <v>1</v>
      </c>
    </row>
    <row r="39" spans="1:29" ht="15">
      <c r="A39" s="423"/>
      <c r="B39" s="375" t="s">
        <v>1699</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1700</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1701</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1702</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1703</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1704</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1705</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1706</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1709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1710</v>
      </c>
      <c r="B57" s="690"/>
      <c r="C57" s="695"/>
      <c r="D57" s="695"/>
      <c r="E57" s="695"/>
      <c r="F57" s="696"/>
      <c r="G57" s="696"/>
      <c r="H57" s="695"/>
      <c r="I57" s="695"/>
      <c r="J57" s="695"/>
      <c r="K57" s="941"/>
      <c r="L57" s="942"/>
      <c r="M57" s="940"/>
      <c r="N57" s="940"/>
      <c r="O57" s="940"/>
      <c r="P57" s="1918"/>
      <c r="Q57" s="453"/>
    </row>
    <row r="58" spans="1:29" s="457" customFormat="1" ht="15">
      <c r="A58" s="454" t="s">
        <v>1711</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1712</v>
      </c>
      <c r="B60" s="465"/>
      <c r="C60" s="466"/>
      <c r="D60" s="467"/>
      <c r="E60" s="467"/>
      <c r="F60" s="467"/>
      <c r="G60" s="467"/>
      <c r="H60" s="467"/>
      <c r="I60" s="467"/>
      <c r="J60" s="467"/>
      <c r="K60" s="467"/>
      <c r="L60" s="467"/>
      <c r="M60" s="468"/>
      <c r="N60" s="467"/>
      <c r="O60" s="468"/>
      <c r="P60" s="1920"/>
      <c r="Q60" s="453"/>
    </row>
    <row r="61" spans="1:29" s="108" customFormat="1" ht="15">
      <c r="A61" s="470" t="s">
        <v>1713</v>
      </c>
      <c r="B61" s="459"/>
      <c r="C61" s="471" t="s">
        <v>1714</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1715</v>
      </c>
      <c r="B63" s="477" t="s">
        <v>1681</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1684</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1685</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1686</v>
      </c>
      <c r="B76" s="477" t="s">
        <v>1716</v>
      </c>
      <c r="C76" s="522" t="s">
        <v>1717</v>
      </c>
      <c r="D76" s="522" t="s">
        <v>1718</v>
      </c>
      <c r="E76" s="522" t="s">
        <v>1719</v>
      </c>
      <c r="F76" s="522" t="s">
        <v>1720</v>
      </c>
      <c r="G76" s="522" t="s">
        <v>1721</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1722</v>
      </c>
      <c r="C78" s="527" t="s">
        <v>1717</v>
      </c>
      <c r="D78" s="527" t="s">
        <v>1718</v>
      </c>
      <c r="E78" s="527" t="s">
        <v>1719</v>
      </c>
      <c r="F78" s="527" t="s">
        <v>1720</v>
      </c>
      <c r="G78" s="527" t="s">
        <v>1721</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1723</v>
      </c>
      <c r="C80" s="527" t="s">
        <v>1717</v>
      </c>
      <c r="D80" s="527" t="s">
        <v>1718</v>
      </c>
      <c r="E80" s="527" t="s">
        <v>1719</v>
      </c>
      <c r="F80" s="527" t="s">
        <v>1720</v>
      </c>
      <c r="G80" s="527" t="s">
        <v>1721</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1256</v>
      </c>
      <c r="C82" s="488" t="s">
        <v>1724</v>
      </c>
      <c r="D82" s="488" t="s">
        <v>1725</v>
      </c>
      <c r="E82" s="488" t="s">
        <v>1726</v>
      </c>
      <c r="F82" s="488" t="s">
        <v>1727</v>
      </c>
      <c r="G82" s="488" t="s">
        <v>1728</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1729</v>
      </c>
      <c r="C84" s="527" t="s">
        <v>1717</v>
      </c>
      <c r="D84" s="527" t="s">
        <v>1718</v>
      </c>
      <c r="E84" s="527" t="s">
        <v>1719</v>
      </c>
      <c r="F84" s="527" t="s">
        <v>1720</v>
      </c>
      <c r="G84" s="527" t="s">
        <v>1721</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1730</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1731</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1690</v>
      </c>
      <c r="B100" s="477" t="s">
        <v>1732</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1733</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1734</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1735</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1736</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1737</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1738</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1739</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1701</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1740</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1741</v>
      </c>
      <c r="C124" s="527" t="s">
        <v>1717</v>
      </c>
      <c r="D124" s="527" t="s">
        <v>1718</v>
      </c>
      <c r="E124" s="527" t="s">
        <v>1719</v>
      </c>
      <c r="F124" s="527" t="s">
        <v>1720</v>
      </c>
      <c r="G124" s="527" t="s">
        <v>1721</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1742</v>
      </c>
    </row>
    <row r="137" spans="1:17" ht="15">
      <c r="B137" s="1930" t="s">
        <v>1743</v>
      </c>
      <c r="C137" s="1931"/>
      <c r="D137" s="1931"/>
      <c r="E137" s="1931"/>
      <c r="F137" s="1931"/>
      <c r="G137" s="1932"/>
      <c r="H137" s="1933"/>
      <c r="I137" s="1934" t="s">
        <v>1744</v>
      </c>
      <c r="J137" s="1931"/>
      <c r="K137" s="1935"/>
    </row>
    <row r="138" spans="1:17" ht="15">
      <c r="B138" s="1936"/>
      <c r="C138" s="137" t="s">
        <v>1745</v>
      </c>
      <c r="D138" s="137" t="s">
        <v>1746</v>
      </c>
      <c r="E138" s="1937" t="s">
        <v>1747</v>
      </c>
      <c r="F138" s="1938" t="s">
        <v>1748</v>
      </c>
      <c r="G138" s="137" t="s">
        <v>1746</v>
      </c>
      <c r="H138" s="138" t="s">
        <v>1747</v>
      </c>
      <c r="I138" s="1939"/>
      <c r="J138" s="137" t="s">
        <v>1749</v>
      </c>
      <c r="K138" s="138" t="s">
        <v>1750</v>
      </c>
    </row>
    <row r="139" spans="1:17" ht="15">
      <c r="B139" s="867">
        <v>6</v>
      </c>
      <c r="C139" s="868">
        <v>96</v>
      </c>
      <c r="D139" s="1940" t="s">
        <v>1751</v>
      </c>
      <c r="E139" s="869">
        <v>100</v>
      </c>
      <c r="F139" s="870">
        <v>102.5</v>
      </c>
      <c r="G139" s="1940" t="s">
        <v>1751</v>
      </c>
      <c r="H139" s="871">
        <v>105</v>
      </c>
      <c r="I139" s="1941" t="s">
        <v>1752</v>
      </c>
      <c r="J139" s="868">
        <v>20</v>
      </c>
      <c r="K139" s="872">
        <f>C145/(J139-2)</f>
        <v>4.0555555555555553E-3</v>
      </c>
    </row>
    <row r="140" spans="1:17" ht="15">
      <c r="B140" s="873">
        <v>5</v>
      </c>
      <c r="C140" s="874">
        <v>100</v>
      </c>
      <c r="D140" s="874"/>
      <c r="E140" s="875"/>
      <c r="F140" s="876">
        <v>102</v>
      </c>
      <c r="G140" s="874"/>
      <c r="H140" s="877"/>
      <c r="I140" s="1942" t="s">
        <v>1753</v>
      </c>
      <c r="J140" s="271">
        <f>ROUNDUP((J139-1)/2,0)</f>
        <v>10</v>
      </c>
      <c r="K140" s="878">
        <v>100</v>
      </c>
    </row>
    <row r="141" spans="1:17" ht="15">
      <c r="B141" s="873">
        <v>4</v>
      </c>
      <c r="C141" s="874">
        <v>102</v>
      </c>
      <c r="D141" s="874"/>
      <c r="E141" s="875"/>
      <c r="F141" s="876">
        <v>101.5</v>
      </c>
      <c r="G141" s="874"/>
      <c r="H141" s="877"/>
      <c r="I141" s="1942" t="s">
        <v>1754</v>
      </c>
      <c r="J141" s="271">
        <v>1</v>
      </c>
      <c r="K141" s="879">
        <f>ROUND(100+(J141-J140)*K139*100,1)</f>
        <v>96.4</v>
      </c>
    </row>
    <row r="142" spans="1:17" ht="15">
      <c r="B142" s="873">
        <v>3</v>
      </c>
      <c r="C142" s="874">
        <v>103</v>
      </c>
      <c r="D142" s="874"/>
      <c r="E142" s="875"/>
      <c r="F142" s="876">
        <v>101</v>
      </c>
      <c r="G142" s="874"/>
      <c r="H142" s="877"/>
      <c r="I142" s="1942" t="s">
        <v>1755</v>
      </c>
      <c r="J142" s="271">
        <f>J139</f>
        <v>20</v>
      </c>
      <c r="K142" s="880">
        <v>95</v>
      </c>
    </row>
    <row r="143" spans="1:17" ht="15">
      <c r="B143" s="873">
        <v>2</v>
      </c>
      <c r="C143" s="874">
        <v>100</v>
      </c>
      <c r="D143" s="874"/>
      <c r="E143" s="875"/>
      <c r="F143" s="876">
        <v>100.5</v>
      </c>
      <c r="G143" s="874"/>
      <c r="H143" s="877"/>
      <c r="I143" s="1942" t="s">
        <v>1756</v>
      </c>
      <c r="J143" s="874">
        <v>15</v>
      </c>
      <c r="K143" s="879">
        <f>ROUND(100+(J143-J140)*K139*100,1)</f>
        <v>102</v>
      </c>
    </row>
    <row r="144" spans="1:17" ht="15">
      <c r="B144" s="873">
        <v>1</v>
      </c>
      <c r="C144" s="874">
        <v>98</v>
      </c>
      <c r="D144" s="1943" t="s">
        <v>1757</v>
      </c>
      <c r="E144" s="875">
        <v>102</v>
      </c>
      <c r="F144" s="881">
        <v>100</v>
      </c>
      <c r="G144" s="1943" t="s">
        <v>1757</v>
      </c>
      <c r="H144" s="877">
        <v>105</v>
      </c>
      <c r="I144" s="1942" t="s">
        <v>1756</v>
      </c>
      <c r="J144" s="874">
        <v>18</v>
      </c>
      <c r="K144" s="879">
        <f>ROUND(100+(J144-J140)*K139*100,1)</f>
        <v>103.2</v>
      </c>
    </row>
    <row r="145" spans="2:11" ht="15.75" thickBot="1">
      <c r="B145" s="1944" t="s">
        <v>1758</v>
      </c>
      <c r="C145" s="882">
        <f>ROUND(MAX(C139:C144)/MIN(C139:C144)-1,3)</f>
        <v>7.2999999999999995E-2</v>
      </c>
      <c r="D145" s="883"/>
      <c r="E145" s="883"/>
      <c r="F145" s="1945" t="s">
        <v>1759</v>
      </c>
      <c r="G145" s="1946"/>
      <c r="H145" s="1947"/>
      <c r="I145" s="1948" t="s">
        <v>1756</v>
      </c>
      <c r="J145" s="884">
        <v>8</v>
      </c>
      <c r="K145" s="885">
        <f>ROUND(100+(J145-J140)*K139*100,1)</f>
        <v>99.2</v>
      </c>
    </row>
    <row r="147" spans="2:11">
      <c r="B147" s="1929" t="s">
        <v>1760</v>
      </c>
    </row>
    <row r="148" spans="2:11">
      <c r="B148" s="1929"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1762</v>
      </c>
      <c r="C1" s="1238" t="s">
        <v>1658</v>
      </c>
      <c r="D1" s="1225"/>
      <c r="E1" s="3426"/>
      <c r="F1" s="1879"/>
      <c r="G1" s="1235" t="s">
        <v>1763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1460</v>
      </c>
      <c r="B3" s="558">
        <f>IF(C2="——",C49,ROUND(B2*10000/D3,0))</f>
        <v>0</v>
      </c>
      <c r="C3" s="354" t="s">
        <v>1764</v>
      </c>
      <c r="D3" s="353">
        <f>IF(D1="",'数据-汇总表'!E3,SUMIF('数据-汇总表'!$C19:$C33,D1,'数据-汇总表'!$E19:$E33))</f>
        <v>104671.29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1765</v>
      </c>
      <c r="B4" s="356"/>
      <c r="C4" s="3681" t="s">
        <v>1766</v>
      </c>
      <c r="D4" s="3682"/>
      <c r="E4" s="3683" t="s">
        <v>1767</v>
      </c>
      <c r="F4" s="3684"/>
      <c r="G4" s="3681" t="s">
        <v>1768</v>
      </c>
      <c r="H4" s="3682"/>
      <c r="I4" s="3681" t="s">
        <v>1769</v>
      </c>
      <c r="J4" s="3682"/>
      <c r="K4" s="559" t="s">
        <v>1770</v>
      </c>
      <c r="L4" s="2715"/>
      <c r="M4" s="2716"/>
      <c r="N4" s="2716"/>
      <c r="O4" s="2716"/>
      <c r="P4" s="3685" t="s">
        <v>1771</v>
      </c>
      <c r="Q4" s="3686"/>
      <c r="R4" s="3691" t="s">
        <v>1767</v>
      </c>
      <c r="S4" s="3692"/>
      <c r="T4" s="3691" t="s">
        <v>1768</v>
      </c>
      <c r="U4" s="3692"/>
      <c r="V4" s="3697" t="s">
        <v>1769</v>
      </c>
      <c r="W4" s="3697"/>
      <c r="X4" s="1355"/>
      <c r="Y4" s="3691" t="s">
        <v>1771</v>
      </c>
      <c r="Z4" s="3692"/>
      <c r="AA4" s="3678" t="s">
        <v>1767</v>
      </c>
      <c r="AB4" s="3697" t="s">
        <v>1768</v>
      </c>
      <c r="AC4" s="3678" t="s">
        <v>1769</v>
      </c>
    </row>
    <row r="5" spans="1:29" ht="15">
      <c r="A5" s="358"/>
      <c r="B5" s="359"/>
      <c r="C5" s="3700" t="s">
        <v>1669</v>
      </c>
      <c r="D5" s="3701"/>
      <c r="E5" s="3707" t="s">
        <v>1670</v>
      </c>
      <c r="F5" s="3708"/>
      <c r="G5" s="3700" t="s">
        <v>1671</v>
      </c>
      <c r="H5" s="3701"/>
      <c r="I5" s="3700" t="s">
        <v>1672</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1673</v>
      </c>
      <c r="D6" s="3699"/>
      <c r="E6" s="3705" t="s">
        <v>1673</v>
      </c>
      <c r="F6" s="3706"/>
      <c r="G6" s="3698" t="s">
        <v>1673</v>
      </c>
      <c r="H6" s="3699"/>
      <c r="I6" s="3698" t="s">
        <v>1673</v>
      </c>
      <c r="J6" s="3699"/>
      <c r="K6" s="559" t="s">
        <v>1674</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1675</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1676</v>
      </c>
      <c r="Q7" s="3704"/>
      <c r="R7" s="701" t="s">
        <v>14</v>
      </c>
      <c r="S7" s="702">
        <f t="shared" ref="S7:S15" si="0">F7</f>
        <v>0</v>
      </c>
      <c r="T7" s="701" t="s">
        <v>14</v>
      </c>
      <c r="U7" s="702">
        <f t="shared" ref="U7:U15" si="1">H7</f>
        <v>0</v>
      </c>
      <c r="V7" s="701" t="s">
        <v>14</v>
      </c>
      <c r="W7" s="702">
        <f t="shared" ref="W7:W15" si="2">J7</f>
        <v>0</v>
      </c>
      <c r="X7" s="703"/>
      <c r="Y7" s="3702" t="s">
        <v>1676</v>
      </c>
      <c r="Z7" s="3703"/>
      <c r="AA7" s="704" t="e">
        <f>D7/F7</f>
        <v>#DIV/0!</v>
      </c>
      <c r="AB7" s="704" t="e">
        <f>D7/H7</f>
        <v>#DIV/0!</v>
      </c>
      <c r="AC7" s="704" t="e">
        <f>D7/J7</f>
        <v>#DIV/0!</v>
      </c>
    </row>
    <row r="8" spans="1:29" s="108" customFormat="1" ht="15.75" thickBot="1">
      <c r="A8" s="362" t="s">
        <v>1677</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1679</v>
      </c>
      <c r="Q8" s="3703"/>
      <c r="R8" s="701" t="s">
        <v>14</v>
      </c>
      <c r="S8" s="702">
        <f t="shared" si="0"/>
        <v>100</v>
      </c>
      <c r="T8" s="701" t="s">
        <v>14</v>
      </c>
      <c r="U8" s="702">
        <f t="shared" si="1"/>
        <v>100</v>
      </c>
      <c r="V8" s="701" t="s">
        <v>14</v>
      </c>
      <c r="W8" s="702">
        <f t="shared" si="2"/>
        <v>100</v>
      </c>
      <c r="X8" s="703"/>
      <c r="Y8" s="3702" t="s">
        <v>1679</v>
      </c>
      <c r="Z8" s="3703"/>
      <c r="AA8" s="704">
        <f t="shared" ref="AA8:AA46" si="3">D8/F8</f>
        <v>1</v>
      </c>
      <c r="AB8" s="704">
        <f t="shared" ref="AB8:AB46" si="4">D8/H8</f>
        <v>1</v>
      </c>
      <c r="AC8" s="704">
        <f t="shared" ref="AC8:AC46" si="5">D8/J8</f>
        <v>1</v>
      </c>
    </row>
    <row r="9" spans="1:29" s="108" customFormat="1">
      <c r="A9" s="369" t="s">
        <v>1680</v>
      </c>
      <c r="B9" s="63" t="s">
        <v>1681</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1682</v>
      </c>
      <c r="Q9" s="1343" t="str">
        <f t="shared" ref="Q9:Q15" si="6">B9</f>
        <v>用途</v>
      </c>
      <c r="R9" s="701" t="s">
        <v>14</v>
      </c>
      <c r="S9" s="702">
        <f t="shared" si="0"/>
        <v>100</v>
      </c>
      <c r="T9" s="701" t="s">
        <v>14</v>
      </c>
      <c r="U9" s="702">
        <f t="shared" si="1"/>
        <v>100</v>
      </c>
      <c r="V9" s="701" t="s">
        <v>14</v>
      </c>
      <c r="W9" s="702">
        <f t="shared" si="2"/>
        <v>100</v>
      </c>
      <c r="X9" s="703"/>
      <c r="Y9" s="3541" t="s">
        <v>1683</v>
      </c>
      <c r="Z9" s="52" t="str">
        <f t="shared" ref="Z9:Z15" si="7">Q9</f>
        <v>用途</v>
      </c>
      <c r="AA9" s="704">
        <f t="shared" si="3"/>
        <v>1</v>
      </c>
      <c r="AB9" s="704">
        <f t="shared" si="4"/>
        <v>1</v>
      </c>
      <c r="AC9" s="704">
        <f t="shared" si="5"/>
        <v>1</v>
      </c>
    </row>
    <row r="10" spans="1:29" s="378" customFormat="1" ht="27">
      <c r="A10" s="374"/>
      <c r="B10" s="375" t="s">
        <v>1684</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1685</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1686</v>
      </c>
      <c r="B15" s="61" t="s">
        <v>1773</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1687</v>
      </c>
      <c r="Q15" s="1352" t="str">
        <f t="shared" si="6"/>
        <v>商业繁华度</v>
      </c>
      <c r="R15" s="705" t="s">
        <v>14</v>
      </c>
      <c r="S15" s="706">
        <f t="shared" si="0"/>
        <v>100</v>
      </c>
      <c r="T15" s="705" t="s">
        <v>14</v>
      </c>
      <c r="U15" s="706">
        <f t="shared" si="1"/>
        <v>100</v>
      </c>
      <c r="V15" s="705" t="s">
        <v>14</v>
      </c>
      <c r="W15" s="706">
        <f t="shared" si="2"/>
        <v>100</v>
      </c>
      <c r="X15" s="1355"/>
      <c r="Y15" s="3668" t="s">
        <v>1687</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1774</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1775</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1257</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1776</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1777</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1778</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1779</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1690</v>
      </c>
      <c r="B32" s="63" t="s">
        <v>1780</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1692</v>
      </c>
      <c r="Q32" s="1352" t="str">
        <f t="shared" si="11"/>
        <v>商业类型</v>
      </c>
      <c r="R32" s="705" t="s">
        <v>14</v>
      </c>
      <c r="S32" s="706">
        <f t="shared" si="12"/>
        <v>100</v>
      </c>
      <c r="T32" s="705" t="s">
        <v>14</v>
      </c>
      <c r="U32" s="706">
        <f t="shared" si="13"/>
        <v>100</v>
      </c>
      <c r="V32" s="705" t="s">
        <v>14</v>
      </c>
      <c r="W32" s="706">
        <f t="shared" si="14"/>
        <v>100</v>
      </c>
      <c r="X32" s="1355"/>
      <c r="Y32" s="3673" t="s">
        <v>1692</v>
      </c>
      <c r="Z32" s="1356" t="str">
        <f t="shared" si="15"/>
        <v>商业类型</v>
      </c>
      <c r="AA32" s="1353">
        <f t="shared" si="3"/>
        <v>1</v>
      </c>
      <c r="AB32" s="1353">
        <f t="shared" si="4"/>
        <v>1</v>
      </c>
      <c r="AC32" s="1353">
        <f t="shared" si="5"/>
        <v>1</v>
      </c>
    </row>
    <row r="33" spans="1:29" s="422" customFormat="1" ht="15">
      <c r="A33" s="419"/>
      <c r="B33" s="375" t="s">
        <v>1693</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1694</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1781</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1782</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1783</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1784</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1692</v>
      </c>
      <c r="Q38" s="1352" t="str">
        <f t="shared" si="11"/>
        <v>业态</v>
      </c>
      <c r="R38" s="705" t="s">
        <v>14</v>
      </c>
      <c r="S38" s="706">
        <f t="shared" si="12"/>
        <v>100</v>
      </c>
      <c r="T38" s="705" t="s">
        <v>14</v>
      </c>
      <c r="U38" s="706">
        <f t="shared" si="13"/>
        <v>100</v>
      </c>
      <c r="V38" s="705" t="s">
        <v>14</v>
      </c>
      <c r="W38" s="706">
        <f t="shared" si="14"/>
        <v>100</v>
      </c>
      <c r="X38" s="1355"/>
      <c r="Y38" s="3673" t="s">
        <v>1692</v>
      </c>
      <c r="Z38" s="1356" t="str">
        <f t="shared" si="15"/>
        <v>业态</v>
      </c>
      <c r="AA38" s="1353">
        <f t="shared" si="3"/>
        <v>1</v>
      </c>
      <c r="AB38" s="1353">
        <f t="shared" si="4"/>
        <v>1</v>
      </c>
      <c r="AC38" s="1353">
        <f t="shared" si="5"/>
        <v>1</v>
      </c>
    </row>
    <row r="39" spans="1:29" ht="15">
      <c r="A39" s="423"/>
      <c r="B39" s="375" t="s">
        <v>1785</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1786</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1787</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1788</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1703</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1704</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1789</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1790</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1675</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1712</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1677</v>
      </c>
      <c r="B61" s="459"/>
      <c r="C61" s="471" t="s">
        <v>1772</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1715</v>
      </c>
      <c r="B63" s="477" t="s">
        <v>1681</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1684</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1685</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1686</v>
      </c>
      <c r="B76" s="477" t="s">
        <v>1716</v>
      </c>
      <c r="C76" s="522" t="s">
        <v>1717</v>
      </c>
      <c r="D76" s="522" t="s">
        <v>1718</v>
      </c>
      <c r="E76" s="522" t="s">
        <v>1719</v>
      </c>
      <c r="F76" s="522" t="s">
        <v>1720</v>
      </c>
      <c r="G76" s="522" t="s">
        <v>1721</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1722</v>
      </c>
      <c r="C78" s="527" t="s">
        <v>1717</v>
      </c>
      <c r="D78" s="527" t="s">
        <v>1718</v>
      </c>
      <c r="E78" s="527" t="s">
        <v>1719</v>
      </c>
      <c r="F78" s="527" t="s">
        <v>1720</v>
      </c>
      <c r="G78" s="527" t="s">
        <v>1721</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1723</v>
      </c>
      <c r="C80" s="527" t="s">
        <v>1717</v>
      </c>
      <c r="D80" s="527" t="s">
        <v>1718</v>
      </c>
      <c r="E80" s="527" t="s">
        <v>1719</v>
      </c>
      <c r="F80" s="527" t="s">
        <v>1720</v>
      </c>
      <c r="G80" s="527" t="s">
        <v>1721</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1775</v>
      </c>
      <c r="C82" s="608" t="s">
        <v>1795</v>
      </c>
      <c r="D82" s="608" t="s">
        <v>1796</v>
      </c>
      <c r="E82" s="608" t="s">
        <v>1797</v>
      </c>
      <c r="F82" s="608" t="s">
        <v>1798</v>
      </c>
      <c r="G82" s="608" t="s">
        <v>1799</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1729</v>
      </c>
      <c r="C84" s="527" t="s">
        <v>1717</v>
      </c>
      <c r="D84" s="527" t="s">
        <v>1718</v>
      </c>
      <c r="E84" s="527" t="s">
        <v>1719</v>
      </c>
      <c r="F84" s="527" t="s">
        <v>1720</v>
      </c>
      <c r="G84" s="527" t="s">
        <v>1721</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1800</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1690</v>
      </c>
      <c r="B100" s="477" t="s">
        <v>1801</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1733</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1734</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1736</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1738</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1802</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1803</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1804</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1805</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1740</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1741</v>
      </c>
      <c r="C124" s="527" t="s">
        <v>1717</v>
      </c>
      <c r="D124" s="527" t="s">
        <v>1718</v>
      </c>
      <c r="E124" s="527" t="s">
        <v>1719</v>
      </c>
      <c r="F124" s="527" t="s">
        <v>1720</v>
      </c>
      <c r="G124" s="527" t="s">
        <v>1721</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7" t="s">
        <v>1806</v>
      </c>
      <c r="C1" s="1224" t="s">
        <v>1658</v>
      </c>
      <c r="D1" s="1225"/>
      <c r="E1" s="3433"/>
      <c r="F1" s="1879"/>
      <c r="G1" s="1235" t="s">
        <v>1763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1764</v>
      </c>
      <c r="D3" s="353">
        <f>IF(D1="",'数据-汇总表'!E3,SUMIF('数据-汇总表'!$C19:$C33,D1,'数据-汇总表'!$E19:$E33))</f>
        <v>104671.29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1765</v>
      </c>
      <c r="B4" s="356"/>
      <c r="C4" s="3681" t="s">
        <v>1766</v>
      </c>
      <c r="D4" s="3682"/>
      <c r="E4" s="3683" t="s">
        <v>1767</v>
      </c>
      <c r="F4" s="3684"/>
      <c r="G4" s="3681" t="s">
        <v>1768</v>
      </c>
      <c r="H4" s="3682"/>
      <c r="I4" s="3681" t="s">
        <v>1769</v>
      </c>
      <c r="J4" s="3682"/>
      <c r="K4" s="559" t="s">
        <v>1770</v>
      </c>
      <c r="L4" s="2715"/>
      <c r="M4" s="2716"/>
      <c r="N4" s="2716"/>
      <c r="O4" s="2716"/>
      <c r="P4" s="3715" t="s">
        <v>1771</v>
      </c>
      <c r="Q4" s="3716"/>
      <c r="R4" s="3719" t="s">
        <v>1767</v>
      </c>
      <c r="S4" s="3720"/>
      <c r="T4" s="3719" t="s">
        <v>1768</v>
      </c>
      <c r="U4" s="3720"/>
      <c r="V4" s="3721" t="s">
        <v>1769</v>
      </c>
      <c r="W4" s="3721"/>
      <c r="X4" s="1958"/>
      <c r="Y4" s="3719" t="s">
        <v>1771</v>
      </c>
      <c r="Z4" s="3720"/>
      <c r="AA4" s="3723" t="s">
        <v>1767</v>
      </c>
      <c r="AB4" s="3723" t="s">
        <v>1768</v>
      </c>
      <c r="AC4" s="3712" t="s">
        <v>1769</v>
      </c>
    </row>
    <row r="5" spans="1:29" ht="15">
      <c r="A5" s="358"/>
      <c r="B5" s="359"/>
      <c r="C5" s="3700" t="s">
        <v>1669</v>
      </c>
      <c r="D5" s="3701"/>
      <c r="E5" s="3707" t="s">
        <v>1670</v>
      </c>
      <c r="F5" s="3708"/>
      <c r="G5" s="3700" t="s">
        <v>1671</v>
      </c>
      <c r="H5" s="3701"/>
      <c r="I5" s="3700" t="s">
        <v>1672</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1673</v>
      </c>
      <c r="D6" s="3699"/>
      <c r="E6" s="3705" t="s">
        <v>1673</v>
      </c>
      <c r="F6" s="3706"/>
      <c r="G6" s="3698" t="s">
        <v>1673</v>
      </c>
      <c r="H6" s="3699"/>
      <c r="I6" s="3698" t="s">
        <v>1673</v>
      </c>
      <c r="J6" s="3699"/>
      <c r="K6" s="559" t="s">
        <v>1674</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1675</v>
      </c>
      <c r="B7" s="363"/>
      <c r="C7" s="364">
        <f>'数据-取费表'!B2</f>
        <v>45421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1676</v>
      </c>
      <c r="Q7" s="3704"/>
      <c r="R7" s="701" t="s">
        <v>14</v>
      </c>
      <c r="S7" s="702">
        <f t="shared" ref="S7:S15" si="0">F7</f>
        <v>0</v>
      </c>
      <c r="T7" s="701" t="s">
        <v>14</v>
      </c>
      <c r="U7" s="702">
        <f t="shared" ref="U7:U15" si="1">H7</f>
        <v>0</v>
      </c>
      <c r="V7" s="701" t="s">
        <v>14</v>
      </c>
      <c r="W7" s="702">
        <f t="shared" ref="W7:W15" si="2">J7</f>
        <v>0</v>
      </c>
      <c r="X7" s="703"/>
      <c r="Y7" s="3702" t="s">
        <v>1676</v>
      </c>
      <c r="Z7" s="3703"/>
      <c r="AA7" s="704" t="e">
        <f>D7/F7</f>
        <v>#DIV/0!</v>
      </c>
      <c r="AB7" s="704" t="e">
        <f>D7/H7</f>
        <v>#DIV/0!</v>
      </c>
      <c r="AC7" s="1959" t="e">
        <f>D7/J7</f>
        <v>#DIV/0!</v>
      </c>
    </row>
    <row r="8" spans="1:29" s="108" customFormat="1" ht="15.75" thickBot="1">
      <c r="A8" s="362" t="s">
        <v>1677</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1679</v>
      </c>
      <c r="Q8" s="3703"/>
      <c r="R8" s="701" t="s">
        <v>14</v>
      </c>
      <c r="S8" s="702">
        <f t="shared" si="0"/>
        <v>100</v>
      </c>
      <c r="T8" s="701" t="s">
        <v>14</v>
      </c>
      <c r="U8" s="702">
        <f t="shared" si="1"/>
        <v>100</v>
      </c>
      <c r="V8" s="701" t="s">
        <v>14</v>
      </c>
      <c r="W8" s="702">
        <f t="shared" si="2"/>
        <v>100</v>
      </c>
      <c r="X8" s="703"/>
      <c r="Y8" s="3702" t="s">
        <v>1679</v>
      </c>
      <c r="Z8" s="3703"/>
      <c r="AA8" s="704">
        <f t="shared" ref="AA8:AA47" si="3">D8/F8</f>
        <v>1</v>
      </c>
      <c r="AB8" s="704">
        <f t="shared" ref="AB8:AB47" si="4">D8/H8</f>
        <v>1</v>
      </c>
      <c r="AC8" s="1959">
        <f t="shared" ref="AC8:AC47" si="5">D8/J8</f>
        <v>1</v>
      </c>
    </row>
    <row r="9" spans="1:29" s="108" customFormat="1">
      <c r="A9" s="369" t="s">
        <v>1680</v>
      </c>
      <c r="B9" s="63" t="s">
        <v>1681</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1682</v>
      </c>
      <c r="Q9" s="1343" t="str">
        <f t="shared" ref="Q9:Q15" si="6">B9</f>
        <v>用途</v>
      </c>
      <c r="R9" s="701" t="s">
        <v>14</v>
      </c>
      <c r="S9" s="702">
        <f t="shared" si="0"/>
        <v>100</v>
      </c>
      <c r="T9" s="701" t="s">
        <v>14</v>
      </c>
      <c r="U9" s="702">
        <f t="shared" si="1"/>
        <v>100</v>
      </c>
      <c r="V9" s="701" t="s">
        <v>14</v>
      </c>
      <c r="W9" s="702">
        <f t="shared" si="2"/>
        <v>100</v>
      </c>
      <c r="X9" s="703"/>
      <c r="Y9" s="3541" t="s">
        <v>1683</v>
      </c>
      <c r="Z9" s="52" t="str">
        <f t="shared" ref="Z9:Z15" si="7">Q9</f>
        <v>用途</v>
      </c>
      <c r="AA9" s="704">
        <f t="shared" si="3"/>
        <v>1</v>
      </c>
      <c r="AB9" s="704">
        <f t="shared" si="4"/>
        <v>1</v>
      </c>
      <c r="AC9" s="1959">
        <f t="shared" si="5"/>
        <v>1</v>
      </c>
    </row>
    <row r="10" spans="1:29" s="378" customFormat="1" ht="27">
      <c r="A10" s="374"/>
      <c r="B10" s="375" t="s">
        <v>1684</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1685</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1686</v>
      </c>
      <c r="B15" s="577" t="s">
        <v>1807</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1687</v>
      </c>
      <c r="Q15" s="1352" t="str">
        <f t="shared" si="6"/>
        <v>办公集聚程度</v>
      </c>
      <c r="R15" s="705" t="s">
        <v>14</v>
      </c>
      <c r="S15" s="706">
        <f t="shared" si="0"/>
        <v>100</v>
      </c>
      <c r="T15" s="705" t="s">
        <v>14</v>
      </c>
      <c r="U15" s="706">
        <f t="shared" si="1"/>
        <v>100</v>
      </c>
      <c r="V15" s="705" t="s">
        <v>14</v>
      </c>
      <c r="W15" s="706">
        <f t="shared" si="2"/>
        <v>100</v>
      </c>
      <c r="X15" s="1355"/>
      <c r="Y15" s="3668" t="s">
        <v>1687</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1255</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1808</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1809</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1810</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1811</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1779</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1812</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1690</v>
      </c>
      <c r="B33" s="63" t="s">
        <v>1813</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1692</v>
      </c>
      <c r="Q33" s="1352" t="str">
        <f t="shared" si="11"/>
        <v>建筑类型</v>
      </c>
      <c r="R33" s="705" t="s">
        <v>14</v>
      </c>
      <c r="S33" s="706">
        <f t="shared" si="12"/>
        <v>100</v>
      </c>
      <c r="T33" s="705" t="s">
        <v>14</v>
      </c>
      <c r="U33" s="706">
        <f t="shared" si="13"/>
        <v>100</v>
      </c>
      <c r="V33" s="705" t="s">
        <v>14</v>
      </c>
      <c r="W33" s="706">
        <f t="shared" si="14"/>
        <v>100</v>
      </c>
      <c r="X33" s="1355"/>
      <c r="Y33" s="3673" t="s">
        <v>1692</v>
      </c>
      <c r="Z33" s="1356" t="str">
        <f t="shared" si="15"/>
        <v>建筑类型</v>
      </c>
      <c r="AA33" s="1353">
        <f t="shared" si="3"/>
        <v>1</v>
      </c>
      <c r="AB33" s="1353">
        <f t="shared" si="4"/>
        <v>1</v>
      </c>
      <c r="AC33" s="1962">
        <f t="shared" si="5"/>
        <v>1</v>
      </c>
    </row>
    <row r="34" spans="1:29" s="422" customFormat="1" ht="15">
      <c r="A34" s="419"/>
      <c r="B34" s="375" t="s">
        <v>1693</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1694</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1781</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1782</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1814</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1815</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1692</v>
      </c>
      <c r="Q39" s="1352" t="str">
        <f t="shared" si="11"/>
        <v>物业管理</v>
      </c>
      <c r="R39" s="705" t="s">
        <v>14</v>
      </c>
      <c r="S39" s="706">
        <f t="shared" si="12"/>
        <v>100</v>
      </c>
      <c r="T39" s="705" t="s">
        <v>14</v>
      </c>
      <c r="U39" s="706">
        <f t="shared" si="13"/>
        <v>100</v>
      </c>
      <c r="V39" s="705" t="s">
        <v>14</v>
      </c>
      <c r="W39" s="706">
        <f t="shared" si="14"/>
        <v>100</v>
      </c>
      <c r="X39" s="1355"/>
      <c r="Y39" s="3673" t="s">
        <v>1692</v>
      </c>
      <c r="Z39" s="1356" t="str">
        <f t="shared" si="15"/>
        <v>物业管理</v>
      </c>
      <c r="AA39" s="1353">
        <f t="shared" si="3"/>
        <v>1</v>
      </c>
      <c r="AB39" s="1353">
        <f t="shared" si="4"/>
        <v>1</v>
      </c>
      <c r="AC39" s="1962">
        <f t="shared" si="5"/>
        <v>1</v>
      </c>
    </row>
    <row r="40" spans="1:29" ht="15">
      <c r="A40" s="423"/>
      <c r="B40" s="375" t="s">
        <v>1783</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1785</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1816</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1788</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1703</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1704</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1789</v>
      </c>
      <c r="B49" s="438"/>
      <c r="C49" s="1160" t="e">
        <f>R50</f>
        <v>#DIV/0!</v>
      </c>
      <c r="D49" s="2317" t="s">
        <v>2134</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1790</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1791</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1792</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1793</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1675</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1712</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1677</v>
      </c>
      <c r="B62" s="459"/>
      <c r="C62" s="471" t="s">
        <v>1772</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1715</v>
      </c>
      <c r="B64" s="477" t="s">
        <v>1681</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1684</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1685</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1686</v>
      </c>
      <c r="B77" s="477" t="s">
        <v>1817</v>
      </c>
      <c r="C77" s="522" t="s">
        <v>1717</v>
      </c>
      <c r="D77" s="522" t="s">
        <v>1718</v>
      </c>
      <c r="E77" s="522" t="s">
        <v>1719</v>
      </c>
      <c r="F77" s="522" t="s">
        <v>1720</v>
      </c>
      <c r="G77" s="522" t="s">
        <v>1721</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1722</v>
      </c>
      <c r="C79" s="527" t="s">
        <v>1717</v>
      </c>
      <c r="D79" s="527" t="s">
        <v>1718</v>
      </c>
      <c r="E79" s="527" t="s">
        <v>1719</v>
      </c>
      <c r="F79" s="527" t="s">
        <v>1720</v>
      </c>
      <c r="G79" s="527" t="s">
        <v>1721</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1723</v>
      </c>
      <c r="C81" s="527" t="s">
        <v>1717</v>
      </c>
      <c r="D81" s="527" t="s">
        <v>1718</v>
      </c>
      <c r="E81" s="527" t="s">
        <v>1719</v>
      </c>
      <c r="F81" s="527" t="s">
        <v>1720</v>
      </c>
      <c r="G81" s="527" t="s">
        <v>1721</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1809</v>
      </c>
      <c r="C83" s="608" t="s">
        <v>1795</v>
      </c>
      <c r="D83" s="608" t="s">
        <v>1796</v>
      </c>
      <c r="E83" s="608" t="s">
        <v>1797</v>
      </c>
      <c r="F83" s="608" t="s">
        <v>1798</v>
      </c>
      <c r="G83" s="608" t="s">
        <v>1799</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1818</v>
      </c>
      <c r="C85" s="527" t="s">
        <v>1717</v>
      </c>
      <c r="D85" s="527" t="s">
        <v>1718</v>
      </c>
      <c r="E85" s="527" t="s">
        <v>1719</v>
      </c>
      <c r="F85" s="527" t="s">
        <v>1720</v>
      </c>
      <c r="G85" s="527" t="s">
        <v>1721</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1819</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1690</v>
      </c>
      <c r="B101" s="477" t="s">
        <v>1732</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1733</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1734</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1736</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1820</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1737</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1738</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1821</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1804</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1740</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1741</v>
      </c>
      <c r="C125" s="527" t="s">
        <v>1717</v>
      </c>
      <c r="D125" s="527" t="s">
        <v>1718</v>
      </c>
      <c r="E125" s="527" t="s">
        <v>1719</v>
      </c>
      <c r="F125" s="527" t="s">
        <v>1720</v>
      </c>
      <c r="G125" s="527" t="s">
        <v>1721</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7" t="s">
        <v>1822</v>
      </c>
      <c r="C1" s="1224" t="s">
        <v>1658</v>
      </c>
      <c r="D1" s="1225"/>
      <c r="E1" s="3433"/>
      <c r="F1" s="1879"/>
      <c r="G1" s="1235" t="s">
        <v>1763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1764</v>
      </c>
      <c r="D3" s="353">
        <f>IF(D1="",'数据-汇总表'!E3,SUMIF('数据-汇总表'!$C19:$C33,D1,'数据-汇总表'!$E19:$E33))</f>
        <v>104671.29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1765</v>
      </c>
      <c r="B4" s="356"/>
      <c r="C4" s="3681" t="s">
        <v>1766</v>
      </c>
      <c r="D4" s="3682"/>
      <c r="E4" s="3683" t="s">
        <v>1767</v>
      </c>
      <c r="F4" s="3684"/>
      <c r="G4" s="3681" t="s">
        <v>1768</v>
      </c>
      <c r="H4" s="3682"/>
      <c r="I4" s="3681" t="s">
        <v>1769</v>
      </c>
      <c r="J4" s="3682"/>
      <c r="K4" s="559" t="s">
        <v>1770</v>
      </c>
      <c r="L4" s="913"/>
      <c r="M4" s="914"/>
      <c r="N4" s="914"/>
      <c r="O4" s="914"/>
      <c r="P4" s="3685" t="s">
        <v>1771</v>
      </c>
      <c r="Q4" s="3686"/>
      <c r="R4" s="3691" t="s">
        <v>1767</v>
      </c>
      <c r="S4" s="3692"/>
      <c r="T4" s="3691" t="s">
        <v>1768</v>
      </c>
      <c r="U4" s="3692"/>
      <c r="V4" s="3697" t="s">
        <v>1769</v>
      </c>
      <c r="W4" s="3697"/>
      <c r="X4" s="1355"/>
      <c r="Y4" s="3691" t="s">
        <v>1771</v>
      </c>
      <c r="Z4" s="3692"/>
      <c r="AA4" s="3678" t="s">
        <v>1767</v>
      </c>
      <c r="AB4" s="3679" t="s">
        <v>1768</v>
      </c>
      <c r="AC4" s="3678" t="s">
        <v>1769</v>
      </c>
    </row>
    <row r="5" spans="1:29" ht="15">
      <c r="A5" s="358"/>
      <c r="B5" s="359"/>
      <c r="C5" s="3700" t="s">
        <v>1669</v>
      </c>
      <c r="D5" s="3701"/>
      <c r="E5" s="3707" t="s">
        <v>1670</v>
      </c>
      <c r="F5" s="3708"/>
      <c r="G5" s="3700" t="s">
        <v>1671</v>
      </c>
      <c r="H5" s="3701"/>
      <c r="I5" s="3700" t="s">
        <v>1672</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1673</v>
      </c>
      <c r="D6" s="3699"/>
      <c r="E6" s="3705" t="s">
        <v>1673</v>
      </c>
      <c r="F6" s="3706"/>
      <c r="G6" s="3698" t="s">
        <v>1673</v>
      </c>
      <c r="H6" s="3699"/>
      <c r="I6" s="3698" t="s">
        <v>1673</v>
      </c>
      <c r="J6" s="3699"/>
      <c r="K6" s="559" t="s">
        <v>1674</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1675</v>
      </c>
      <c r="B7" s="363"/>
      <c r="C7" s="364">
        <f>'数据-取费表'!B2</f>
        <v>45421</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1676</v>
      </c>
      <c r="Q7" s="3704"/>
      <c r="R7" s="701" t="s">
        <v>14</v>
      </c>
      <c r="S7" s="702">
        <f t="shared" ref="S7:S15" si="0">F7</f>
        <v>0</v>
      </c>
      <c r="T7" s="701" t="s">
        <v>14</v>
      </c>
      <c r="U7" s="702">
        <f t="shared" ref="U7:U15" si="1">H7</f>
        <v>0</v>
      </c>
      <c r="V7" s="701" t="s">
        <v>14</v>
      </c>
      <c r="W7" s="702">
        <f t="shared" ref="W7:W15" si="2">J7</f>
        <v>0</v>
      </c>
      <c r="X7" s="703"/>
      <c r="Y7" s="3702" t="s">
        <v>1676</v>
      </c>
      <c r="Z7" s="3703"/>
      <c r="AA7" s="704" t="e">
        <f>D7/F7</f>
        <v>#DIV/0!</v>
      </c>
      <c r="AB7" s="704" t="e">
        <f>D7/H7</f>
        <v>#DIV/0!</v>
      </c>
      <c r="AC7" s="704" t="e">
        <f>D7/J7</f>
        <v>#DIV/0!</v>
      </c>
    </row>
    <row r="8" spans="1:29" s="108" customFormat="1" ht="15.75" thickBot="1">
      <c r="A8" s="362" t="s">
        <v>1677</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1679</v>
      </c>
      <c r="Q8" s="3703"/>
      <c r="R8" s="701" t="s">
        <v>14</v>
      </c>
      <c r="S8" s="702">
        <f t="shared" si="0"/>
        <v>100</v>
      </c>
      <c r="T8" s="701" t="s">
        <v>14</v>
      </c>
      <c r="U8" s="702">
        <f t="shared" si="1"/>
        <v>100</v>
      </c>
      <c r="V8" s="701" t="s">
        <v>14</v>
      </c>
      <c r="W8" s="702">
        <f t="shared" si="2"/>
        <v>100</v>
      </c>
      <c r="X8" s="703"/>
      <c r="Y8" s="3702" t="s">
        <v>1679</v>
      </c>
      <c r="Z8" s="3703"/>
      <c r="AA8" s="704">
        <f t="shared" ref="AA8:AA40" si="3">D8/F8</f>
        <v>1</v>
      </c>
      <c r="AB8" s="704">
        <f t="shared" ref="AB8:AB40" si="4">D8/H8</f>
        <v>1</v>
      </c>
      <c r="AC8" s="704">
        <f t="shared" ref="AC8:AC40" si="5">D8/J8</f>
        <v>1</v>
      </c>
    </row>
    <row r="9" spans="1:29" s="108" customFormat="1">
      <c r="A9" s="369" t="s">
        <v>1680</v>
      </c>
      <c r="B9" s="63" t="s">
        <v>1681</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1682</v>
      </c>
      <c r="Q9" s="1343" t="str">
        <f t="shared" ref="Q9:Q15" si="6">B9</f>
        <v>用途</v>
      </c>
      <c r="R9" s="701" t="s">
        <v>14</v>
      </c>
      <c r="S9" s="702">
        <f t="shared" si="0"/>
        <v>100</v>
      </c>
      <c r="T9" s="701" t="s">
        <v>14</v>
      </c>
      <c r="U9" s="702">
        <f t="shared" si="1"/>
        <v>100</v>
      </c>
      <c r="V9" s="701" t="s">
        <v>14</v>
      </c>
      <c r="W9" s="702">
        <f t="shared" si="2"/>
        <v>100</v>
      </c>
      <c r="X9" s="703"/>
      <c r="Y9" s="3541" t="s">
        <v>1683</v>
      </c>
      <c r="Z9" s="52" t="str">
        <f t="shared" ref="Z9:Z15" si="7">Q9</f>
        <v>用途</v>
      </c>
      <c r="AA9" s="704">
        <f t="shared" si="3"/>
        <v>1</v>
      </c>
      <c r="AB9" s="704">
        <f t="shared" si="4"/>
        <v>1</v>
      </c>
      <c r="AC9" s="704">
        <f t="shared" si="5"/>
        <v>1</v>
      </c>
    </row>
    <row r="10" spans="1:29" s="378" customFormat="1" ht="27">
      <c r="A10" s="374"/>
      <c r="B10" s="375" t="s">
        <v>1684</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1685</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1686</v>
      </c>
      <c r="B15" s="61" t="s">
        <v>1823</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1687</v>
      </c>
      <c r="Q15" s="1352" t="str">
        <f t="shared" si="6"/>
        <v>产业集聚程度</v>
      </c>
      <c r="R15" s="705" t="s">
        <v>14</v>
      </c>
      <c r="S15" s="706">
        <f t="shared" si="0"/>
        <v>100</v>
      </c>
      <c r="T15" s="705" t="s">
        <v>14</v>
      </c>
      <c r="U15" s="706">
        <f t="shared" si="1"/>
        <v>100</v>
      </c>
      <c r="V15" s="705" t="s">
        <v>14</v>
      </c>
      <c r="W15" s="706">
        <f t="shared" si="2"/>
        <v>100</v>
      </c>
      <c r="X15" s="1355"/>
      <c r="Y15" s="3668" t="s">
        <v>1687</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1808</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1809</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1810</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1690</v>
      </c>
      <c r="B29" s="63" t="s">
        <v>1813</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1692</v>
      </c>
      <c r="Q29" s="1352" t="str">
        <f t="shared" si="11"/>
        <v>建筑类型</v>
      </c>
      <c r="R29" s="705" t="s">
        <v>14</v>
      </c>
      <c r="S29" s="706">
        <f t="shared" si="12"/>
        <v>100</v>
      </c>
      <c r="T29" s="705" t="s">
        <v>14</v>
      </c>
      <c r="U29" s="706">
        <f t="shared" si="13"/>
        <v>100</v>
      </c>
      <c r="V29" s="705" t="s">
        <v>14</v>
      </c>
      <c r="W29" s="706">
        <f t="shared" si="14"/>
        <v>100</v>
      </c>
      <c r="X29" s="1355"/>
      <c r="Y29" s="3673" t="s">
        <v>1692</v>
      </c>
      <c r="Z29" s="1356" t="str">
        <f t="shared" si="15"/>
        <v>建筑类型</v>
      </c>
      <c r="AA29" s="1353">
        <f t="shared" si="3"/>
        <v>1</v>
      </c>
      <c r="AB29" s="1353">
        <f t="shared" si="4"/>
        <v>1</v>
      </c>
      <c r="AC29" s="1353">
        <f t="shared" si="5"/>
        <v>1</v>
      </c>
    </row>
    <row r="30" spans="1:29" s="422" customFormat="1" ht="15">
      <c r="A30" s="419"/>
      <c r="B30" s="375" t="s">
        <v>1693</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1694</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1781</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1782</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1815</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1783</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1692</v>
      </c>
      <c r="Q35" s="1352" t="str">
        <f t="shared" si="11"/>
        <v>市政基础设施</v>
      </c>
      <c r="R35" s="705" t="s">
        <v>14</v>
      </c>
      <c r="S35" s="706">
        <f t="shared" si="12"/>
        <v>100</v>
      </c>
      <c r="T35" s="705" t="s">
        <v>14</v>
      </c>
      <c r="U35" s="706">
        <f t="shared" si="13"/>
        <v>100</v>
      </c>
      <c r="V35" s="705" t="s">
        <v>14</v>
      </c>
      <c r="W35" s="706">
        <f t="shared" si="14"/>
        <v>100</v>
      </c>
      <c r="X35" s="1355"/>
      <c r="Y35" s="3673" t="s">
        <v>1692</v>
      </c>
      <c r="Z35" s="1356" t="str">
        <f t="shared" si="15"/>
        <v>市政基础设施</v>
      </c>
      <c r="AA35" s="1353">
        <f t="shared" si="3"/>
        <v>1</v>
      </c>
      <c r="AB35" s="1353">
        <f t="shared" si="4"/>
        <v>1</v>
      </c>
      <c r="AC35" s="1353">
        <f t="shared" si="5"/>
        <v>1</v>
      </c>
    </row>
    <row r="36" spans="1:29" ht="15">
      <c r="A36" s="423"/>
      <c r="B36" s="375" t="s">
        <v>1788</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1824</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1704</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1789</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1790</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1794</v>
      </c>
      <c r="B51" s="690"/>
      <c r="C51" s="695"/>
      <c r="D51" s="695"/>
      <c r="E51" s="695"/>
      <c r="F51" s="696"/>
      <c r="G51" s="696"/>
      <c r="H51" s="695"/>
      <c r="I51" s="695"/>
      <c r="J51" s="695"/>
      <c r="K51" s="941"/>
      <c r="L51" s="942"/>
      <c r="M51" s="940"/>
      <c r="N51" s="940"/>
      <c r="O51" s="940"/>
      <c r="P51" s="452"/>
      <c r="Q51" s="453"/>
    </row>
    <row r="52" spans="1:17" s="457" customFormat="1" ht="15">
      <c r="A52" s="454" t="s">
        <v>1675</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1712</v>
      </c>
      <c r="B54" s="465"/>
      <c r="C54" s="466"/>
      <c r="D54" s="467"/>
      <c r="E54" s="467"/>
      <c r="F54" s="467"/>
      <c r="G54" s="467"/>
      <c r="H54" s="467"/>
      <c r="I54" s="467"/>
      <c r="J54" s="467"/>
      <c r="K54" s="467"/>
      <c r="L54" s="467"/>
      <c r="M54" s="468"/>
      <c r="N54" s="2770"/>
      <c r="O54" s="2771"/>
      <c r="P54" s="453"/>
      <c r="Q54" s="453"/>
    </row>
    <row r="55" spans="1:17" s="108" customFormat="1" ht="15">
      <c r="A55" s="470" t="s">
        <v>1677</v>
      </c>
      <c r="B55" s="459"/>
      <c r="C55" s="471" t="s">
        <v>1772</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1715</v>
      </c>
      <c r="B57" s="477" t="s">
        <v>1681</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1684</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1685</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1686</v>
      </c>
      <c r="B70" s="477" t="s">
        <v>1825</v>
      </c>
      <c r="C70" s="522" t="s">
        <v>1717</v>
      </c>
      <c r="D70" s="522" t="s">
        <v>1718</v>
      </c>
      <c r="E70" s="522" t="s">
        <v>1719</v>
      </c>
      <c r="F70" s="522" t="s">
        <v>1720</v>
      </c>
      <c r="G70" s="522" t="s">
        <v>1721</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1722</v>
      </c>
      <c r="C72" s="527" t="s">
        <v>1717</v>
      </c>
      <c r="D72" s="527" t="s">
        <v>1718</v>
      </c>
      <c r="E72" s="527" t="s">
        <v>1719</v>
      </c>
      <c r="F72" s="527" t="s">
        <v>1720</v>
      </c>
      <c r="G72" s="527" t="s">
        <v>1721</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1723</v>
      </c>
      <c r="C74" s="527" t="s">
        <v>1717</v>
      </c>
      <c r="D74" s="527" t="s">
        <v>1718</v>
      </c>
      <c r="E74" s="527" t="s">
        <v>1719</v>
      </c>
      <c r="F74" s="527" t="s">
        <v>1720</v>
      </c>
      <c r="G74" s="527" t="s">
        <v>1721</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1809</v>
      </c>
      <c r="C76" s="608" t="s">
        <v>1795</v>
      </c>
      <c r="D76" s="608" t="s">
        <v>1796</v>
      </c>
      <c r="E76" s="608" t="s">
        <v>1797</v>
      </c>
      <c r="F76" s="608" t="s">
        <v>1798</v>
      </c>
      <c r="G76" s="608" t="s">
        <v>1799</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1818</v>
      </c>
      <c r="C78" s="527" t="s">
        <v>1717</v>
      </c>
      <c r="D78" s="527" t="s">
        <v>1718</v>
      </c>
      <c r="E78" s="527" t="s">
        <v>1719</v>
      </c>
      <c r="F78" s="527" t="s">
        <v>1720</v>
      </c>
      <c r="G78" s="527" t="s">
        <v>1721</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1690</v>
      </c>
      <c r="B88" s="477" t="s">
        <v>1732</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1733</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1734</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1736</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1737</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1738</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1740</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1826</v>
      </c>
      <c r="C106" s="527" t="s">
        <v>1717</v>
      </c>
      <c r="D106" s="527" t="s">
        <v>1718</v>
      </c>
      <c r="E106" s="527" t="s">
        <v>1719</v>
      </c>
      <c r="F106" s="527" t="s">
        <v>1720</v>
      </c>
      <c r="G106" s="527" t="s">
        <v>1721</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估价对象为北京市房地产，为所有。根据《国有土地使用证》[]，估价对象（分摊）出让国有建设用地使用权面积为0平方米，建筑面积为104671.29平方米。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估价对象为北京市房地产,属开发建设的，该项目尚在开发建设中。根据《国有土地使用证》[]，估价对象（分摊）出让国有建设用地使用权面积为0平方米，规划建筑面积为104671.29平方米。</v>
      </c>
    </row>
    <row r="11" spans="1:1" ht="76.5">
      <c r="A11" s="1483" t="s">
        <v>899</v>
      </c>
    </row>
    <row r="12" spans="1:1" ht="18.75">
      <c r="A12" s="1481" t="s">
        <v>900</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901</v>
      </c>
    </row>
    <row r="15" spans="1:1" ht="18">
      <c r="A15" s="1486" t="str">
        <f>TEXT(项目基本情况!D3,"yyyy年m月d日;;")&amp;IF(项目基本情况!D3=项目基本情况!B3,"（评估专业人员实地查勘之日）","")</f>
        <v>2024年5月9日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892</v>
      </c>
    </row>
    <row r="24" spans="1:1" ht="18">
      <c r="A24" s="1487" t="str">
        <f>"本次评估采用的主估价方法为"&amp;结果表!K4&amp;"和"&amp;结果表!L4&amp;"。"</f>
        <v>本次评估采用的主估价方法为成本法和收益法。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1827</v>
      </c>
      <c r="B1" s="1223" t="s">
        <v>3332</v>
      </c>
      <c r="C1" s="1224" t="s">
        <v>1658</v>
      </c>
      <c r="D1" s="1225"/>
      <c r="E1" s="3433"/>
      <c r="F1" s="1879"/>
      <c r="G1" s="1227" t="s">
        <v>1763</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1764</v>
      </c>
      <c r="D3" s="353">
        <f>SUMIF('数据-汇总表'!$C19:$C33,D1,'数据-汇总表'!$E19:$E33)</f>
        <v>0</v>
      </c>
      <c r="E3" s="354" t="s">
        <v>1828</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1765</v>
      </c>
      <c r="B4" s="356"/>
      <c r="C4" s="3681" t="s">
        <v>1766</v>
      </c>
      <c r="D4" s="3682"/>
      <c r="E4" s="3683" t="s">
        <v>1767</v>
      </c>
      <c r="F4" s="3684"/>
      <c r="G4" s="3681" t="s">
        <v>1768</v>
      </c>
      <c r="H4" s="3682"/>
      <c r="I4" s="3681" t="s">
        <v>1769</v>
      </c>
      <c r="J4" s="3682"/>
      <c r="K4" s="559" t="s">
        <v>1770</v>
      </c>
      <c r="L4" s="2715"/>
      <c r="M4" s="2716"/>
      <c r="N4" s="2716"/>
      <c r="O4" s="2716"/>
      <c r="P4" s="3685" t="s">
        <v>1771</v>
      </c>
      <c r="Q4" s="3686"/>
      <c r="R4" s="3691" t="s">
        <v>1767</v>
      </c>
      <c r="S4" s="3692"/>
      <c r="T4" s="3691" t="s">
        <v>1768</v>
      </c>
      <c r="U4" s="3692"/>
      <c r="V4" s="3697" t="s">
        <v>1769</v>
      </c>
      <c r="W4" s="3697"/>
      <c r="X4" s="1355"/>
      <c r="Y4" s="3691" t="s">
        <v>1771</v>
      </c>
      <c r="Z4" s="3692"/>
      <c r="AA4" s="3678" t="s">
        <v>1767</v>
      </c>
      <c r="AB4" s="3679" t="s">
        <v>1768</v>
      </c>
      <c r="AC4" s="3678" t="s">
        <v>1769</v>
      </c>
    </row>
    <row r="5" spans="1:29" ht="15">
      <c r="A5" s="358"/>
      <c r="B5" s="359"/>
      <c r="C5" s="3700" t="s">
        <v>1669</v>
      </c>
      <c r="D5" s="3701"/>
      <c r="E5" s="3707" t="s">
        <v>1670</v>
      </c>
      <c r="F5" s="3708"/>
      <c r="G5" s="3700" t="s">
        <v>1671</v>
      </c>
      <c r="H5" s="3701"/>
      <c r="I5" s="3700" t="s">
        <v>1672</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1673</v>
      </c>
      <c r="D6" s="3699"/>
      <c r="E6" s="3705" t="s">
        <v>1673</v>
      </c>
      <c r="F6" s="3706"/>
      <c r="G6" s="3698" t="s">
        <v>1673</v>
      </c>
      <c r="H6" s="3699"/>
      <c r="I6" s="3698" t="s">
        <v>1673</v>
      </c>
      <c r="J6" s="3699"/>
      <c r="K6" s="559" t="s">
        <v>1674</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1675</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1676</v>
      </c>
      <c r="Q7" s="3704"/>
      <c r="R7" s="701" t="s">
        <v>14</v>
      </c>
      <c r="S7" s="702">
        <f t="shared" ref="S7:S14" si="0">F7</f>
        <v>0</v>
      </c>
      <c r="T7" s="701" t="s">
        <v>14</v>
      </c>
      <c r="U7" s="702">
        <f t="shared" ref="U7:U14" si="1">H7</f>
        <v>0</v>
      </c>
      <c r="V7" s="701" t="s">
        <v>14</v>
      </c>
      <c r="W7" s="702">
        <f t="shared" ref="W7:W14" si="2">J7</f>
        <v>0</v>
      </c>
      <c r="X7" s="703"/>
      <c r="Y7" s="3702" t="s">
        <v>1676</v>
      </c>
      <c r="Z7" s="3703"/>
      <c r="AA7" s="704" t="e">
        <f>D7/F7</f>
        <v>#DIV/0!</v>
      </c>
      <c r="AB7" s="704" t="e">
        <f>D7/H7</f>
        <v>#DIV/0!</v>
      </c>
      <c r="AC7" s="704" t="e">
        <f>D7/J7</f>
        <v>#DIV/0!</v>
      </c>
    </row>
    <row r="8" spans="1:29" s="108" customFormat="1" ht="15.75" thickBot="1">
      <c r="A8" s="362" t="s">
        <v>1677</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1679</v>
      </c>
      <c r="Q8" s="3703"/>
      <c r="R8" s="701" t="s">
        <v>14</v>
      </c>
      <c r="S8" s="702">
        <f t="shared" si="0"/>
        <v>100</v>
      </c>
      <c r="T8" s="701" t="s">
        <v>14</v>
      </c>
      <c r="U8" s="702">
        <f t="shared" si="1"/>
        <v>100</v>
      </c>
      <c r="V8" s="701" t="s">
        <v>14</v>
      </c>
      <c r="W8" s="702">
        <f t="shared" si="2"/>
        <v>100</v>
      </c>
      <c r="X8" s="703"/>
      <c r="Y8" s="3702" t="s">
        <v>1679</v>
      </c>
      <c r="Z8" s="3703"/>
      <c r="AA8" s="704">
        <f t="shared" ref="AA8:AA36" si="3">D8/F8</f>
        <v>1</v>
      </c>
      <c r="AB8" s="704">
        <f t="shared" ref="AB8:AB36" si="4">D8/H8</f>
        <v>1</v>
      </c>
      <c r="AC8" s="704">
        <f t="shared" ref="AC8:AC36" si="5">D8/J8</f>
        <v>1</v>
      </c>
    </row>
    <row r="9" spans="1:29" s="108" customFormat="1">
      <c r="A9" s="60" t="s">
        <v>1680</v>
      </c>
      <c r="B9" s="588" t="s">
        <v>1681</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1682</v>
      </c>
      <c r="Q9" s="1343" t="str">
        <f t="shared" ref="Q9:Q14" si="6">B9</f>
        <v>用途</v>
      </c>
      <c r="R9" s="701" t="s">
        <v>14</v>
      </c>
      <c r="S9" s="702">
        <f t="shared" si="0"/>
        <v>100</v>
      </c>
      <c r="T9" s="701" t="s">
        <v>14</v>
      </c>
      <c r="U9" s="702">
        <f t="shared" si="1"/>
        <v>100</v>
      </c>
      <c r="V9" s="701" t="s">
        <v>14</v>
      </c>
      <c r="W9" s="702">
        <f t="shared" si="2"/>
        <v>100</v>
      </c>
      <c r="X9" s="703"/>
      <c r="Y9" s="3541" t="s">
        <v>1683</v>
      </c>
      <c r="Z9" s="52" t="str">
        <f t="shared" ref="Z9:Z14" si="7">Q9</f>
        <v>用途</v>
      </c>
      <c r="AA9" s="704">
        <f t="shared" si="3"/>
        <v>1</v>
      </c>
      <c r="AB9" s="704">
        <f t="shared" si="4"/>
        <v>1</v>
      </c>
      <c r="AC9" s="704">
        <f t="shared" si="5"/>
        <v>1</v>
      </c>
    </row>
    <row r="10" spans="1:29" s="378" customFormat="1" ht="27">
      <c r="A10" s="589"/>
      <c r="B10" s="590" t="s">
        <v>1684</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1686</v>
      </c>
      <c r="B14" s="577" t="s">
        <v>1829</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1687</v>
      </c>
      <c r="Q14" s="1352" t="str">
        <f t="shared" si="6"/>
        <v>交通便捷度</v>
      </c>
      <c r="R14" s="705" t="s">
        <v>14</v>
      </c>
      <c r="S14" s="706">
        <f t="shared" si="0"/>
        <v>100</v>
      </c>
      <c r="T14" s="705" t="s">
        <v>14</v>
      </c>
      <c r="U14" s="706">
        <f t="shared" si="1"/>
        <v>100</v>
      </c>
      <c r="V14" s="705" t="s">
        <v>14</v>
      </c>
      <c r="W14" s="706">
        <f t="shared" si="2"/>
        <v>100</v>
      </c>
      <c r="X14" s="1355"/>
      <c r="Y14" s="3668" t="s">
        <v>1687</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1808</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1809</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1830</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1831</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1690</v>
      </c>
      <c r="B26" s="62" t="s">
        <v>1832</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1692</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1692</v>
      </c>
      <c r="Z26" s="1356" t="str">
        <f t="shared" ref="Z26:Z36" si="15">Q26</f>
        <v>配套类型</v>
      </c>
      <c r="AA26" s="1353" t="e">
        <f t="shared" si="3"/>
        <v>#DIV/0!</v>
      </c>
      <c r="AB26" s="1353" t="e">
        <f t="shared" si="4"/>
        <v>#DIV/0!</v>
      </c>
      <c r="AC26" s="1353" t="e">
        <f t="shared" si="5"/>
        <v>#DIV/0!</v>
      </c>
    </row>
    <row r="27" spans="1:29" s="422" customFormat="1" ht="15">
      <c r="A27" s="601"/>
      <c r="B27" s="602" t="s">
        <v>1833</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1834</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1835</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1836</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1837</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1838</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1692</v>
      </c>
      <c r="Q32" s="1352" t="str">
        <f t="shared" si="11"/>
        <v>车位类型</v>
      </c>
      <c r="R32" s="705" t="s">
        <v>14</v>
      </c>
      <c r="S32" s="706">
        <f t="shared" si="12"/>
        <v>100</v>
      </c>
      <c r="T32" s="705" t="s">
        <v>14</v>
      </c>
      <c r="U32" s="706">
        <f t="shared" si="13"/>
        <v>100</v>
      </c>
      <c r="V32" s="705" t="s">
        <v>14</v>
      </c>
      <c r="W32" s="706">
        <f t="shared" si="14"/>
        <v>100</v>
      </c>
      <c r="X32" s="1355"/>
      <c r="Y32" s="3673" t="s">
        <v>1692</v>
      </c>
      <c r="Z32" s="1356" t="str">
        <f t="shared" si="15"/>
        <v>车位类型</v>
      </c>
      <c r="AA32" s="1353">
        <f t="shared" si="3"/>
        <v>1</v>
      </c>
      <c r="AB32" s="1353">
        <f t="shared" si="4"/>
        <v>1</v>
      </c>
      <c r="AC32" s="1353">
        <f t="shared" si="5"/>
        <v>1</v>
      </c>
    </row>
    <row r="33" spans="1:29" ht="15">
      <c r="A33" s="604"/>
      <c r="B33" s="602" t="s">
        <v>1839</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1840</v>
      </c>
      <c r="B37" s="1973" t="s">
        <v>3353</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1841</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1842</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1843</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1844</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1845</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1846</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1847</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1712</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1677</v>
      </c>
      <c r="B51" s="459"/>
      <c r="C51" s="471" t="s">
        <v>1772</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1715</v>
      </c>
      <c r="B53" s="477" t="s">
        <v>1681</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1684</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1686</v>
      </c>
      <c r="B63" s="477" t="s">
        <v>1722</v>
      </c>
      <c r="C63" s="522" t="s">
        <v>1717</v>
      </c>
      <c r="D63" s="522" t="s">
        <v>1718</v>
      </c>
      <c r="E63" s="522" t="s">
        <v>1719</v>
      </c>
      <c r="F63" s="522" t="s">
        <v>1720</v>
      </c>
      <c r="G63" s="522" t="s">
        <v>1721</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1723</v>
      </c>
      <c r="C65" s="527" t="s">
        <v>1717</v>
      </c>
      <c r="D65" s="527" t="s">
        <v>1718</v>
      </c>
      <c r="E65" s="527" t="s">
        <v>1719</v>
      </c>
      <c r="F65" s="527" t="s">
        <v>1720</v>
      </c>
      <c r="G65" s="527" t="s">
        <v>1721</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1809</v>
      </c>
      <c r="C67" s="608" t="s">
        <v>1795</v>
      </c>
      <c r="D67" s="608" t="s">
        <v>1796</v>
      </c>
      <c r="E67" s="608" t="s">
        <v>1797</v>
      </c>
      <c r="F67" s="608" t="s">
        <v>1798</v>
      </c>
      <c r="G67" s="608" t="s">
        <v>1799</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1729</v>
      </c>
      <c r="C69" s="527" t="s">
        <v>1717</v>
      </c>
      <c r="D69" s="527" t="s">
        <v>1718</v>
      </c>
      <c r="E69" s="527" t="s">
        <v>1719</v>
      </c>
      <c r="F69" s="527" t="s">
        <v>1720</v>
      </c>
      <c r="G69" s="527" t="s">
        <v>1721</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1848</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1690</v>
      </c>
      <c r="B79" s="477" t="s">
        <v>1849</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1850</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1736</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1851</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1852</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1853</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1854</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1855</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1827</v>
      </c>
      <c r="B1" s="1223" t="s">
        <v>3333</v>
      </c>
      <c r="C1" s="1224" t="s">
        <v>1658</v>
      </c>
      <c r="D1" s="1225"/>
      <c r="E1" s="3433"/>
      <c r="F1" s="1879"/>
      <c r="G1" s="1235" t="s">
        <v>1763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1764</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1765</v>
      </c>
      <c r="B4" s="356"/>
      <c r="C4" s="3681" t="s">
        <v>1766</v>
      </c>
      <c r="D4" s="3682"/>
      <c r="E4" s="3683" t="s">
        <v>1767</v>
      </c>
      <c r="F4" s="3684"/>
      <c r="G4" s="3681" t="s">
        <v>1768</v>
      </c>
      <c r="H4" s="3682"/>
      <c r="I4" s="3681" t="s">
        <v>1769</v>
      </c>
      <c r="J4" s="3682"/>
      <c r="K4" s="559" t="s">
        <v>1770</v>
      </c>
      <c r="L4" s="2715"/>
      <c r="M4" s="2716"/>
      <c r="N4" s="2716"/>
      <c r="O4" s="2716"/>
      <c r="P4" s="3685" t="s">
        <v>1771</v>
      </c>
      <c r="Q4" s="3686"/>
      <c r="R4" s="3691" t="s">
        <v>1767</v>
      </c>
      <c r="S4" s="3692"/>
      <c r="T4" s="3691" t="s">
        <v>1768</v>
      </c>
      <c r="U4" s="3692"/>
      <c r="V4" s="3697" t="s">
        <v>1769</v>
      </c>
      <c r="W4" s="3697"/>
      <c r="X4" s="1355"/>
      <c r="Y4" s="3691" t="s">
        <v>1771</v>
      </c>
      <c r="Z4" s="3692"/>
      <c r="AA4" s="3678" t="s">
        <v>1767</v>
      </c>
      <c r="AB4" s="3679" t="s">
        <v>1768</v>
      </c>
      <c r="AC4" s="3678" t="s">
        <v>1769</v>
      </c>
    </row>
    <row r="5" spans="1:29" ht="15">
      <c r="A5" s="358"/>
      <c r="B5" s="359"/>
      <c r="C5" s="3700" t="s">
        <v>1669</v>
      </c>
      <c r="D5" s="3701"/>
      <c r="E5" s="3707" t="s">
        <v>1670</v>
      </c>
      <c r="F5" s="3708"/>
      <c r="G5" s="3700" t="s">
        <v>1671</v>
      </c>
      <c r="H5" s="3701"/>
      <c r="I5" s="3700" t="s">
        <v>1672</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1673</v>
      </c>
      <c r="D6" s="3699"/>
      <c r="E6" s="3705" t="s">
        <v>1673</v>
      </c>
      <c r="F6" s="3706"/>
      <c r="G6" s="3698" t="s">
        <v>1673</v>
      </c>
      <c r="H6" s="3699"/>
      <c r="I6" s="3698" t="s">
        <v>1673</v>
      </c>
      <c r="J6" s="3699"/>
      <c r="K6" s="559" t="s">
        <v>1674</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1675</v>
      </c>
      <c r="B7" s="363"/>
      <c r="C7" s="364">
        <f>'数据-取费表'!B2</f>
        <v>45421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1676</v>
      </c>
      <c r="Q7" s="3704"/>
      <c r="R7" s="701" t="s">
        <v>14</v>
      </c>
      <c r="S7" s="702">
        <f t="shared" ref="S7:S14" si="0">F7</f>
        <v>0</v>
      </c>
      <c r="T7" s="701" t="s">
        <v>14</v>
      </c>
      <c r="U7" s="702">
        <f t="shared" ref="U7:U14" si="1">H7</f>
        <v>0</v>
      </c>
      <c r="V7" s="701" t="s">
        <v>14</v>
      </c>
      <c r="W7" s="702">
        <f t="shared" ref="W7:W14" si="2">J7</f>
        <v>0</v>
      </c>
      <c r="X7" s="703"/>
      <c r="Y7" s="3702" t="s">
        <v>1676</v>
      </c>
      <c r="Z7" s="3703"/>
      <c r="AA7" s="704" t="e">
        <f>D7/F7</f>
        <v>#DIV/0!</v>
      </c>
      <c r="AB7" s="704" t="e">
        <f>D7/H7</f>
        <v>#DIV/0!</v>
      </c>
      <c r="AC7" s="704" t="e">
        <f>D7/J7</f>
        <v>#DIV/0!</v>
      </c>
    </row>
    <row r="8" spans="1:29" s="108" customFormat="1" ht="15.75" thickBot="1">
      <c r="A8" s="362" t="s">
        <v>1677</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1679</v>
      </c>
      <c r="Q8" s="3703"/>
      <c r="R8" s="701" t="s">
        <v>14</v>
      </c>
      <c r="S8" s="702">
        <f t="shared" si="0"/>
        <v>100</v>
      </c>
      <c r="T8" s="701" t="s">
        <v>14</v>
      </c>
      <c r="U8" s="702">
        <f t="shared" si="1"/>
        <v>100</v>
      </c>
      <c r="V8" s="701" t="s">
        <v>14</v>
      </c>
      <c r="W8" s="702">
        <f t="shared" si="2"/>
        <v>100</v>
      </c>
      <c r="X8" s="703"/>
      <c r="Y8" s="3702" t="s">
        <v>1679</v>
      </c>
      <c r="Z8" s="3703"/>
      <c r="AA8" s="704">
        <f t="shared" ref="AA8:AA34" si="3">D8/F8</f>
        <v>1</v>
      </c>
      <c r="AB8" s="704">
        <f t="shared" ref="AB8:AB34" si="4">D8/H8</f>
        <v>1</v>
      </c>
      <c r="AC8" s="704">
        <f t="shared" ref="AC8:AC34" si="5">D8/J8</f>
        <v>1</v>
      </c>
    </row>
    <row r="9" spans="1:29" s="108" customFormat="1">
      <c r="A9" s="369" t="s">
        <v>1680</v>
      </c>
      <c r="B9" s="63" t="s">
        <v>1681</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1682</v>
      </c>
      <c r="Q9" s="1343" t="str">
        <f t="shared" ref="Q9:Q14" si="6">B9</f>
        <v>用途</v>
      </c>
      <c r="R9" s="701" t="s">
        <v>14</v>
      </c>
      <c r="S9" s="702">
        <f t="shared" si="0"/>
        <v>100</v>
      </c>
      <c r="T9" s="701" t="s">
        <v>14</v>
      </c>
      <c r="U9" s="702">
        <f t="shared" si="1"/>
        <v>100</v>
      </c>
      <c r="V9" s="701" t="s">
        <v>14</v>
      </c>
      <c r="W9" s="702">
        <f t="shared" si="2"/>
        <v>100</v>
      </c>
      <c r="X9" s="703"/>
      <c r="Y9" s="3541" t="s">
        <v>1683</v>
      </c>
      <c r="Z9" s="52" t="str">
        <f t="shared" ref="Z9:Z14" si="7">Q9</f>
        <v>用途</v>
      </c>
      <c r="AA9" s="704">
        <f t="shared" si="3"/>
        <v>1</v>
      </c>
      <c r="AB9" s="704">
        <f t="shared" si="4"/>
        <v>1</v>
      </c>
      <c r="AC9" s="704">
        <f t="shared" si="5"/>
        <v>1</v>
      </c>
    </row>
    <row r="10" spans="1:29" s="378" customFormat="1" ht="27">
      <c r="A10" s="374"/>
      <c r="B10" s="375" t="s">
        <v>1684</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1686</v>
      </c>
      <c r="B14" s="61" t="s">
        <v>1829</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1687</v>
      </c>
      <c r="Q14" s="1352" t="str">
        <f t="shared" si="6"/>
        <v>交通便捷度</v>
      </c>
      <c r="R14" s="705" t="s">
        <v>14</v>
      </c>
      <c r="S14" s="706">
        <f t="shared" si="0"/>
        <v>100</v>
      </c>
      <c r="T14" s="705" t="s">
        <v>14</v>
      </c>
      <c r="U14" s="706">
        <f t="shared" si="1"/>
        <v>100</v>
      </c>
      <c r="V14" s="705" t="s">
        <v>14</v>
      </c>
      <c r="W14" s="706">
        <f t="shared" si="2"/>
        <v>100</v>
      </c>
      <c r="X14" s="1355"/>
      <c r="Y14" s="3668" t="s">
        <v>1687</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1808</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1809</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1830</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1831</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1690</v>
      </c>
      <c r="B26" s="63" t="s">
        <v>1834</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1692</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1692</v>
      </c>
      <c r="Z26" s="1356" t="str">
        <f t="shared" ref="Z26:Z34" si="15">Q26</f>
        <v>公共部分装修</v>
      </c>
      <c r="AA26" s="1353">
        <f t="shared" si="3"/>
        <v>1</v>
      </c>
      <c r="AB26" s="1353">
        <f t="shared" si="4"/>
        <v>1</v>
      </c>
      <c r="AC26" s="1353">
        <f t="shared" si="5"/>
        <v>1</v>
      </c>
    </row>
    <row r="27" spans="1:29" s="422" customFormat="1" ht="15">
      <c r="A27" s="419"/>
      <c r="B27" s="375" t="s">
        <v>1835</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1836</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1856</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1857</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1858</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1692</v>
      </c>
      <c r="Q32" s="1352">
        <f t="shared" si="11"/>
        <v>111</v>
      </c>
      <c r="R32" s="705" t="s">
        <v>14</v>
      </c>
      <c r="S32" s="706">
        <f t="shared" si="12"/>
        <v>100</v>
      </c>
      <c r="T32" s="705" t="s">
        <v>14</v>
      </c>
      <c r="U32" s="706">
        <f t="shared" si="13"/>
        <v>100</v>
      </c>
      <c r="V32" s="705" t="s">
        <v>14</v>
      </c>
      <c r="W32" s="706">
        <f t="shared" si="14"/>
        <v>100</v>
      </c>
      <c r="X32" s="1355"/>
      <c r="Y32" s="3673" t="s">
        <v>1692</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1704</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1789</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1790</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1791</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1792</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1793</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1794</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1675</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1712</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1677</v>
      </c>
      <c r="B49" s="459"/>
      <c r="C49" s="471" t="s">
        <v>1772</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1715</v>
      </c>
      <c r="B51" s="477" t="s">
        <v>1681</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1684</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1686</v>
      </c>
      <c r="B61" s="477" t="s">
        <v>1722</v>
      </c>
      <c r="C61" s="522" t="s">
        <v>1717</v>
      </c>
      <c r="D61" s="522" t="s">
        <v>1718</v>
      </c>
      <c r="E61" s="522" t="s">
        <v>1719</v>
      </c>
      <c r="F61" s="522" t="s">
        <v>1720</v>
      </c>
      <c r="G61" s="522" t="s">
        <v>1721</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1859</v>
      </c>
      <c r="C63" s="527" t="s">
        <v>1717</v>
      </c>
      <c r="D63" s="527" t="s">
        <v>1718</v>
      </c>
      <c r="E63" s="527" t="s">
        <v>1719</v>
      </c>
      <c r="F63" s="527" t="s">
        <v>1720</v>
      </c>
      <c r="G63" s="527" t="s">
        <v>1721</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1809</v>
      </c>
      <c r="C65" s="608" t="s">
        <v>1795</v>
      </c>
      <c r="D65" s="608" t="s">
        <v>1796</v>
      </c>
      <c r="E65" s="608" t="s">
        <v>1797</v>
      </c>
      <c r="F65" s="608" t="s">
        <v>1798</v>
      </c>
      <c r="G65" s="608" t="s">
        <v>1799</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1729</v>
      </c>
      <c r="C67" s="527" t="s">
        <v>1717</v>
      </c>
      <c r="D67" s="527" t="s">
        <v>1718</v>
      </c>
      <c r="E67" s="527" t="s">
        <v>1719</v>
      </c>
      <c r="F67" s="527" t="s">
        <v>1720</v>
      </c>
      <c r="G67" s="527" t="s">
        <v>1721</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1848</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1690</v>
      </c>
      <c r="B77" s="477" t="s">
        <v>1736</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1851</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1852</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1860</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1861</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1862</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1863</v>
      </c>
      <c r="B1" s="349"/>
      <c r="C1" s="350" t="s">
        <v>1864</v>
      </c>
      <c r="D1" s="686"/>
      <c r="E1" s="686"/>
      <c r="F1" s="685" t="s">
        <v>1763</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1865</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1765</v>
      </c>
      <c r="B4" s="356"/>
      <c r="C4" s="3681" t="s">
        <v>1766</v>
      </c>
      <c r="D4" s="3682"/>
      <c r="E4" s="3683" t="s">
        <v>1767</v>
      </c>
      <c r="F4" s="3684"/>
      <c r="G4" s="3681" t="s">
        <v>1768</v>
      </c>
      <c r="H4" s="3682"/>
      <c r="I4" s="3681" t="s">
        <v>1769</v>
      </c>
      <c r="J4" s="3682"/>
      <c r="K4" s="559" t="s">
        <v>1770</v>
      </c>
      <c r="L4" s="2715"/>
      <c r="M4" s="2716"/>
      <c r="N4" s="2716"/>
      <c r="O4" s="2716"/>
      <c r="P4" s="3685" t="s">
        <v>1771</v>
      </c>
      <c r="Q4" s="3686"/>
      <c r="R4" s="3691" t="s">
        <v>1767</v>
      </c>
      <c r="S4" s="3692"/>
      <c r="T4" s="3691" t="s">
        <v>1768</v>
      </c>
      <c r="U4" s="3692"/>
      <c r="V4" s="3697" t="s">
        <v>1769</v>
      </c>
      <c r="W4" s="3697"/>
      <c r="X4" s="1355"/>
      <c r="Y4" s="3691" t="s">
        <v>1771</v>
      </c>
      <c r="Z4" s="3692"/>
      <c r="AA4" s="3678" t="s">
        <v>1767</v>
      </c>
      <c r="AB4" s="3679" t="s">
        <v>1768</v>
      </c>
      <c r="AC4" s="3678" t="s">
        <v>1769</v>
      </c>
    </row>
    <row r="5" spans="1:30" ht="15">
      <c r="A5" s="358"/>
      <c r="B5" s="359"/>
      <c r="C5" s="3700" t="s">
        <v>1669</v>
      </c>
      <c r="D5" s="3701"/>
      <c r="E5" s="3707" t="s">
        <v>1670</v>
      </c>
      <c r="F5" s="3708"/>
      <c r="G5" s="3700" t="s">
        <v>1671</v>
      </c>
      <c r="H5" s="3701"/>
      <c r="I5" s="3700" t="s">
        <v>1672</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1673</v>
      </c>
      <c r="D6" s="3699"/>
      <c r="E6" s="3705" t="s">
        <v>1673</v>
      </c>
      <c r="F6" s="3706"/>
      <c r="G6" s="3698" t="s">
        <v>1673</v>
      </c>
      <c r="H6" s="3699"/>
      <c r="I6" s="3698" t="s">
        <v>1673</v>
      </c>
      <c r="J6" s="3699"/>
      <c r="K6" s="559" t="s">
        <v>1674</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1675</v>
      </c>
      <c r="B7" s="363"/>
      <c r="C7" s="364">
        <f>'数据-取费表'!B2</f>
        <v>45421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1676</v>
      </c>
      <c r="Q7" s="3704"/>
      <c r="R7" s="701" t="s">
        <v>14</v>
      </c>
      <c r="S7" s="702">
        <f t="shared" ref="S7:S15" si="0">F7</f>
        <v>0</v>
      </c>
      <c r="T7" s="701" t="s">
        <v>14</v>
      </c>
      <c r="U7" s="702">
        <f t="shared" ref="U7:U15" si="1">H7</f>
        <v>0</v>
      </c>
      <c r="V7" s="701" t="s">
        <v>14</v>
      </c>
      <c r="W7" s="702">
        <f t="shared" ref="W7:W15" si="2">J7</f>
        <v>0</v>
      </c>
      <c r="X7" s="703"/>
      <c r="Y7" s="3702" t="s">
        <v>1676</v>
      </c>
      <c r="Z7" s="3703"/>
      <c r="AA7" s="704" t="e">
        <f>D7/F7</f>
        <v>#DIV/0!</v>
      </c>
      <c r="AB7" s="704" t="e">
        <f>D7/H7</f>
        <v>#DIV/0!</v>
      </c>
      <c r="AC7" s="704" t="e">
        <f>D7/J7</f>
        <v>#DIV/0!</v>
      </c>
    </row>
    <row r="8" spans="1:30" s="108" customFormat="1" ht="15.75" thickBot="1">
      <c r="A8" s="362" t="s">
        <v>1677</v>
      </c>
      <c r="B8" s="363"/>
      <c r="C8" s="368" t="s">
        <v>1678</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1679</v>
      </c>
      <c r="Q8" s="3703"/>
      <c r="R8" s="701" t="s">
        <v>14</v>
      </c>
      <c r="S8" s="702">
        <f t="shared" si="0"/>
        <v>0</v>
      </c>
      <c r="T8" s="701" t="s">
        <v>14</v>
      </c>
      <c r="U8" s="702">
        <f t="shared" si="1"/>
        <v>0</v>
      </c>
      <c r="V8" s="701" t="s">
        <v>14</v>
      </c>
      <c r="W8" s="702">
        <f t="shared" si="2"/>
        <v>0</v>
      </c>
      <c r="X8" s="703"/>
      <c r="Y8" s="3702" t="s">
        <v>1679</v>
      </c>
      <c r="Z8" s="3703"/>
      <c r="AA8" s="704" t="e">
        <f t="shared" ref="AA8:AA45" si="3">D8/F8</f>
        <v>#DIV/0!</v>
      </c>
      <c r="AB8" s="704" t="e">
        <f t="shared" ref="AB8:AB45" si="4">D8/H8</f>
        <v>#DIV/0!</v>
      </c>
      <c r="AC8" s="704" t="e">
        <f t="shared" ref="AC8:AC45" si="5">D8/J8</f>
        <v>#DIV/0!</v>
      </c>
    </row>
    <row r="9" spans="1:30" s="108" customFormat="1">
      <c r="A9" s="369" t="s">
        <v>1680</v>
      </c>
      <c r="B9" s="63" t="s">
        <v>1681</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1682</v>
      </c>
      <c r="Q9" s="1343" t="str">
        <f t="shared" ref="Q9:Q15" si="6">B9</f>
        <v>用途</v>
      </c>
      <c r="R9" s="701" t="s">
        <v>14</v>
      </c>
      <c r="S9" s="702">
        <f t="shared" si="0"/>
        <v>100</v>
      </c>
      <c r="T9" s="701" t="s">
        <v>14</v>
      </c>
      <c r="U9" s="702">
        <f t="shared" si="1"/>
        <v>100</v>
      </c>
      <c r="V9" s="701" t="s">
        <v>14</v>
      </c>
      <c r="W9" s="702">
        <f t="shared" si="2"/>
        <v>100</v>
      </c>
      <c r="X9" s="703"/>
      <c r="Y9" s="3541" t="s">
        <v>1683</v>
      </c>
      <c r="Z9" s="52" t="str">
        <f t="shared" ref="Z9:Z15" si="7">Q9</f>
        <v>用途</v>
      </c>
      <c r="AA9" s="704">
        <f t="shared" si="3"/>
        <v>1</v>
      </c>
      <c r="AB9" s="704">
        <f t="shared" si="4"/>
        <v>1</v>
      </c>
      <c r="AC9" s="704">
        <f t="shared" si="5"/>
        <v>1</v>
      </c>
    </row>
    <row r="10" spans="1:30" s="378" customFormat="1" ht="27">
      <c r="A10" s="374"/>
      <c r="B10" s="375" t="s">
        <v>1684</v>
      </c>
      <c r="C10" s="383"/>
      <c r="D10" s="127">
        <v>100</v>
      </c>
      <c r="E10" s="416"/>
      <c r="F10" s="127">
        <f>ROUND(100/'数据-取费表'!G16,0)</f>
        <v>102</v>
      </c>
      <c r="G10" s="414"/>
      <c r="H10" s="127">
        <f>ROUND(100/'数据-取费表'!G16,0)</f>
        <v>102</v>
      </c>
      <c r="I10" s="414"/>
      <c r="J10" s="127">
        <f>ROUND(100/'数据-取费表'!G16,0)</f>
        <v>102</v>
      </c>
      <c r="K10" s="620"/>
      <c r="L10" s="2719"/>
      <c r="M10" s="2720"/>
      <c r="N10" s="2720"/>
      <c r="O10" s="2773"/>
      <c r="P10" s="3666"/>
      <c r="Q10" s="1343" t="str">
        <f t="shared" si="6"/>
        <v>土地使用年限（年）</v>
      </c>
      <c r="R10" s="701" t="s">
        <v>14</v>
      </c>
      <c r="S10" s="702">
        <f t="shared" si="0"/>
        <v>102</v>
      </c>
      <c r="T10" s="701" t="s">
        <v>14</v>
      </c>
      <c r="U10" s="702">
        <f t="shared" si="1"/>
        <v>102</v>
      </c>
      <c r="V10" s="701" t="s">
        <v>14</v>
      </c>
      <c r="W10" s="702">
        <f t="shared" si="2"/>
        <v>102</v>
      </c>
      <c r="X10" s="703"/>
      <c r="Y10" s="3541"/>
      <c r="Z10" s="52" t="str">
        <f t="shared" si="7"/>
        <v>土地使用年限（年）</v>
      </c>
      <c r="AA10" s="704">
        <f t="shared" si="3"/>
        <v>0.98039215686274506</v>
      </c>
      <c r="AB10" s="704">
        <f t="shared" si="4"/>
        <v>0.98039215686274506</v>
      </c>
      <c r="AC10" s="704">
        <f t="shared" si="5"/>
        <v>0.98039215686274506</v>
      </c>
    </row>
    <row r="11" spans="1:30" ht="15">
      <c r="A11" s="379"/>
      <c r="B11" s="375" t="s">
        <v>1685</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1866</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1686</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1687</v>
      </c>
      <c r="Q15" s="1352" t="str">
        <f t="shared" si="6"/>
        <v>居住社区成熟度</v>
      </c>
      <c r="R15" s="705" t="s">
        <v>14</v>
      </c>
      <c r="S15" s="706">
        <f t="shared" si="0"/>
        <v>100</v>
      </c>
      <c r="T15" s="705" t="s">
        <v>14</v>
      </c>
      <c r="U15" s="706">
        <f t="shared" si="1"/>
        <v>100</v>
      </c>
      <c r="V15" s="705" t="s">
        <v>14</v>
      </c>
      <c r="W15" s="706">
        <f t="shared" si="2"/>
        <v>100</v>
      </c>
      <c r="X15" s="1355"/>
      <c r="Y15" s="3668" t="s">
        <v>1687</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1773</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1807</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1829</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1867</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1868</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1774</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1775</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1776</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1811</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1869</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1692</v>
      </c>
      <c r="Q36" s="1352">
        <f t="shared" si="8"/>
        <v>111</v>
      </c>
      <c r="R36" s="705" t="s">
        <v>14</v>
      </c>
      <c r="S36" s="706">
        <f t="shared" si="10"/>
        <v>100</v>
      </c>
      <c r="T36" s="705" t="s">
        <v>14</v>
      </c>
      <c r="U36" s="706">
        <f t="shared" si="11"/>
        <v>100</v>
      </c>
      <c r="V36" s="705" t="s">
        <v>14</v>
      </c>
      <c r="W36" s="706">
        <f t="shared" si="12"/>
        <v>100</v>
      </c>
      <c r="X36" s="1355"/>
      <c r="Y36" s="3673" t="s">
        <v>1692</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1690</v>
      </c>
      <c r="B38" s="407" t="s">
        <v>1870</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1871</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1872</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1873</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1874</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1692</v>
      </c>
      <c r="Q42" s="1352" t="str">
        <f t="shared" si="14"/>
        <v>工程地质条件</v>
      </c>
      <c r="R42" s="705" t="s">
        <v>14</v>
      </c>
      <c r="S42" s="706">
        <f t="shared" si="10"/>
        <v>100</v>
      </c>
      <c r="T42" s="705" t="s">
        <v>14</v>
      </c>
      <c r="U42" s="706">
        <f t="shared" si="11"/>
        <v>100</v>
      </c>
      <c r="V42" s="705" t="s">
        <v>14</v>
      </c>
      <c r="W42" s="706">
        <f t="shared" si="12"/>
        <v>100</v>
      </c>
      <c r="X42" s="1355"/>
      <c r="Y42" s="3673" t="s">
        <v>1692</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1840</v>
      </c>
      <c r="B46" s="1982" t="s">
        <v>1875</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1789</v>
      </c>
      <c r="B47" s="631"/>
      <c r="C47" s="440" t="e">
        <f>R48</f>
        <v>#DIV/0!</v>
      </c>
      <c r="D47" s="2317" t="s">
        <v>2134</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1876</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1791</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1792</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1793</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1877</v>
      </c>
      <c r="B55" s="633" t="s">
        <v>1878</v>
      </c>
      <c r="C55" s="1983" t="s">
        <v>1879</v>
      </c>
      <c r="D55" s="1984" t="s">
        <v>1880</v>
      </c>
      <c r="E55" s="634" t="s">
        <v>1881</v>
      </c>
      <c r="F55" s="890" t="s">
        <v>1882</v>
      </c>
      <c r="G55" s="3681" t="s">
        <v>1883</v>
      </c>
      <c r="H55" s="3728"/>
      <c r="I55" s="135" t="s">
        <v>1884</v>
      </c>
      <c r="J55" s="1985">
        <f>项目基本情况!F35</f>
        <v>0</v>
      </c>
      <c r="K55" s="1986" t="s">
        <v>1885</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1886</v>
      </c>
      <c r="B56" s="637" t="e">
        <f>C48</f>
        <v>#DIV/0!</v>
      </c>
      <c r="C56" s="638">
        <v>1</v>
      </c>
      <c r="D56" s="944">
        <v>1</v>
      </c>
      <c r="E56" s="638">
        <f>'数据-汇总表'!E8+'数据-汇总表'!E9</f>
        <v>104671.29</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1887</v>
      </c>
      <c r="B57" s="218" t="e">
        <f>ROUND($C$48*C57*D57,0)</f>
        <v>#DIV/0!</v>
      </c>
      <c r="C57" s="171">
        <f t="shared" ref="C57:C64" si="16">IF($C$55="北京市系数",I57,J57)</f>
        <v>0</v>
      </c>
      <c r="D57" s="945">
        <v>0.25</v>
      </c>
      <c r="E57" s="642"/>
      <c r="F57" s="886" t="e">
        <f t="shared" si="15"/>
        <v>#DIV/0!</v>
      </c>
      <c r="G57" s="3006" t="s">
        <v>1888</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1889</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1890</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1891</v>
      </c>
      <c r="B60" s="218" t="e">
        <f t="shared" si="17"/>
        <v>#DIV/0!</v>
      </c>
      <c r="C60" s="171">
        <f t="shared" si="16"/>
        <v>0</v>
      </c>
      <c r="D60" s="945">
        <v>0.25</v>
      </c>
      <c r="E60" s="217">
        <f>'数据-汇总表'!E11</f>
        <v>0</v>
      </c>
      <c r="F60" s="886" t="e">
        <f t="shared" si="15"/>
        <v>#DIV/0!</v>
      </c>
      <c r="G60" s="1987" t="s">
        <v>1892</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1893</v>
      </c>
      <c r="B61" s="218" t="e">
        <f t="shared" si="17"/>
        <v>#DIV/0!</v>
      </c>
      <c r="C61" s="171">
        <f t="shared" si="16"/>
        <v>0</v>
      </c>
      <c r="D61" s="945">
        <v>0.25</v>
      </c>
      <c r="E61" s="217">
        <f>'数据-汇总表'!E12</f>
        <v>0</v>
      </c>
      <c r="F61" s="886" t="e">
        <f t="shared" si="15"/>
        <v>#DIV/0!</v>
      </c>
      <c r="G61" s="892" t="s">
        <v>1894</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1895</v>
      </c>
      <c r="B62" s="218" t="e">
        <f t="shared" si="17"/>
        <v>#DIV/0!</v>
      </c>
      <c r="C62" s="171">
        <f t="shared" si="16"/>
        <v>0.1</v>
      </c>
      <c r="D62" s="945">
        <v>0.25</v>
      </c>
      <c r="E62" s="217">
        <f>'数据-汇总表'!E13</f>
        <v>0</v>
      </c>
      <c r="F62" s="886" t="e">
        <f t="shared" si="15"/>
        <v>#DIV/0!</v>
      </c>
      <c r="G62" s="892" t="s">
        <v>1896</v>
      </c>
      <c r="H62" s="887" t="str">
        <f>IF(G62="商业",项目基本情况!B37,IF(G62="办公",项目基本情况!C37,IF(G62="住宅",项目基本情况!D37,项目基本情况!E37)))</f>
        <v>十一级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1897</v>
      </c>
      <c r="B63" s="218" t="e">
        <f t="shared" si="17"/>
        <v>#DIV/0!</v>
      </c>
      <c r="C63" s="171">
        <f t="shared" si="16"/>
        <v>0</v>
      </c>
      <c r="D63" s="945">
        <v>0.25</v>
      </c>
      <c r="E63" s="217">
        <f>'数据-汇总表'!E14</f>
        <v>0</v>
      </c>
      <c r="F63" s="886" t="e">
        <f t="shared" si="15"/>
        <v>#DIV/0!</v>
      </c>
      <c r="G63" s="1987" t="s">
        <v>1888</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1898</v>
      </c>
      <c r="B64" s="218" t="e">
        <f t="shared" si="17"/>
        <v>#DIV/0!</v>
      </c>
      <c r="C64" s="171">
        <f t="shared" si="16"/>
        <v>0</v>
      </c>
      <c r="D64" s="945">
        <v>0.25</v>
      </c>
      <c r="E64" s="217">
        <f>'数据-汇总表'!E15</f>
        <v>0</v>
      </c>
      <c r="F64" s="886" t="e">
        <f t="shared" si="15"/>
        <v>#DIV/0!</v>
      </c>
      <c r="G64" s="1988" t="s">
        <v>1892</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1899</v>
      </c>
      <c r="B65" s="644" t="s">
        <v>22</v>
      </c>
      <c r="C65" s="644" t="s">
        <v>23</v>
      </c>
      <c r="D65" s="644" t="s">
        <v>392</v>
      </c>
      <c r="E65" s="644">
        <f>IF(B46="楼面地价",SUM(E56:E64),'数据-汇总表'!D3)</f>
        <v>104671.29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1794</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1900</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1901</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1712</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1677</v>
      </c>
      <c r="B72" s="459"/>
      <c r="C72" s="471" t="s">
        <v>1772</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1715</v>
      </c>
      <c r="B74" s="477" t="s">
        <v>1681</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1684</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1685</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1686</v>
      </c>
      <c r="B87" s="477" t="s">
        <v>1716</v>
      </c>
      <c r="C87" s="522" t="s">
        <v>1717</v>
      </c>
      <c r="D87" s="522" t="s">
        <v>1718</v>
      </c>
      <c r="E87" s="522" t="s">
        <v>1719</v>
      </c>
      <c r="F87" s="522" t="s">
        <v>1720</v>
      </c>
      <c r="G87" s="522" t="s">
        <v>1721</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1902</v>
      </c>
      <c r="C89" s="527" t="s">
        <v>1717</v>
      </c>
      <c r="D89" s="527" t="s">
        <v>1718</v>
      </c>
      <c r="E89" s="527" t="s">
        <v>1719</v>
      </c>
      <c r="F89" s="527" t="s">
        <v>1720</v>
      </c>
      <c r="G89" s="527" t="s">
        <v>1721</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1817</v>
      </c>
      <c r="C91" s="527" t="s">
        <v>1717</v>
      </c>
      <c r="D91" s="527" t="s">
        <v>1718</v>
      </c>
      <c r="E91" s="527" t="s">
        <v>1719</v>
      </c>
      <c r="F91" s="527" t="s">
        <v>1720</v>
      </c>
      <c r="G91" s="527" t="s">
        <v>1721</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1722</v>
      </c>
      <c r="C93" s="527" t="s">
        <v>1717</v>
      </c>
      <c r="D93" s="527" t="s">
        <v>1718</v>
      </c>
      <c r="E93" s="527" t="s">
        <v>1719</v>
      </c>
      <c r="F93" s="527" t="s">
        <v>1720</v>
      </c>
      <c r="G93" s="527" t="s">
        <v>1721</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1903</v>
      </c>
      <c r="C95" s="527" t="s">
        <v>1717</v>
      </c>
      <c r="D95" s="527" t="s">
        <v>1718</v>
      </c>
      <c r="E95" s="527" t="s">
        <v>1719</v>
      </c>
      <c r="F95" s="527" t="s">
        <v>1720</v>
      </c>
      <c r="G95" s="527" t="s">
        <v>1721</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1904</v>
      </c>
      <c r="C97" s="522" t="s">
        <v>1717</v>
      </c>
      <c r="D97" s="522" t="s">
        <v>1718</v>
      </c>
      <c r="E97" s="522" t="s">
        <v>1719</v>
      </c>
      <c r="F97" s="522" t="s">
        <v>1720</v>
      </c>
      <c r="G97" s="522" t="s">
        <v>1721</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1774</v>
      </c>
      <c r="C99" s="522" t="s">
        <v>1717</v>
      </c>
      <c r="D99" s="522" t="s">
        <v>1718</v>
      </c>
      <c r="E99" s="522" t="s">
        <v>1719</v>
      </c>
      <c r="F99" s="522" t="s">
        <v>1720</v>
      </c>
      <c r="G99" s="522" t="s">
        <v>1721</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1775</v>
      </c>
      <c r="C101" s="608" t="s">
        <v>1795</v>
      </c>
      <c r="D101" s="608" t="s">
        <v>1796</v>
      </c>
      <c r="E101" s="608" t="s">
        <v>1797</v>
      </c>
      <c r="F101" s="608" t="s">
        <v>1798</v>
      </c>
      <c r="G101" s="608" t="s">
        <v>1799</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1905</v>
      </c>
      <c r="D103" s="488" t="s">
        <v>1906</v>
      </c>
      <c r="E103" s="488" t="s">
        <v>1907</v>
      </c>
      <c r="F103" s="488" t="s">
        <v>1908</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1811</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1869</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1690</v>
      </c>
      <c r="B115" s="477" t="s">
        <v>1909</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1910</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1911</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1912</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1913</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1863</v>
      </c>
      <c r="B1" s="349"/>
      <c r="C1" s="350" t="s">
        <v>1914</v>
      </c>
      <c r="D1" s="686"/>
      <c r="E1" s="686"/>
      <c r="F1" s="685" t="s">
        <v>1763</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1865</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1765</v>
      </c>
      <c r="B4" s="356"/>
      <c r="C4" s="3681" t="s">
        <v>1766</v>
      </c>
      <c r="D4" s="3682"/>
      <c r="E4" s="3683" t="s">
        <v>1767</v>
      </c>
      <c r="F4" s="3684"/>
      <c r="G4" s="3681" t="s">
        <v>1768</v>
      </c>
      <c r="H4" s="3682"/>
      <c r="I4" s="3681" t="s">
        <v>1769</v>
      </c>
      <c r="J4" s="3682"/>
      <c r="K4" s="559" t="s">
        <v>1770</v>
      </c>
      <c r="L4" s="2715"/>
      <c r="M4" s="2716"/>
      <c r="N4" s="2716"/>
      <c r="O4" s="2716"/>
      <c r="P4" s="3685" t="s">
        <v>1771</v>
      </c>
      <c r="Q4" s="3686"/>
      <c r="R4" s="3691" t="s">
        <v>1767</v>
      </c>
      <c r="S4" s="3692"/>
      <c r="T4" s="3691" t="s">
        <v>1768</v>
      </c>
      <c r="U4" s="3692"/>
      <c r="V4" s="3697" t="s">
        <v>1769</v>
      </c>
      <c r="W4" s="3697"/>
      <c r="X4" s="1355"/>
      <c r="Y4" s="3691" t="s">
        <v>1771</v>
      </c>
      <c r="Z4" s="3692"/>
      <c r="AA4" s="3678" t="s">
        <v>1767</v>
      </c>
      <c r="AB4" s="3679" t="s">
        <v>1768</v>
      </c>
      <c r="AC4" s="3678" t="s">
        <v>1769</v>
      </c>
    </row>
    <row r="5" spans="1:29" ht="15">
      <c r="A5" s="358"/>
      <c r="B5" s="359"/>
      <c r="C5" s="3700" t="s">
        <v>1669</v>
      </c>
      <c r="D5" s="3701"/>
      <c r="E5" s="3707" t="s">
        <v>1670</v>
      </c>
      <c r="F5" s="3708"/>
      <c r="G5" s="3700" t="s">
        <v>1671</v>
      </c>
      <c r="H5" s="3701"/>
      <c r="I5" s="3700" t="s">
        <v>1672</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29" t="s">
        <v>1915</v>
      </c>
      <c r="D6" s="3730"/>
      <c r="E6" s="3731" t="s">
        <v>1915</v>
      </c>
      <c r="F6" s="3732"/>
      <c r="G6" s="3729" t="s">
        <v>1915</v>
      </c>
      <c r="H6" s="3730"/>
      <c r="I6" s="3729" t="s">
        <v>1915</v>
      </c>
      <c r="J6" s="3730"/>
      <c r="K6" s="559" t="s">
        <v>1674</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1675</v>
      </c>
      <c r="B7" s="363"/>
      <c r="C7" s="364">
        <f>'数据-取费表'!B2</f>
        <v>45421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1676</v>
      </c>
      <c r="Q7" s="3704"/>
      <c r="R7" s="701" t="s">
        <v>14</v>
      </c>
      <c r="S7" s="702">
        <f t="shared" ref="S7:S15" si="0">F7</f>
        <v>0</v>
      </c>
      <c r="T7" s="701" t="s">
        <v>14</v>
      </c>
      <c r="U7" s="702">
        <f t="shared" ref="U7:U15" si="1">H7</f>
        <v>0</v>
      </c>
      <c r="V7" s="701" t="s">
        <v>14</v>
      </c>
      <c r="W7" s="702">
        <f t="shared" ref="W7:W15" si="2">J7</f>
        <v>0</v>
      </c>
      <c r="X7" s="703"/>
      <c r="Y7" s="3702" t="s">
        <v>1676</v>
      </c>
      <c r="Z7" s="3703"/>
      <c r="AA7" s="704" t="e">
        <f>D7/F7</f>
        <v>#DIV/0!</v>
      </c>
      <c r="AB7" s="704" t="e">
        <f>D7/H7</f>
        <v>#DIV/0!</v>
      </c>
      <c r="AC7" s="704" t="e">
        <f>D7/J7</f>
        <v>#DIV/0!</v>
      </c>
    </row>
    <row r="8" spans="1:29" s="108" customFormat="1" ht="15.75" thickBot="1">
      <c r="A8" s="362" t="s">
        <v>1677</v>
      </c>
      <c r="B8" s="363"/>
      <c r="C8" s="368" t="s">
        <v>1678</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1679</v>
      </c>
      <c r="Q8" s="3703"/>
      <c r="R8" s="701" t="s">
        <v>14</v>
      </c>
      <c r="S8" s="702">
        <f t="shared" si="0"/>
        <v>0</v>
      </c>
      <c r="T8" s="701" t="s">
        <v>14</v>
      </c>
      <c r="U8" s="702">
        <f t="shared" si="1"/>
        <v>0</v>
      </c>
      <c r="V8" s="701" t="s">
        <v>14</v>
      </c>
      <c r="W8" s="702">
        <f t="shared" si="2"/>
        <v>0</v>
      </c>
      <c r="X8" s="703"/>
      <c r="Y8" s="3702" t="s">
        <v>1679</v>
      </c>
      <c r="Z8" s="3703"/>
      <c r="AA8" s="704" t="e">
        <f t="shared" ref="AA8:AA40" si="3">D8/F8</f>
        <v>#DIV/0!</v>
      </c>
      <c r="AB8" s="704" t="e">
        <f t="shared" ref="AB8:AB40" si="4">D8/H8</f>
        <v>#DIV/0!</v>
      </c>
      <c r="AC8" s="704" t="e">
        <f t="shared" ref="AC8:AC40" si="5">D8/J8</f>
        <v>#DIV/0!</v>
      </c>
    </row>
    <row r="9" spans="1:29" s="108" customFormat="1">
      <c r="A9" s="369" t="s">
        <v>1680</v>
      </c>
      <c r="B9" s="63" t="s">
        <v>1681</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1682</v>
      </c>
      <c r="Q9" s="1343" t="str">
        <f t="shared" ref="Q9:Q15" si="6">B9</f>
        <v>用途</v>
      </c>
      <c r="R9" s="701" t="s">
        <v>14</v>
      </c>
      <c r="S9" s="702">
        <f t="shared" si="0"/>
        <v>100</v>
      </c>
      <c r="T9" s="701" t="s">
        <v>14</v>
      </c>
      <c r="U9" s="702">
        <f t="shared" si="1"/>
        <v>100</v>
      </c>
      <c r="V9" s="701" t="s">
        <v>14</v>
      </c>
      <c r="W9" s="702">
        <f t="shared" si="2"/>
        <v>100</v>
      </c>
      <c r="X9" s="703"/>
      <c r="Y9" s="3541" t="s">
        <v>1683</v>
      </c>
      <c r="Z9" s="52" t="str">
        <f t="shared" ref="Z9:Z15" si="7">Q9</f>
        <v>用途</v>
      </c>
      <c r="AA9" s="704">
        <f t="shared" si="3"/>
        <v>1</v>
      </c>
      <c r="AB9" s="704">
        <f t="shared" si="4"/>
        <v>1</v>
      </c>
      <c r="AC9" s="704">
        <f t="shared" si="5"/>
        <v>1</v>
      </c>
    </row>
    <row r="10" spans="1:29" s="378" customFormat="1" ht="27">
      <c r="A10" s="374"/>
      <c r="B10" s="375" t="s">
        <v>1684</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666"/>
      <c r="Q10" s="1343" t="str">
        <f t="shared" si="6"/>
        <v>土地使用年限（年）</v>
      </c>
      <c r="R10" s="701" t="s">
        <v>14</v>
      </c>
      <c r="S10" s="702">
        <f t="shared" si="0"/>
        <v>102</v>
      </c>
      <c r="T10" s="701" t="s">
        <v>14</v>
      </c>
      <c r="U10" s="702">
        <f t="shared" si="1"/>
        <v>102</v>
      </c>
      <c r="V10" s="701" t="s">
        <v>14</v>
      </c>
      <c r="W10" s="702">
        <f t="shared" si="2"/>
        <v>102</v>
      </c>
      <c r="X10" s="703"/>
      <c r="Y10" s="3541"/>
      <c r="Z10" s="52" t="str">
        <f t="shared" si="7"/>
        <v>土地使用年限（年）</v>
      </c>
      <c r="AA10" s="704">
        <f t="shared" si="3"/>
        <v>0.98039215686274506</v>
      </c>
      <c r="AB10" s="704">
        <f t="shared" si="4"/>
        <v>0.98039215686274506</v>
      </c>
      <c r="AC10" s="704">
        <f t="shared" si="5"/>
        <v>0.98039215686274506</v>
      </c>
    </row>
    <row r="11" spans="1:29" ht="15">
      <c r="A11" s="379"/>
      <c r="B11" s="375" t="s">
        <v>1685</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1686</v>
      </c>
      <c r="B15" s="577" t="s">
        <v>1916</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1687</v>
      </c>
      <c r="Q15" s="1352" t="str">
        <f t="shared" si="6"/>
        <v>产业集聚程度</v>
      </c>
      <c r="R15" s="705" t="s">
        <v>14</v>
      </c>
      <c r="S15" s="706">
        <f t="shared" si="0"/>
        <v>100</v>
      </c>
      <c r="T15" s="705" t="s">
        <v>14</v>
      </c>
      <c r="U15" s="706">
        <f t="shared" si="1"/>
        <v>100</v>
      </c>
      <c r="V15" s="705" t="s">
        <v>14</v>
      </c>
      <c r="W15" s="706">
        <f t="shared" si="2"/>
        <v>100</v>
      </c>
      <c r="X15" s="1355"/>
      <c r="Y15" s="3668" t="s">
        <v>1687</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1829</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1867</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1917</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1774</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1775</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1776</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1811</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1869</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1692</v>
      </c>
      <c r="Q32" s="1352">
        <f t="shared" si="8"/>
        <v>111</v>
      </c>
      <c r="R32" s="705" t="s">
        <v>14</v>
      </c>
      <c r="S32" s="706">
        <f t="shared" si="10"/>
        <v>100</v>
      </c>
      <c r="T32" s="705" t="s">
        <v>14</v>
      </c>
      <c r="U32" s="706">
        <f t="shared" si="11"/>
        <v>100</v>
      </c>
      <c r="V32" s="705" t="s">
        <v>14</v>
      </c>
      <c r="W32" s="706">
        <f t="shared" si="12"/>
        <v>100</v>
      </c>
      <c r="X32" s="1355"/>
      <c r="Y32" s="3673" t="s">
        <v>1692</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1690</v>
      </c>
      <c r="B34" s="407" t="s">
        <v>1870</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1871</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1873</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1874</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1692</v>
      </c>
      <c r="Q37" s="1352" t="str">
        <f t="shared" si="14"/>
        <v>工程地质条件</v>
      </c>
      <c r="R37" s="705" t="s">
        <v>14</v>
      </c>
      <c r="S37" s="706">
        <f t="shared" si="10"/>
        <v>100</v>
      </c>
      <c r="T37" s="705" t="s">
        <v>14</v>
      </c>
      <c r="U37" s="706">
        <f t="shared" si="11"/>
        <v>100</v>
      </c>
      <c r="V37" s="705" t="s">
        <v>14</v>
      </c>
      <c r="W37" s="706">
        <f t="shared" si="12"/>
        <v>100</v>
      </c>
      <c r="X37" s="1355"/>
      <c r="Y37" s="3673" t="s">
        <v>1692</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1840</v>
      </c>
      <c r="B41" s="1982" t="s">
        <v>1918</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1789</v>
      </c>
      <c r="B42" s="631"/>
      <c r="C42" s="440" t="e">
        <f>R43</f>
        <v>#DIV/0!</v>
      </c>
      <c r="D42" s="2317" t="s">
        <v>2134</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1790</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1791</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1792</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1793</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1877</v>
      </c>
      <c r="B50" s="633" t="s">
        <v>1878</v>
      </c>
      <c r="C50" s="1983" t="s">
        <v>1879</v>
      </c>
      <c r="D50" s="1984" t="s">
        <v>1880</v>
      </c>
      <c r="E50" s="634" t="s">
        <v>1881</v>
      </c>
      <c r="F50" s="635" t="s">
        <v>1882</v>
      </c>
      <c r="G50" s="3681" t="s">
        <v>1883</v>
      </c>
      <c r="H50" s="3728"/>
      <c r="I50" s="1356" t="s">
        <v>1919</v>
      </c>
      <c r="J50" s="1356">
        <f>项目基本情况!F35</f>
        <v>0</v>
      </c>
      <c r="K50" s="1986" t="s">
        <v>1885</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1886</v>
      </c>
      <c r="B51" s="637" t="e">
        <f>C43</f>
        <v>#DIV/0!</v>
      </c>
      <c r="C51" s="638">
        <v>1</v>
      </c>
      <c r="D51" s="944">
        <v>1</v>
      </c>
      <c r="E51" s="638">
        <f>'数据-汇总表'!E8+'数据-汇总表'!E9</f>
        <v>104671.29</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1887</v>
      </c>
      <c r="B52" s="218" t="e">
        <f>ROUND($C$43*C52*D52,0)</f>
        <v>#DIV/0!</v>
      </c>
      <c r="C52" s="171">
        <f t="shared" ref="C52:C60" si="16">IF($C$50="北京市系数",I52,J52)</f>
        <v>0</v>
      </c>
      <c r="D52" s="945">
        <v>0.25</v>
      </c>
      <c r="E52" s="642"/>
      <c r="F52" s="639" t="e">
        <f t="shared" si="15"/>
        <v>#DIV/0!</v>
      </c>
      <c r="G52" s="3006" t="s">
        <v>1888</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1889</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1890</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1891</v>
      </c>
      <c r="B56" s="218" t="e">
        <f t="shared" si="17"/>
        <v>#DIV/0!</v>
      </c>
      <c r="C56" s="171">
        <f t="shared" si="16"/>
        <v>0</v>
      </c>
      <c r="D56" s="945">
        <v>0.25</v>
      </c>
      <c r="E56" s="217">
        <f>'数据-汇总表'!E11</f>
        <v>0</v>
      </c>
      <c r="F56" s="639" t="e">
        <f t="shared" si="15"/>
        <v>#DIV/0!</v>
      </c>
      <c r="G56" s="1987" t="s">
        <v>1892</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1893</v>
      </c>
      <c r="B57" s="218" t="e">
        <f t="shared" si="17"/>
        <v>#DIV/0!</v>
      </c>
      <c r="C57" s="171">
        <f t="shared" si="16"/>
        <v>0</v>
      </c>
      <c r="D57" s="945">
        <v>0.25</v>
      </c>
      <c r="E57" s="217">
        <f>'数据-汇总表'!E12</f>
        <v>0</v>
      </c>
      <c r="F57" s="639" t="e">
        <f t="shared" si="15"/>
        <v>#DIV/0!</v>
      </c>
      <c r="G57" s="892" t="s">
        <v>1894</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1895</v>
      </c>
      <c r="B58" s="218" t="e">
        <f t="shared" si="17"/>
        <v>#DIV/0!</v>
      </c>
      <c r="C58" s="171">
        <f t="shared" si="16"/>
        <v>0.1</v>
      </c>
      <c r="D58" s="945">
        <v>0.25</v>
      </c>
      <c r="E58" s="217">
        <f>'数据-汇总表'!E13</f>
        <v>0</v>
      </c>
      <c r="F58" s="639" t="e">
        <f t="shared" si="15"/>
        <v>#DIV/0!</v>
      </c>
      <c r="G58" s="892" t="s">
        <v>1896</v>
      </c>
      <c r="H58" s="887" t="str">
        <f>IF(G58="商业",项目基本情况!B37,IF(G58="办公",项目基本情况!C37,IF(G58="住宅",项目基本情况!D37,项目基本情况!E37)))</f>
        <v>十一级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1897</v>
      </c>
      <c r="B59" s="218" t="e">
        <f t="shared" si="17"/>
        <v>#DIV/0!</v>
      </c>
      <c r="C59" s="171">
        <f t="shared" si="16"/>
        <v>0</v>
      </c>
      <c r="D59" s="945">
        <v>0.25</v>
      </c>
      <c r="E59" s="217">
        <f>'数据-汇总表'!E14</f>
        <v>0</v>
      </c>
      <c r="F59" s="639" t="e">
        <f t="shared" si="15"/>
        <v>#DIV/0!</v>
      </c>
      <c r="G59" s="1987" t="s">
        <v>1888</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1898</v>
      </c>
      <c r="B60" s="218" t="e">
        <f t="shared" si="17"/>
        <v>#DIV/0!</v>
      </c>
      <c r="C60" s="171">
        <f t="shared" si="16"/>
        <v>0</v>
      </c>
      <c r="D60" s="945">
        <v>0.25</v>
      </c>
      <c r="E60" s="217">
        <f>'数据-汇总表'!E15</f>
        <v>0</v>
      </c>
      <c r="F60" s="639" t="e">
        <f t="shared" si="15"/>
        <v>#DIV/0!</v>
      </c>
      <c r="G60" s="1988" t="s">
        <v>1892</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1899</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1794</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1900</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1920</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1712</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1677</v>
      </c>
      <c r="B68" s="459"/>
      <c r="C68" s="471" t="s">
        <v>1772</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1715</v>
      </c>
      <c r="B70" s="477" t="s">
        <v>1681</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1684</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1685</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1686</v>
      </c>
      <c r="B83" s="477" t="s">
        <v>1825</v>
      </c>
      <c r="C83" s="522" t="s">
        <v>1717</v>
      </c>
      <c r="D83" s="522" t="s">
        <v>1718</v>
      </c>
      <c r="E83" s="522" t="s">
        <v>1719</v>
      </c>
      <c r="F83" s="522" t="s">
        <v>1720</v>
      </c>
      <c r="G83" s="522" t="s">
        <v>1721</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1722</v>
      </c>
      <c r="C85" s="527" t="s">
        <v>1717</v>
      </c>
      <c r="D85" s="527" t="s">
        <v>1718</v>
      </c>
      <c r="E85" s="527" t="s">
        <v>1719</v>
      </c>
      <c r="F85" s="527" t="s">
        <v>1720</v>
      </c>
      <c r="G85" s="527" t="s">
        <v>1721</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1903</v>
      </c>
      <c r="C87" s="522" t="s">
        <v>1717</v>
      </c>
      <c r="D87" s="522" t="s">
        <v>1718</v>
      </c>
      <c r="E87" s="522" t="s">
        <v>1719</v>
      </c>
      <c r="F87" s="522" t="s">
        <v>1720</v>
      </c>
      <c r="G87" s="522" t="s">
        <v>1721</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1904</v>
      </c>
      <c r="C89" s="522" t="s">
        <v>1717</v>
      </c>
      <c r="D89" s="522" t="s">
        <v>1718</v>
      </c>
      <c r="E89" s="522" t="s">
        <v>1719</v>
      </c>
      <c r="F89" s="522" t="s">
        <v>1720</v>
      </c>
      <c r="G89" s="522" t="s">
        <v>1721</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1774</v>
      </c>
      <c r="C91" s="522" t="s">
        <v>1717</v>
      </c>
      <c r="D91" s="522" t="s">
        <v>1718</v>
      </c>
      <c r="E91" s="522" t="s">
        <v>1719</v>
      </c>
      <c r="F91" s="522" t="s">
        <v>1720</v>
      </c>
      <c r="G91" s="522" t="s">
        <v>1721</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1921</v>
      </c>
      <c r="C93" s="608" t="s">
        <v>1795</v>
      </c>
      <c r="D93" s="608" t="s">
        <v>1796</v>
      </c>
      <c r="E93" s="608" t="s">
        <v>1797</v>
      </c>
      <c r="F93" s="608" t="s">
        <v>1798</v>
      </c>
      <c r="G93" s="608" t="s">
        <v>1799</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1905</v>
      </c>
      <c r="D95" s="488" t="s">
        <v>1906</v>
      </c>
      <c r="E95" s="488" t="s">
        <v>1907</v>
      </c>
      <c r="F95" s="488" t="s">
        <v>1908</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1811</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1869</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1690</v>
      </c>
      <c r="B107" s="477" t="s">
        <v>1909</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1910</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1912</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1913</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736" t="s">
        <v>2080</v>
      </c>
      <c r="D1" s="3737"/>
      <c r="E1" s="3737"/>
      <c r="F1" s="3737"/>
      <c r="G1" s="3737"/>
      <c r="H1" s="3737"/>
      <c r="I1" s="3737"/>
      <c r="J1" s="3737"/>
      <c r="K1" s="3737"/>
      <c r="L1" s="3737"/>
      <c r="M1" s="3737"/>
      <c r="N1" s="3737"/>
      <c r="O1" s="3737"/>
      <c r="P1" s="3737"/>
      <c r="Q1" s="3737"/>
      <c r="R1" s="3737"/>
      <c r="S1" s="3738"/>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2083</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2084</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2085</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2089</v>
      </c>
      <c r="B17" s="2149"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2091</v>
      </c>
      <c r="E19" s="1340"/>
      <c r="F19" s="1340"/>
      <c r="G19" s="1340"/>
      <c r="H19" s="1059"/>
      <c r="I19" s="159"/>
      <c r="J19" s="159"/>
      <c r="K19" s="159"/>
      <c r="L19" s="159"/>
      <c r="M19" s="159"/>
      <c r="N19" s="159"/>
      <c r="O19" s="159"/>
      <c r="P19" s="159"/>
      <c r="Q19" s="159"/>
      <c r="R19" s="718"/>
      <c r="S19" s="129"/>
    </row>
    <row r="20" spans="1:45" ht="16.5" thickBot="1">
      <c r="A20" s="662" t="s">
        <v>2092</v>
      </c>
      <c r="B20" s="294" t="e">
        <f ca="1">IF(D20="——",S22,S22-F20)</f>
        <v>#REF!</v>
      </c>
      <c r="C20" s="159"/>
      <c r="D20" s="2151"/>
      <c r="E20" s="1341"/>
      <c r="F20" s="983" t="e">
        <f ca="1">SUMIF(INDIRECT("'"&amp;H20&amp;"'"&amp;"!A:A"),"承租人权益价值",INDIRECT("'"&amp;H20&amp;"'"&amp;"!c:c"))</f>
        <v>#REF!</v>
      </c>
      <c r="G20" s="983" t="s">
        <v>2093</v>
      </c>
      <c r="H20" s="2152"/>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2077</v>
      </c>
      <c r="B1" s="2147"/>
      <c r="C1" s="2147"/>
      <c r="D1" s="2147"/>
      <c r="E1" s="2147"/>
      <c r="F1" s="2793"/>
      <c r="G1" s="2793"/>
      <c r="H1" s="2793"/>
      <c r="I1" s="2793"/>
      <c r="J1" s="2793"/>
      <c r="K1" s="2793"/>
      <c r="L1" s="2793"/>
      <c r="M1" s="2793"/>
      <c r="N1" s="2793"/>
      <c r="O1" s="2793"/>
      <c r="P1" s="2793"/>
    </row>
    <row r="2" spans="1:16" ht="15.75">
      <c r="A2" s="2145" t="s">
        <v>2069</v>
      </c>
      <c r="B2" s="2602">
        <f ca="1">SUMIF(B6:B13,"&lt;&gt;#ref!",B6:B13)</f>
        <v>27246</v>
      </c>
      <c r="C2" s="2145" t="s">
        <v>2070</v>
      </c>
      <c r="D2" s="2145" t="s">
        <v>2071</v>
      </c>
      <c r="E2" s="2612">
        <f ca="1">SUMIF(E6:E13,"&lt;&gt;#ref!",E6:E13)</f>
        <v>104671.29</v>
      </c>
      <c r="F2" s="2793"/>
      <c r="G2" s="2793"/>
      <c r="H2" s="2793"/>
      <c r="I2" s="2793"/>
      <c r="J2" s="2793"/>
      <c r="K2" s="2793"/>
      <c r="L2" s="2793"/>
      <c r="M2" s="2793"/>
      <c r="N2" s="2793"/>
      <c r="O2" s="2793"/>
      <c r="P2" s="2793"/>
    </row>
    <row r="3" spans="1:16" ht="15.75">
      <c r="A3" s="2145" t="s">
        <v>2072</v>
      </c>
      <c r="B3" s="2602">
        <f ca="1">ROUND(B2*10000/E2,0)</f>
        <v>2603</v>
      </c>
      <c r="C3" s="2145" t="s">
        <v>2078</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2073</v>
      </c>
      <c r="B5" s="2610" t="s">
        <v>2074</v>
      </c>
      <c r="C5" s="2146"/>
      <c r="D5" s="2793"/>
      <c r="E5" s="2611" t="s">
        <v>2075</v>
      </c>
      <c r="F5" s="2793"/>
      <c r="G5" s="2793"/>
      <c r="H5" s="2793"/>
      <c r="I5" s="2793"/>
      <c r="J5" s="2793"/>
      <c r="K5" s="2793"/>
      <c r="L5" s="2793"/>
      <c r="M5" s="2793"/>
      <c r="N5" s="2793"/>
      <c r="O5" s="2793"/>
      <c r="P5" s="2793"/>
    </row>
    <row r="6" spans="1:16" ht="15.75">
      <c r="A6" s="2609" t="s">
        <v>2076</v>
      </c>
      <c r="B6" s="2602">
        <f ca="1">SUMIF(INDIRECT("'"&amp;A6&amp;"'"&amp;"!A:A"),"总价",INDIRECT("'"&amp;A6&amp;"'"&amp;"!B:B"))</f>
        <v>27246</v>
      </c>
      <c r="C6" s="2145" t="s">
        <v>2070</v>
      </c>
      <c r="D6" s="2793"/>
      <c r="E6" s="2612">
        <f ca="1">SUMIF(INDIRECT("'"&amp;A6&amp;"'"&amp;"!C:C"),"建筑面积",INDIRECT("'"&amp;A6&amp;"'"&amp;"!D:D"))</f>
        <v>104671.29</v>
      </c>
      <c r="F6" s="2793"/>
      <c r="G6" s="2793"/>
      <c r="H6" s="2793"/>
      <c r="I6" s="2793"/>
      <c r="J6" s="2793"/>
      <c r="K6" s="2793"/>
      <c r="L6" s="2793"/>
      <c r="M6" s="2793"/>
      <c r="N6" s="2793"/>
      <c r="O6" s="2793"/>
      <c r="P6" s="2793"/>
    </row>
    <row r="7" spans="1:16" ht="15.75">
      <c r="A7" s="2609"/>
      <c r="B7" s="2602" t="e">
        <f ca="1">SUMIF(INDIRECT("'"&amp;A7&amp;"'"&amp;"!A:A"),"总价",INDIRECT("'"&amp;A7&amp;"'"&amp;"!B:B"))</f>
        <v>#REF!</v>
      </c>
      <c r="C7" s="2145" t="s">
        <v>2070</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2070</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2070</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2070</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2070</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2070</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2070</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1922</v>
      </c>
      <c r="B1" s="197"/>
      <c r="C1" s="201" t="s">
        <v>1923</v>
      </c>
      <c r="D1" s="342">
        <f>SUM(D33:D34,D37:D42)</f>
        <v>104671.29</v>
      </c>
      <c r="E1" s="1995"/>
      <c r="F1" s="1995"/>
      <c r="G1" s="1995"/>
      <c r="H1" s="1995"/>
      <c r="I1" s="1995"/>
      <c r="J1" s="1995"/>
      <c r="K1" s="1119"/>
      <c r="L1" s="1996" t="s">
        <v>1924</v>
      </c>
      <c r="M1" s="863">
        <f>SUMPRODUCT((区片价!B5:B9=I2)*(区片价!C3:G3=E2)*(区片价!C5:G9))</f>
        <v>0</v>
      </c>
      <c r="N1" s="866">
        <f>SUMPRODUCT((因素修正幅度!B5:B9=I2)*(因素修正幅度!C3:G3=E2)*(因素修正幅度!C5:G9))</f>
        <v>0</v>
      </c>
      <c r="O1" s="1997"/>
      <c r="P1" s="1997"/>
      <c r="Q1" s="1119"/>
      <c r="R1" s="1212" t="s">
        <v>1925</v>
      </c>
      <c r="S1" s="1212" t="s">
        <v>1926</v>
      </c>
      <c r="T1" s="1212" t="s">
        <v>1927</v>
      </c>
      <c r="U1" s="1212" t="s">
        <v>1928</v>
      </c>
      <c r="V1" s="1212" t="s">
        <v>1929</v>
      </c>
      <c r="W1" s="1216"/>
      <c r="X1" s="1216"/>
      <c r="Y1" s="1216"/>
      <c r="Z1" s="1216"/>
      <c r="AA1" s="1216"/>
      <c r="AB1" s="1216"/>
      <c r="AC1" s="1217"/>
      <c r="AD1" s="1218"/>
      <c r="AE1" s="1218"/>
      <c r="AF1" s="1218"/>
      <c r="AG1" s="1218"/>
      <c r="AH1" s="1218"/>
      <c r="AI1" s="1218"/>
      <c r="AJ1" s="1219"/>
    </row>
    <row r="2" spans="1:36" ht="15.75">
      <c r="A2" s="201" t="s">
        <v>1930</v>
      </c>
      <c r="B2" s="204">
        <f>C30</f>
        <v>27246</v>
      </c>
      <c r="C2" s="1999" t="s">
        <v>1931</v>
      </c>
      <c r="D2" s="2000" t="s">
        <v>1932</v>
      </c>
      <c r="E2" s="3422" t="s">
        <v>3380</v>
      </c>
      <c r="F2" s="2000" t="s">
        <v>1933</v>
      </c>
      <c r="G2" s="2001" t="str">
        <f>IF(E2="商业",项目基本情况!B37,IF(E2="办公",项目基本情况!C37,IF(E2="住宅",项目基本情况!D37,IF(E2="工业",项目基本情况!E37,项目基本情况!F37))))</f>
        <v>十一级</v>
      </c>
      <c r="H2" s="2000" t="s">
        <v>1934</v>
      </c>
      <c r="I2" s="2001" t="str">
        <f>IF(E2="商业",项目基本情况!B38,IF(E2="办公",项目基本情况!C38,IF(E2="住宅",项目基本情况!D38,IF(E2="工业",项目基本情况!E38,项目基本情况!F38))))</f>
        <v>Ⅺ-平4</v>
      </c>
      <c r="J2" s="2002"/>
      <c r="K2" s="1119"/>
      <c r="L2" s="2003" t="s">
        <v>1935</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3630</v>
      </c>
      <c r="U2" s="1213"/>
      <c r="V2" s="3361">
        <f>ROUND(T2*U2/10000,0)</f>
        <v>0</v>
      </c>
      <c r="W2" s="1216"/>
      <c r="X2" s="1216"/>
      <c r="Y2" s="1216"/>
      <c r="Z2" s="1216"/>
      <c r="AA2" s="1216"/>
      <c r="AB2" s="1216"/>
      <c r="AC2" s="1217"/>
      <c r="AD2" s="1218"/>
      <c r="AE2" s="1218"/>
      <c r="AF2" s="1218"/>
      <c r="AG2" s="1218"/>
      <c r="AH2" s="1218"/>
      <c r="AI2" s="1218"/>
      <c r="AJ2" s="1219"/>
    </row>
    <row r="3" spans="1:36" ht="15.75">
      <c r="A3" s="203" t="s">
        <v>1936</v>
      </c>
      <c r="B3" s="204">
        <f>ROUND(B2*10000/D1,0)</f>
        <v>2603</v>
      </c>
      <c r="C3" s="1999" t="s">
        <v>1937</v>
      </c>
      <c r="D3" s="2000" t="s">
        <v>1938</v>
      </c>
      <c r="E3" s="3420" t="s">
        <v>3395</v>
      </c>
      <c r="F3" s="2004" t="s">
        <v>3396</v>
      </c>
      <c r="G3" s="752">
        <f>IF(F3="宗地容积率",'数据-汇总表'!I4,IF(F3="估价对象容积率",'数据-汇总表'!I6,'数据-汇总表'!I7))</f>
        <v>1</v>
      </c>
      <c r="H3" s="170" t="s">
        <v>1939</v>
      </c>
      <c r="I3" s="775"/>
      <c r="J3" s="2002" t="s">
        <v>1940</v>
      </c>
      <c r="K3" s="1119"/>
      <c r="L3" s="2003" t="s">
        <v>1941</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2798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1942</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2282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1943</v>
      </c>
      <c r="C5" s="753">
        <f>ROUND(IF(E2="商业",C6*C7*C17+C20,(IF(E2="住宅",C6*C13*C17+C20,IF(E2="办公",C6*C12*C17+C20,C6+C20)))),0)</f>
        <v>2299</v>
      </c>
      <c r="D5" s="1339">
        <f>ROUND(C6*C17+C20,0)</f>
        <v>2095</v>
      </c>
      <c r="E5" s="1339"/>
      <c r="F5" s="2007"/>
      <c r="G5" s="2008"/>
      <c r="H5" s="2008"/>
      <c r="I5" s="2008"/>
      <c r="J5" s="2009"/>
      <c r="K5" s="2010"/>
      <c r="L5" s="2003" t="s">
        <v>1944</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1938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1945</v>
      </c>
      <c r="B6" s="2016" t="s">
        <v>1946</v>
      </c>
      <c r="C6" s="754">
        <f>SUMIF(L1:L12,G2,M1:M12)</f>
        <v>2370</v>
      </c>
      <c r="D6" s="2017"/>
      <c r="E6" s="2018"/>
      <c r="F6" s="2018"/>
      <c r="G6" s="2019"/>
      <c r="H6" s="2019"/>
      <c r="I6" s="2019"/>
      <c r="J6" s="2020"/>
      <c r="K6" s="1384"/>
      <c r="L6" s="2003" t="s">
        <v>1947</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1765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1948</v>
      </c>
      <c r="C7" s="755" t="e">
        <f>IF(C8="不临65条商业街",1,ROUND(1+(1.6*E8+1.2*E9+0.8*E10+0.4*E11)*C9,4))</f>
        <v>#DIV/0!</v>
      </c>
      <c r="D7" s="2022" t="s">
        <v>1949</v>
      </c>
      <c r="E7" s="776"/>
      <c r="F7" s="2023"/>
      <c r="G7" s="2024"/>
      <c r="H7" s="2024"/>
      <c r="I7" s="2024"/>
      <c r="J7" s="2025"/>
      <c r="K7" s="1384"/>
      <c r="L7" s="2003" t="s">
        <v>1950</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1951</v>
      </c>
      <c r="X7" s="1214" t="str">
        <f>G2</f>
        <v>十一级</v>
      </c>
      <c r="Y7" s="1214" t="s">
        <v>1952</v>
      </c>
      <c r="Z7" s="1215">
        <f>G3</f>
        <v>1</v>
      </c>
      <c r="AA7" s="1216"/>
      <c r="AB7" s="1216"/>
      <c r="AC7" s="1217"/>
      <c r="AD7" s="1218"/>
      <c r="AE7" s="1218"/>
      <c r="AF7" s="1218"/>
      <c r="AG7" s="1218"/>
      <c r="AH7" s="1218"/>
      <c r="AI7" s="1218"/>
      <c r="AJ7" s="1219"/>
    </row>
    <row r="8" spans="1:36" ht="15">
      <c r="A8" s="3299"/>
      <c r="B8" s="170" t="s">
        <v>1953</v>
      </c>
      <c r="C8" s="2026"/>
      <c r="D8" s="756" t="s">
        <v>112</v>
      </c>
      <c r="E8" s="757" t="e">
        <f>ROUND(C11/E7,4)</f>
        <v>#DIV/0!</v>
      </c>
      <c r="F8" s="2027" t="s">
        <v>1954</v>
      </c>
      <c r="G8" s="2028"/>
      <c r="H8" s="2028"/>
      <c r="I8" s="2028"/>
      <c r="J8" s="2029"/>
      <c r="K8" s="1119"/>
      <c r="L8" s="2003" t="s">
        <v>1955</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1956</v>
      </c>
      <c r="X8" s="3744"/>
      <c r="Y8" s="1220" t="s">
        <v>1957</v>
      </c>
      <c r="Z8" s="1220" t="s">
        <v>1958</v>
      </c>
      <c r="AA8" s="1220" t="s">
        <v>1959</v>
      </c>
      <c r="AB8" s="1220" t="s">
        <v>1960</v>
      </c>
      <c r="AC8" s="1220" t="s">
        <v>1961</v>
      </c>
      <c r="AD8" s="1220" t="s">
        <v>1962</v>
      </c>
      <c r="AE8" s="1220" t="s">
        <v>1963</v>
      </c>
      <c r="AF8" s="1220" t="s">
        <v>1964</v>
      </c>
      <c r="AG8" s="1220" t="s">
        <v>1965</v>
      </c>
      <c r="AH8" s="1220" t="s">
        <v>1966</v>
      </c>
      <c r="AI8" s="1220" t="s">
        <v>1967</v>
      </c>
      <c r="AJ8" s="1220" t="s">
        <v>1968</v>
      </c>
    </row>
    <row r="9" spans="1:36" ht="15">
      <c r="A9" s="3299"/>
      <c r="B9" s="170" t="s">
        <v>1969</v>
      </c>
      <c r="C9" s="758">
        <f>SUMIF(修正!C71:C138,C8,修正!E71:E138)</f>
        <v>0</v>
      </c>
      <c r="D9" s="171" t="s">
        <v>113</v>
      </c>
      <c r="E9" s="171" t="e">
        <f>ROUND(C11/E7,4)</f>
        <v>#DIV/0!</v>
      </c>
      <c r="F9" s="2027" t="s">
        <v>1970</v>
      </c>
      <c r="G9" s="2028"/>
      <c r="H9" s="2028"/>
      <c r="I9" s="2028"/>
      <c r="J9" s="2029"/>
      <c r="K9" s="1119"/>
      <c r="L9" s="2003" t="s">
        <v>1971</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1972</v>
      </c>
      <c r="C10" s="171">
        <f>SUMIF(修正!C71:C138,C8,修正!F71:F138)</f>
        <v>0</v>
      </c>
      <c r="D10" s="171" t="s">
        <v>114</v>
      </c>
      <c r="E10" s="171" t="e">
        <f>ROUND(C11/E7,4)</f>
        <v>#DIV/0!</v>
      </c>
      <c r="F10" s="2027" t="s">
        <v>1973</v>
      </c>
      <c r="G10" s="2028"/>
      <c r="H10" s="2028"/>
      <c r="I10" s="2028"/>
      <c r="J10" s="2029"/>
      <c r="K10" s="1119"/>
      <c r="L10" s="2003" t="s">
        <v>1974</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1975</v>
      </c>
      <c r="C11" s="759">
        <f>C10/4</f>
        <v>0</v>
      </c>
      <c r="D11" s="759" t="s">
        <v>115</v>
      </c>
      <c r="E11" s="759" t="e">
        <f>ROUND(C11/E7,4)</f>
        <v>#DIV/0!</v>
      </c>
      <c r="F11" s="2031" t="s">
        <v>1976</v>
      </c>
      <c r="G11" s="2032"/>
      <c r="H11" s="2032"/>
      <c r="I11" s="2032"/>
      <c r="J11" s="2033"/>
      <c r="K11" s="1119"/>
      <c r="L11" s="2003" t="s">
        <v>1977</v>
      </c>
      <c r="M11" s="864">
        <f>SUMPRODUCT((区片价!B358:B377=I2)*(区片价!C3:G3=E2)*(区片价!C358:G377))</f>
        <v>2370</v>
      </c>
      <c r="N11" s="866">
        <f>SUMPRODUCT((因素修正幅度!B358:B377=I2)*(因素修正幅度!C3:G3=E2)*(因素修正幅度!C358:G377))</f>
        <v>0.15</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1980</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1978</v>
      </c>
      <c r="C13" s="755">
        <f>ROUND(C16*D16*E16*F16*G16*H16*I16*J16,4)</f>
        <v>1.1000000000000001</v>
      </c>
      <c r="D13" s="2035" t="s">
        <v>1979</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1981</v>
      </c>
      <c r="C14" s="2041" t="s">
        <v>1982</v>
      </c>
      <c r="D14" s="1350" t="s">
        <v>1983</v>
      </c>
      <c r="E14" s="27" t="s">
        <v>1984</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1985</v>
      </c>
      <c r="C16" s="3318">
        <v>1</v>
      </c>
      <c r="D16" s="3318">
        <v>1.1000000000000001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0.86399999999999999</v>
      </c>
      <c r="D17" s="3322" t="s">
        <v>3247</v>
      </c>
      <c r="E17" s="3331">
        <f>ROUND(G18/I18,2)</f>
        <v>1</v>
      </c>
      <c r="F17" s="3322" t="s">
        <v>3250</v>
      </c>
      <c r="G17" s="3331">
        <f>ROUND(E19/G19,2)</f>
        <v>0.68</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v>70</v>
      </c>
      <c r="F18" s="3324" t="s">
        <v>3251</v>
      </c>
      <c r="G18" s="3328">
        <f>ROUND(1-(1/(POWER(1+G24,E18))),4)</f>
        <v>0.96709999999999996</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f>'数据-汇总表'!F19</f>
        <v>104671.29</v>
      </c>
      <c r="F19" s="3339" t="s">
        <v>3252</v>
      </c>
      <c r="G19" s="3338">
        <v>153116</v>
      </c>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3254</v>
      </c>
      <c r="B20" s="167" t="s">
        <v>1990</v>
      </c>
      <c r="C20" s="3325">
        <f>ROUND(IF(F21="与级别开发程度一致",0,(G21-E21)/C21),0)</f>
        <v>47</v>
      </c>
      <c r="D20" s="3341" t="s">
        <v>1994</v>
      </c>
      <c r="E20" s="3342"/>
      <c r="F20" s="3756" t="s">
        <v>1991</v>
      </c>
      <c r="G20" s="3757"/>
      <c r="H20" s="3326" t="s">
        <v>3398</v>
      </c>
      <c r="I20" s="3326" t="s">
        <v>3399</v>
      </c>
      <c r="J20" s="3327" t="s">
        <v>3400</v>
      </c>
      <c r="K20" s="2047" t="s">
        <v>3401</v>
      </c>
      <c r="L20" s="2047" t="s">
        <v>3402</v>
      </c>
      <c r="M20" s="2047" t="s">
        <v>3403</v>
      </c>
      <c r="N20" s="2047" t="s">
        <v>3404</v>
      </c>
      <c r="O20" s="2048" t="s">
        <v>3405</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1993</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3397</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1996</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1997</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054" t="s">
        <v>1998</v>
      </c>
      <c r="E23" s="761">
        <v>44197</v>
      </c>
      <c r="F23" s="2054" t="s">
        <v>1999</v>
      </c>
      <c r="G23" s="762">
        <f>'数据-取费表'!B2</f>
        <v>45421</v>
      </c>
      <c r="H23" s="3343" t="s">
        <v>3255</v>
      </c>
      <c r="I23" s="3344" t="str">
        <f>IF(H23="季度增幅（自定义）",SUMIF(N25:N28,E2,O25:O28),"")</f>
        <v/>
      </c>
      <c r="J23" s="3446" t="s">
        <v>3406</v>
      </c>
      <c r="K23" s="1125"/>
      <c r="L23" s="2055" t="s">
        <v>2000</v>
      </c>
      <c r="M23" s="1328">
        <f>ROUND(SUMIF(地价!B2:G2,E2,地价!B16:G16),0)</f>
        <v>687</v>
      </c>
      <c r="N23" s="2056" t="s">
        <v>2001</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2002</v>
      </c>
      <c r="C24" s="764">
        <f>ROUND(POWER(1+G24,J24-I24)*(POWER(1+G24,I24)-1)/(POWER(1+G24,J24)-1),4)</f>
        <v>0.98580000000000001</v>
      </c>
      <c r="D24" s="2060" t="s">
        <v>2003</v>
      </c>
      <c r="E24" s="1335">
        <f>存贷款利率!E24/100</f>
        <v>4.3499999999999997E-2</v>
      </c>
      <c r="F24" s="2060" t="s">
        <v>1995</v>
      </c>
      <c r="G24" s="768">
        <f>SUMIF(M30:Q30,E2,M33:Q33)</f>
        <v>0.05</v>
      </c>
      <c r="H24" s="2060" t="s">
        <v>2004</v>
      </c>
      <c r="I24" s="769">
        <f>SUMIF('数据-取费表'!C6:C15,E2,'数据-取费表'!F6:F15)/COUNTIF('数据-取费表'!C6:C15,E2)</f>
        <v>62.86</v>
      </c>
      <c r="J24" s="770">
        <f>IF(E2="住宅",70,IF(E2="商业",40,50))</f>
        <v>70</v>
      </c>
      <c r="K24" s="1125"/>
      <c r="L24" s="2061" t="s">
        <v>2005</v>
      </c>
      <c r="M24" s="1329">
        <f>ROUND(SUMPRODUCT((地价!A4:A16=YEAR(G23)&amp;"-"&amp;ROUNDUP(MONTH(G23)/3,0))*(地价!B2:G2=E2)*(地价!B4:G16)),0)</f>
        <v>0</v>
      </c>
      <c r="N24" s="2062" t="s">
        <v>2006</v>
      </c>
      <c r="O24" s="2063" t="s">
        <v>2007</v>
      </c>
      <c r="P24" s="2064" t="s">
        <v>2008</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1.1054999999999999</v>
      </c>
      <c r="D25" s="2067"/>
      <c r="E25" s="2067"/>
      <c r="F25" s="2067"/>
      <c r="G25" s="2067"/>
      <c r="H25" s="2067"/>
      <c r="I25" s="2067"/>
      <c r="J25" s="2068"/>
      <c r="K25" s="1125"/>
      <c r="L25" s="2788"/>
      <c r="M25" s="2788"/>
      <c r="N25" s="2069" t="s">
        <v>2009</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2010</v>
      </c>
      <c r="B26" s="2070" t="s">
        <v>2011</v>
      </c>
      <c r="C26" s="3345" t="s">
        <v>3256</v>
      </c>
      <c r="D26" s="1352">
        <f>IF(E26=G26,F26,IF(G3&lt;10,ROUND(F26+(H26-F26)*(G3-E26)/(G26-E26),4),"——"))</f>
        <v>1.1054999999999999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1.1054999999999999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1.1054999999999999</v>
      </c>
      <c r="I26" s="3345" t="s">
        <v>3257</v>
      </c>
      <c r="J26" s="772" t="str">
        <f>IF(G3&gt;=10,D115,"——")</f>
        <v>——</v>
      </c>
      <c r="K26" s="1125"/>
      <c r="L26" s="2788"/>
      <c r="M26" s="2788"/>
      <c r="N26" s="2069" t="s">
        <v>2012</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2013</v>
      </c>
      <c r="B27" s="2071" t="s">
        <v>2014</v>
      </c>
      <c r="C27" s="841">
        <f>ROUND(IF(I3&lt;6,SUMPRODUCT((B106:B110=I3)*(C105:N105=G2)*(C106:N110)),SUMIF(C105:N105,G2,C112:N112)),4)</f>
        <v>0</v>
      </c>
      <c r="D27" s="2046"/>
      <c r="E27" s="2046"/>
      <c r="F27" s="2072"/>
      <c r="G27" s="2073"/>
      <c r="H27" s="2074"/>
      <c r="I27" s="2075"/>
      <c r="J27" s="2076"/>
      <c r="K27" s="1119"/>
      <c r="L27" s="1997"/>
      <c r="M27" s="1997"/>
      <c r="N27" s="2069" t="s">
        <v>2015</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2016</v>
      </c>
      <c r="C28" s="760">
        <f>SUMIF(A47:A101,E2,B47:B101)</f>
        <v>0.96850000000000003</v>
      </c>
      <c r="D28" s="2052"/>
      <c r="E28" s="2077"/>
      <c r="F28" s="2077"/>
      <c r="G28" s="2077"/>
      <c r="H28" s="2077"/>
      <c r="I28" s="2077"/>
      <c r="J28" s="2078"/>
      <c r="K28" s="1125"/>
      <c r="L28" s="2788"/>
      <c r="M28" s="2788"/>
      <c r="N28" s="2079"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2018</v>
      </c>
      <c r="C29" s="765"/>
      <c r="D29" s="2024"/>
      <c r="E29" s="2024"/>
      <c r="F29" s="2081"/>
      <c r="G29" s="2024"/>
      <c r="H29" s="2024"/>
      <c r="I29" s="2024"/>
      <c r="J29" s="2025"/>
      <c r="K29" s="1119"/>
      <c r="L29" s="1997"/>
      <c r="M29" s="1997"/>
      <c r="N29" s="2785" t="s">
        <v>2019</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2020</v>
      </c>
      <c r="C30" s="2321">
        <f>IF(B25="容积率修正",E33+SUM(E37:E42),SUM(V2:V16)+SUM(E37:E42))</f>
        <v>27246</v>
      </c>
      <c r="D30" s="2083"/>
      <c r="E30" s="2046"/>
      <c r="F30" s="2084"/>
      <c r="G30" s="2046"/>
      <c r="H30" s="2046"/>
      <c r="I30" s="2046"/>
      <c r="J30" s="2085"/>
      <c r="K30" s="1119"/>
      <c r="L30" s="3351" t="s">
        <v>1932</v>
      </c>
      <c r="M30" s="3352" t="s">
        <v>1986</v>
      </c>
      <c r="N30" s="3352" t="s">
        <v>1987</v>
      </c>
      <c r="O30" s="3352" t="s">
        <v>1988</v>
      </c>
      <c r="P30" s="3352" t="s">
        <v>1989</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2021</v>
      </c>
      <c r="C31" s="766">
        <f>E34+SUM(I37:I42)</f>
        <v>0</v>
      </c>
      <c r="D31" s="2087"/>
      <c r="E31" s="2088"/>
      <c r="F31" s="2089"/>
      <c r="G31" s="2088"/>
      <c r="H31" s="2088"/>
      <c r="I31" s="2088"/>
      <c r="J31" s="2090"/>
      <c r="K31" s="1119"/>
      <c r="L31" s="3353" t="s">
        <v>1992</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2022</v>
      </c>
      <c r="C32" s="2093" t="s">
        <v>2023</v>
      </c>
      <c r="D32" s="2093" t="s">
        <v>2024</v>
      </c>
      <c r="E32" s="2094" t="s">
        <v>2025</v>
      </c>
      <c r="F32" s="2095"/>
      <c r="G32" s="2037"/>
      <c r="H32" s="2037"/>
      <c r="I32" s="2037"/>
      <c r="J32" s="2038"/>
      <c r="K32" s="1119"/>
      <c r="L32" s="3354" t="s">
        <v>1995</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2026</v>
      </c>
      <c r="C33" s="175">
        <f>ROUND(C5*C22*C23*C24*C25*C28,0)</f>
        <v>2603</v>
      </c>
      <c r="D33" s="2098">
        <f>'数据-汇总表'!F19</f>
        <v>104671.29</v>
      </c>
      <c r="E33" s="773">
        <f>ROUND(C33*D33/10000,0)</f>
        <v>27246</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2027</v>
      </c>
      <c r="C34" s="187">
        <f>ROUND(IF(E2="工业",C33*M42,IF(B25="楼层修正",SUM(V2:V16)*M41*10000/D34,C33*M41)),0)</f>
        <v>651</v>
      </c>
      <c r="D34" s="2103"/>
      <c r="E34" s="773">
        <f>ROUND(IF(B25="楼层修正",SUM(V2:V16)*M40,C34*D34/10000),0)</f>
        <v>0</v>
      </c>
      <c r="F34" s="2104" t="s">
        <v>2028</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2029</v>
      </c>
      <c r="C35" s="3347" t="s">
        <v>3260</v>
      </c>
      <c r="D35" s="2037"/>
      <c r="E35" s="2109"/>
      <c r="F35" s="2109"/>
      <c r="G35" s="2035" t="s">
        <v>2030</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2023</v>
      </c>
      <c r="D36" s="447" t="s">
        <v>2024</v>
      </c>
      <c r="E36" s="447" t="s">
        <v>2025</v>
      </c>
      <c r="F36" s="342" t="s">
        <v>2031</v>
      </c>
      <c r="G36" s="2112" t="s">
        <v>2023</v>
      </c>
      <c r="H36" s="2112" t="s">
        <v>2024</v>
      </c>
      <c r="I36" s="2112" t="s">
        <v>2025</v>
      </c>
      <c r="J36" s="243"/>
      <c r="K36" s="3357" t="s">
        <v>3264</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2032</v>
      </c>
      <c r="C37" s="175">
        <f>ROUND(D5*C22*C23*C24*C28*F37,0)</f>
        <v>1073</v>
      </c>
      <c r="D37" s="2098"/>
      <c r="E37" s="171">
        <f>ROUND(C37*D37/10000,0)</f>
        <v>0</v>
      </c>
      <c r="F37" s="171">
        <f>SUMIF(修正!A57:A68,G2,修正!B57:B68)</f>
        <v>0.5</v>
      </c>
      <c r="G37" s="171">
        <f>ROUND(IF(E2="工业",C37*$M$42,C37*$M$41),0)</f>
        <v>268</v>
      </c>
      <c r="H37" s="171">
        <f>D37</f>
        <v>0</v>
      </c>
      <c r="I37" s="171">
        <f>ROUND(G37*H37/10000,0)</f>
        <v>0</v>
      </c>
      <c r="J37" s="3012"/>
      <c r="K37" s="3359" t="s">
        <v>3265</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2033</v>
      </c>
      <c r="C38" s="175">
        <f>ROUND(D5*C22*C23*C24*C28*F38,0)</f>
        <v>429</v>
      </c>
      <c r="D38" s="2098"/>
      <c r="E38" s="171">
        <f t="shared" ref="E38:E42" si="4">ROUND(C38*D38/10000,0)</f>
        <v>0</v>
      </c>
      <c r="F38" s="171">
        <f>SUMIF(修正!A57:A68,G2,修正!C57:C68)</f>
        <v>0.2</v>
      </c>
      <c r="G38" s="171">
        <f>ROUND(IF(E2="工业",C38*$M$42,C38*$M$41),0)</f>
        <v>107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3258</v>
      </c>
      <c r="C39" s="175">
        <f>ROUND(D5*C22*C23*C24*C28*F39,0)</f>
        <v>429</v>
      </c>
      <c r="D39" s="2098"/>
      <c r="E39" s="171">
        <f t="shared" si="4"/>
        <v>0</v>
      </c>
      <c r="F39" s="171">
        <f>SUMIF(修正!A57:A68,G2,修正!D57:D68)</f>
        <v>0.2</v>
      </c>
      <c r="G39" s="171">
        <f>ROUND(IF(E2="工业",C39*$M$42,C39*$M$41),0)</f>
        <v>107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2034</v>
      </c>
      <c r="C40" s="171">
        <f>ROUND(D5*C22*C23*C24*C28*F40,0)</f>
        <v>429</v>
      </c>
      <c r="D40" s="2098"/>
      <c r="E40" s="171">
        <f t="shared" si="4"/>
        <v>0</v>
      </c>
      <c r="F40" s="175">
        <f>SUMIF(修正!A57:A68,G2,修正!E57:E68)</f>
        <v>0.2</v>
      </c>
      <c r="G40" s="171">
        <f>ROUND(IF(E2="工业",C40*$M$42,C40*$M$41),0)</f>
        <v>107</v>
      </c>
      <c r="H40" s="171">
        <f t="shared" si="5"/>
        <v>0</v>
      </c>
      <c r="I40" s="171">
        <f t="shared" si="6"/>
        <v>0</v>
      </c>
      <c r="J40" s="2114"/>
      <c r="L40" s="2116" t="s">
        <v>2035</v>
      </c>
      <c r="M40" s="2117"/>
      <c r="Z40" s="1120"/>
      <c r="AA40" s="1120"/>
      <c r="AB40" s="1120"/>
      <c r="AC40" s="1120"/>
      <c r="AD40" s="1120"/>
      <c r="AE40" s="1120"/>
      <c r="AF40" s="1120"/>
      <c r="AG40" s="1120"/>
      <c r="AH40" s="1120"/>
      <c r="AI40" s="1120"/>
      <c r="AJ40" s="1120"/>
    </row>
    <row r="41" spans="1:37" s="1119" customFormat="1">
      <c r="A41" s="2115"/>
      <c r="B41" s="2041" t="s">
        <v>2036</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2037</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1989</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f>ROUND(POWER(1+E44,H44-G44)*(POWER(1+E44,G44)-1)/(POWER(1+E44,H44)-1),4)</f>
        <v>0</v>
      </c>
      <c r="D44" s="171" t="s">
        <v>1995</v>
      </c>
      <c r="E44" s="2153">
        <f>G24</f>
        <v>0.05</v>
      </c>
      <c r="F44" s="171" t="s">
        <v>2004</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2038</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2039</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2040</v>
      </c>
      <c r="B49" s="1351" t="s">
        <v>2041</v>
      </c>
      <c r="C49" s="1351" t="s">
        <v>2042</v>
      </c>
      <c r="D49" s="1351" t="s">
        <v>2043</v>
      </c>
      <c r="E49" s="743" t="s">
        <v>2044</v>
      </c>
      <c r="F49" s="2131" t="s">
        <v>2045</v>
      </c>
      <c r="G49" s="1351" t="s">
        <v>310</v>
      </c>
      <c r="H49" s="2132" t="s">
        <v>2046</v>
      </c>
      <c r="I49" s="1351" t="s">
        <v>2047</v>
      </c>
      <c r="J49" s="552" t="s">
        <v>1717</v>
      </c>
      <c r="K49" s="552" t="s">
        <v>1718</v>
      </c>
      <c r="L49" s="552" t="s">
        <v>1719</v>
      </c>
      <c r="M49" s="552" t="s">
        <v>1720</v>
      </c>
      <c r="N49" s="552" t="s">
        <v>1721</v>
      </c>
      <c r="AA49" s="1120"/>
      <c r="AB49" s="1120"/>
      <c r="AC49" s="1120"/>
      <c r="AD49" s="1120"/>
      <c r="AE49" s="1120"/>
      <c r="AF49" s="1120"/>
      <c r="AG49" s="1120"/>
      <c r="AH49" s="1120"/>
      <c r="AI49" s="1120"/>
      <c r="AJ49" s="1120"/>
      <c r="AK49" s="1120"/>
    </row>
    <row r="50" spans="1:37" s="1119" customFormat="1" ht="38.25">
      <c r="A50" s="2130" t="s">
        <v>2048</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2049</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2050</v>
      </c>
      <c r="B53" s="2135" t="s">
        <v>2051</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2052</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2053</v>
      </c>
      <c r="B55" s="2136" t="s">
        <v>2054</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2055</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2056</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2057</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2058</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2040</v>
      </c>
      <c r="B60" s="1351"/>
      <c r="C60" s="1351" t="s">
        <v>2042</v>
      </c>
      <c r="D60" s="1351" t="s">
        <v>2043</v>
      </c>
      <c r="E60" s="743" t="s">
        <v>2044</v>
      </c>
      <c r="F60" s="2131" t="s">
        <v>2059</v>
      </c>
      <c r="G60" s="1351" t="s">
        <v>310</v>
      </c>
      <c r="H60" s="2132" t="s">
        <v>2046</v>
      </c>
      <c r="I60" s="1351" t="s">
        <v>2047</v>
      </c>
      <c r="J60" s="552" t="s">
        <v>1717</v>
      </c>
      <c r="K60" s="552" t="s">
        <v>1718</v>
      </c>
      <c r="L60" s="552" t="s">
        <v>1719</v>
      </c>
      <c r="M60" s="552" t="s">
        <v>1720</v>
      </c>
      <c r="N60" s="552" t="s">
        <v>1721</v>
      </c>
      <c r="AA60" s="1120"/>
      <c r="AB60" s="1120"/>
      <c r="AC60" s="1120"/>
      <c r="AD60" s="1120"/>
      <c r="AE60" s="1120"/>
      <c r="AF60" s="1120"/>
      <c r="AG60" s="1120"/>
      <c r="AH60" s="1120"/>
      <c r="AI60" s="1120"/>
      <c r="AJ60" s="1120"/>
      <c r="AK60" s="1120"/>
    </row>
    <row r="61" spans="1:37" s="1119" customFormat="1" ht="38.25">
      <c r="A61" s="2130" t="s">
        <v>2060</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2049</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2050</v>
      </c>
      <c r="B64" s="2135" t="s">
        <v>2051</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2052</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2053</v>
      </c>
      <c r="B66" s="2136" t="s">
        <v>2054</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2055</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2056</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2057</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2061</v>
      </c>
      <c r="B70" s="2127">
        <f>1+E72</f>
        <v>0.96850000000000003</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2040</v>
      </c>
      <c r="B71" s="1351"/>
      <c r="C71" s="1351" t="s">
        <v>2042</v>
      </c>
      <c r="D71" s="1351" t="s">
        <v>2043</v>
      </c>
      <c r="E71" s="743" t="s">
        <v>2044</v>
      </c>
      <c r="F71" s="2131" t="s">
        <v>2059</v>
      </c>
      <c r="G71" s="1351" t="s">
        <v>310</v>
      </c>
      <c r="H71" s="2132" t="s">
        <v>2046</v>
      </c>
      <c r="I71" s="1351" t="s">
        <v>2047</v>
      </c>
      <c r="J71" s="552" t="s">
        <v>1717</v>
      </c>
      <c r="K71" s="552" t="s">
        <v>1718</v>
      </c>
      <c r="L71" s="552" t="s">
        <v>1719</v>
      </c>
      <c r="M71" s="552" t="s">
        <v>1720</v>
      </c>
      <c r="N71" s="552" t="s">
        <v>1721</v>
      </c>
      <c r="AA71" s="1120"/>
      <c r="AB71" s="1120"/>
      <c r="AC71" s="1120"/>
      <c r="AD71" s="1120"/>
      <c r="AE71" s="1120"/>
      <c r="AF71" s="1120"/>
      <c r="AG71" s="1120"/>
      <c r="AH71" s="1120"/>
      <c r="AI71" s="1120"/>
      <c r="AJ71" s="1120"/>
      <c r="AK71" s="1120"/>
    </row>
    <row r="72" spans="1:37" s="1119" customFormat="1" ht="51">
      <c r="A72" s="2130" t="s">
        <v>2062</v>
      </c>
      <c r="B72" s="2133" t="str">
        <f>估价对象房地状况!C15</f>
        <v>估价对象周边居住用地比例、居住小区规模和社区发展完善程度，综合评价居住社区成熟度一般</v>
      </c>
      <c r="C72" s="2044" t="s">
        <v>3407</v>
      </c>
      <c r="D72" s="1065">
        <f t="shared" ref="D72:D80" si="17">SUMIF($J$71:$N$71,C72,J72:N72)</f>
        <v>-1.4999999999999999E-2</v>
      </c>
      <c r="E72" s="744">
        <f>ROUND(SUM(D72:D80),4)</f>
        <v>-3.15E-2</v>
      </c>
      <c r="F72" s="1814">
        <f>IF(E2="住宅",SUMIF(L1:L12,G2,N1:N12),"——")</f>
        <v>0.15</v>
      </c>
      <c r="G72" s="1063">
        <f>H72</f>
        <v>1.4999999999999999E-2</v>
      </c>
      <c r="H72" s="1066">
        <f t="shared" ref="H72:H80" si="18">IFERROR(ROUNDDOWN($F$72*I72/2,4),"——")</f>
        <v>1.4999999999999999E-2</v>
      </c>
      <c r="I72" s="3367">
        <v>0.2</v>
      </c>
      <c r="J72" s="1064">
        <f t="shared" ref="J72:J80" si="19">K72+$G72</f>
        <v>0.03</v>
      </c>
      <c r="K72" s="1064">
        <f t="shared" ref="K72:K80" si="20">$L72+$G72</f>
        <v>1.4999999999999999E-2</v>
      </c>
      <c r="L72" s="1064">
        <v>0</v>
      </c>
      <c r="M72" s="1064">
        <f t="shared" ref="M72:N80" si="21">L72-$G72</f>
        <v>-1.4999999999999999E-2</v>
      </c>
      <c r="N72" s="1064">
        <f t="shared" si="21"/>
        <v>-0.03</v>
      </c>
      <c r="AA72" s="1120"/>
      <c r="AB72" s="1120"/>
      <c r="AC72" s="1120"/>
      <c r="AD72" s="1120"/>
      <c r="AE72" s="1120"/>
      <c r="AF72" s="1120"/>
      <c r="AG72" s="1120"/>
      <c r="AH72" s="1120"/>
      <c r="AI72" s="1120"/>
      <c r="AJ72" s="1120"/>
      <c r="AK72" s="1120"/>
    </row>
    <row r="73" spans="1:37" s="1119" customFormat="1" ht="38.25">
      <c r="A73" s="2130" t="s">
        <v>2049</v>
      </c>
      <c r="B73" s="2134" t="str">
        <f>估价对象房地状况!C18</f>
        <v>估价对象周边道路状况、公共交通通达情况、停车便捷程度，综合评价交通便捷度较好</v>
      </c>
      <c r="C73" s="2044" t="s">
        <v>3407</v>
      </c>
      <c r="D73" s="1065">
        <f t="shared" si="17"/>
        <v>-1.95E-2</v>
      </c>
      <c r="E73" s="747"/>
      <c r="F73" s="1814"/>
      <c r="G73" s="1063">
        <f t="shared" ref="G73:G80" si="22">H73</f>
        <v>1.95E-2</v>
      </c>
      <c r="H73" s="1066">
        <f t="shared" si="18"/>
        <v>1.95E-2</v>
      </c>
      <c r="I73" s="3367">
        <v>0.26</v>
      </c>
      <c r="J73" s="1064">
        <f t="shared" si="19"/>
        <v>3.9E-2</v>
      </c>
      <c r="K73" s="1064">
        <f t="shared" si="20"/>
        <v>1.95E-2</v>
      </c>
      <c r="L73" s="1064">
        <v>0</v>
      </c>
      <c r="M73" s="1064">
        <f t="shared" si="21"/>
        <v>-1.95E-2</v>
      </c>
      <c r="N73" s="1064">
        <f t="shared" si="21"/>
        <v>-3.9E-2</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t="s">
        <v>3408</v>
      </c>
      <c r="D74" s="1065">
        <f t="shared" si="17"/>
        <v>0</v>
      </c>
      <c r="E74" s="747"/>
      <c r="F74" s="1814"/>
      <c r="G74" s="1063">
        <f t="shared" si="22"/>
        <v>7.4999999999999997E-3</v>
      </c>
      <c r="H74" s="1066">
        <f t="shared" si="18"/>
        <v>7.4999999999999997E-3</v>
      </c>
      <c r="I74" s="3367">
        <v>0.1</v>
      </c>
      <c r="J74" s="1064">
        <f t="shared" si="19"/>
        <v>1.4999999999999999E-2</v>
      </c>
      <c r="K74" s="1064">
        <f t="shared" si="20"/>
        <v>7.4999999999999997E-3</v>
      </c>
      <c r="L74" s="1064">
        <v>0</v>
      </c>
      <c r="M74" s="1064">
        <f t="shared" si="21"/>
        <v>-7.4999999999999997E-3</v>
      </c>
      <c r="N74" s="1064">
        <f t="shared" si="21"/>
        <v>-1.4999999999999999E-2</v>
      </c>
      <c r="O74" s="1119"/>
      <c r="P74" s="1119"/>
      <c r="Q74" s="1119"/>
      <c r="AA74" s="2141"/>
      <c r="AB74" s="1120"/>
      <c r="AC74" s="1120"/>
      <c r="AD74" s="1120"/>
      <c r="AE74" s="1120"/>
      <c r="AF74" s="1120"/>
      <c r="AG74" s="1120"/>
      <c r="AH74" s="2141"/>
      <c r="AI74" s="2141"/>
      <c r="AJ74" s="2141"/>
      <c r="AK74" s="2141"/>
    </row>
    <row r="75" spans="1:37" ht="14.25">
      <c r="A75" s="2130" t="s">
        <v>2063</v>
      </c>
      <c r="B75" s="2134">
        <f>估价对象房地状况!C24</f>
        <v>0</v>
      </c>
      <c r="C75" s="2044" t="s">
        <v>3408</v>
      </c>
      <c r="D75" s="1065">
        <f t="shared" si="17"/>
        <v>0</v>
      </c>
      <c r="E75" s="747"/>
      <c r="F75" s="1814"/>
      <c r="G75" s="1063">
        <f t="shared" si="22"/>
        <v>3.7000000000000002E-3</v>
      </c>
      <c r="H75" s="1066">
        <f t="shared" si="18"/>
        <v>3.7000000000000002E-3</v>
      </c>
      <c r="I75" s="3367">
        <v>0.05</v>
      </c>
      <c r="J75" s="1064">
        <f t="shared" si="19"/>
        <v>7.4000000000000003E-3</v>
      </c>
      <c r="K75" s="1064">
        <f t="shared" si="20"/>
        <v>3.7000000000000002E-3</v>
      </c>
      <c r="L75" s="1064">
        <v>0</v>
      </c>
      <c r="M75" s="1064">
        <f t="shared" si="21"/>
        <v>-3.7000000000000002E-3</v>
      </c>
      <c r="N75" s="1064">
        <f t="shared" si="21"/>
        <v>-7.4000000000000003E-3</v>
      </c>
      <c r="O75" s="1119"/>
      <c r="P75" s="1119"/>
      <c r="Q75" s="1997"/>
      <c r="Z75" s="1998"/>
      <c r="AA75" s="2053"/>
      <c r="AG75" s="1121"/>
      <c r="AK75" s="2053"/>
    </row>
    <row r="76" spans="1:37" ht="25.5">
      <c r="A76" s="2130" t="s">
        <v>2055</v>
      </c>
      <c r="B76" s="1326" t="str">
        <f>估价对象房地状况!C21</f>
        <v>估价对象所在区域公共配套设施齐备情况</v>
      </c>
      <c r="C76" s="2044" t="s">
        <v>3407</v>
      </c>
      <c r="D76" s="1065">
        <f t="shared" si="17"/>
        <v>-6.0000000000000001E-3</v>
      </c>
      <c r="E76" s="747"/>
      <c r="F76" s="1814"/>
      <c r="G76" s="1063">
        <f t="shared" si="22"/>
        <v>6.0000000000000001E-3</v>
      </c>
      <c r="H76" s="1066">
        <f t="shared" si="18"/>
        <v>6.0000000000000001E-3</v>
      </c>
      <c r="I76" s="3367">
        <v>0.08</v>
      </c>
      <c r="J76" s="1064">
        <f t="shared" si="19"/>
        <v>1.2E-2</v>
      </c>
      <c r="K76" s="1064">
        <f t="shared" si="20"/>
        <v>6.0000000000000001E-3</v>
      </c>
      <c r="L76" s="1064">
        <v>0</v>
      </c>
      <c r="M76" s="1064">
        <f t="shared" si="21"/>
        <v>-6.0000000000000001E-3</v>
      </c>
      <c r="N76" s="1064">
        <f t="shared" si="21"/>
        <v>-1.2E-2</v>
      </c>
      <c r="O76" s="1119"/>
      <c r="P76" s="1119"/>
      <c r="Z76" s="1998"/>
      <c r="AA76" s="2053"/>
      <c r="AG76" s="1121"/>
      <c r="AK76" s="2053"/>
    </row>
    <row r="77" spans="1:37" ht="25.5">
      <c r="A77" s="2130" t="s">
        <v>2056</v>
      </c>
      <c r="B77" s="1326" t="str">
        <f>估价对象房地状况!C22</f>
        <v>估价对象所在区域基础设施水平</v>
      </c>
      <c r="C77" s="2044" t="s">
        <v>3408</v>
      </c>
      <c r="D77" s="1065">
        <f t="shared" si="17"/>
        <v>0</v>
      </c>
      <c r="E77" s="747"/>
      <c r="F77" s="1814"/>
      <c r="G77" s="1063">
        <f t="shared" si="22"/>
        <v>6.7000000000000002E-3</v>
      </c>
      <c r="H77" s="1066">
        <f t="shared" si="18"/>
        <v>6.7000000000000002E-3</v>
      </c>
      <c r="I77" s="3367">
        <v>0.09</v>
      </c>
      <c r="J77" s="1064">
        <f t="shared" si="19"/>
        <v>1.34E-2</v>
      </c>
      <c r="K77" s="1064">
        <f t="shared" si="20"/>
        <v>6.7000000000000002E-3</v>
      </c>
      <c r="L77" s="1064">
        <v>0</v>
      </c>
      <c r="M77" s="1064">
        <f t="shared" si="21"/>
        <v>-6.7000000000000002E-3</v>
      </c>
      <c r="N77" s="1064">
        <f t="shared" si="21"/>
        <v>-1.34E-2</v>
      </c>
      <c r="O77" s="1119"/>
      <c r="P77" s="1119"/>
      <c r="Z77" s="1998"/>
      <c r="AA77" s="2053"/>
      <c r="AG77" s="1121"/>
      <c r="AK77" s="2053"/>
    </row>
    <row r="78" spans="1:37" ht="24">
      <c r="A78" s="2130" t="s">
        <v>2053</v>
      </c>
      <c r="B78" s="2136" t="s">
        <v>2054</v>
      </c>
      <c r="C78" s="2044" t="s">
        <v>3409</v>
      </c>
      <c r="D78" s="1065">
        <f t="shared" si="17"/>
        <v>3.7000000000000002E-3</v>
      </c>
      <c r="E78" s="747"/>
      <c r="F78" s="1814"/>
      <c r="G78" s="1063">
        <f t="shared" si="22"/>
        <v>3.7000000000000002E-3</v>
      </c>
      <c r="H78" s="1066">
        <f t="shared" si="18"/>
        <v>3.7000000000000002E-3</v>
      </c>
      <c r="I78" s="3367">
        <v>0.05</v>
      </c>
      <c r="J78" s="1064">
        <f t="shared" si="19"/>
        <v>7.4000000000000003E-3</v>
      </c>
      <c r="K78" s="1064">
        <f t="shared" si="20"/>
        <v>3.7000000000000002E-3</v>
      </c>
      <c r="L78" s="1064">
        <v>0</v>
      </c>
      <c r="M78" s="1064">
        <f t="shared" si="21"/>
        <v>-3.7000000000000002E-3</v>
      </c>
      <c r="N78" s="1064">
        <f t="shared" si="21"/>
        <v>-7.4000000000000003E-3</v>
      </c>
      <c r="O78" s="1997"/>
      <c r="P78" s="1997"/>
      <c r="Z78" s="1998"/>
      <c r="AA78" s="2053"/>
      <c r="AG78" s="1121"/>
      <c r="AK78" s="2053"/>
    </row>
    <row r="79" spans="1:37" ht="25.5">
      <c r="A79" s="2130" t="s">
        <v>2057</v>
      </c>
      <c r="B79" s="2133" t="str">
        <f>估价对象房地状况!C20</f>
        <v>区域自然环境：；人文环境；综合评价环境状况一般</v>
      </c>
      <c r="C79" s="2044" t="s">
        <v>3409</v>
      </c>
      <c r="D79" s="1065">
        <f t="shared" si="17"/>
        <v>8.9999999999999993E-3</v>
      </c>
      <c r="E79" s="747"/>
      <c r="F79" s="1814"/>
      <c r="G79" s="1063">
        <f t="shared" si="22"/>
        <v>8.9999999999999993E-3</v>
      </c>
      <c r="H79" s="1066">
        <f t="shared" si="18"/>
        <v>8.9999999999999993E-3</v>
      </c>
      <c r="I79" s="3367">
        <v>0.12</v>
      </c>
      <c r="J79" s="1064">
        <f t="shared" si="19"/>
        <v>1.7999999999999999E-2</v>
      </c>
      <c r="K79" s="1064">
        <f t="shared" si="20"/>
        <v>8.9999999999999993E-3</v>
      </c>
      <c r="L79" s="1064">
        <v>0</v>
      </c>
      <c r="M79" s="1064">
        <f t="shared" si="21"/>
        <v>-8.9999999999999993E-3</v>
      </c>
      <c r="N79" s="1064">
        <f t="shared" si="21"/>
        <v>-1.7999999999999999E-2</v>
      </c>
      <c r="Z79" s="1998"/>
      <c r="AA79" s="2053"/>
      <c r="AG79" s="1121"/>
      <c r="AK79" s="2053"/>
    </row>
    <row r="80" spans="1:37" ht="24.75" thickBot="1">
      <c r="A80" s="2138" t="s">
        <v>2064</v>
      </c>
      <c r="B80" s="2142"/>
      <c r="C80" s="2044" t="s">
        <v>3407</v>
      </c>
      <c r="D80" s="1065">
        <f t="shared" si="17"/>
        <v>-3.7000000000000002E-3</v>
      </c>
      <c r="E80" s="748"/>
      <c r="F80" s="1814"/>
      <c r="G80" s="1063">
        <f t="shared" si="22"/>
        <v>3.7000000000000002E-3</v>
      </c>
      <c r="H80" s="1066">
        <f t="shared" si="18"/>
        <v>3.7000000000000002E-3</v>
      </c>
      <c r="I80" s="3368">
        <v>0.05</v>
      </c>
      <c r="J80" s="1064">
        <f t="shared" si="19"/>
        <v>7.4000000000000003E-3</v>
      </c>
      <c r="K80" s="1064">
        <f t="shared" si="20"/>
        <v>3.7000000000000002E-3</v>
      </c>
      <c r="L80" s="1064">
        <v>0</v>
      </c>
      <c r="M80" s="1064">
        <f t="shared" si="21"/>
        <v>-3.7000000000000002E-3</v>
      </c>
      <c r="N80" s="1064">
        <f t="shared" si="21"/>
        <v>-7.4000000000000003E-3</v>
      </c>
      <c r="Z80" s="1998"/>
      <c r="AA80" s="2053"/>
      <c r="AG80" s="1121"/>
      <c r="AK80" s="2053"/>
    </row>
    <row r="81" spans="1:37" ht="15">
      <c r="A81" s="2126" t="s">
        <v>2065</v>
      </c>
      <c r="B81" s="2127">
        <f>1+E83</f>
        <v>1</v>
      </c>
      <c r="C81" s="741"/>
      <c r="D81" s="741"/>
      <c r="E81" s="742"/>
      <c r="F81" s="2129"/>
      <c r="G81" s="3"/>
      <c r="H81" s="3"/>
      <c r="I81" s="3"/>
      <c r="J81" s="4"/>
      <c r="K81" s="4"/>
      <c r="L81" s="4"/>
      <c r="M81" s="4"/>
      <c r="N81" s="4"/>
      <c r="Z81" s="1998"/>
      <c r="AA81" s="2053"/>
      <c r="AG81" s="1121"/>
      <c r="AK81" s="2053"/>
    </row>
    <row r="82" spans="1:37" ht="24.75">
      <c r="A82" s="2130" t="s">
        <v>2040</v>
      </c>
      <c r="B82" s="1351"/>
      <c r="C82" s="1351" t="s">
        <v>2042</v>
      </c>
      <c r="D82" s="1351" t="s">
        <v>2043</v>
      </c>
      <c r="E82" s="743" t="s">
        <v>2044</v>
      </c>
      <c r="F82" s="2131" t="s">
        <v>2059</v>
      </c>
      <c r="G82" s="1351" t="s">
        <v>310</v>
      </c>
      <c r="H82" s="2132" t="s">
        <v>2046</v>
      </c>
      <c r="I82" s="1351" t="s">
        <v>2047</v>
      </c>
      <c r="J82" s="552" t="s">
        <v>1717</v>
      </c>
      <c r="K82" s="552" t="s">
        <v>1718</v>
      </c>
      <c r="L82" s="552" t="s">
        <v>1719</v>
      </c>
      <c r="M82" s="552" t="s">
        <v>1720</v>
      </c>
      <c r="N82" s="552" t="s">
        <v>1721</v>
      </c>
      <c r="Z82" s="1998"/>
      <c r="AA82" s="2053"/>
      <c r="AG82" s="1121"/>
      <c r="AK82" s="2053"/>
    </row>
    <row r="83" spans="1:37" ht="38.25">
      <c r="A83" s="2130" t="s">
        <v>2066</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2049</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3269</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2063</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2055</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2056</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2053</v>
      </c>
      <c r="B89" s="2136" t="s">
        <v>2067</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2068</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3293</v>
      </c>
      <c r="B103" s="3752"/>
      <c r="C103" s="3752"/>
      <c r="D103" s="3752"/>
      <c r="E103" s="3752"/>
      <c r="F103" s="3752"/>
      <c r="G103" s="3752"/>
      <c r="H103" s="3752"/>
      <c r="I103" s="3752"/>
      <c r="J103" s="3752"/>
      <c r="K103" s="3390"/>
      <c r="L103" s="3390"/>
      <c r="M103" s="3390"/>
      <c r="N103" s="3390"/>
    </row>
    <row r="104" spans="1:14">
      <c r="A104" s="3753" t="s">
        <v>3294</v>
      </c>
      <c r="B104" s="3753" t="s">
        <v>3295</v>
      </c>
      <c r="C104" s="3391" t="s">
        <v>3296</v>
      </c>
      <c r="D104" s="3392"/>
      <c r="E104" s="3392"/>
      <c r="F104" s="3392"/>
      <c r="G104" s="3392"/>
      <c r="H104" s="3392"/>
      <c r="I104" s="3392"/>
      <c r="J104" s="3393"/>
      <c r="K104" s="3394"/>
      <c r="L104" s="3394"/>
      <c r="M104" s="3394"/>
      <c r="N104" s="3394"/>
    </row>
    <row r="105" spans="1:14">
      <c r="A105" s="3753"/>
      <c r="B105" s="3753"/>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739"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3267</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2" t="s">
        <v>3310</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1</v>
      </c>
      <c r="C116" s="3400" t="s">
        <v>3312</v>
      </c>
      <c r="D116" s="3401">
        <f>SUMPRODUCT((A118:A122=F116)*(B117:M117=H116)*B118:M122)</f>
        <v>0.77800000000000002</v>
      </c>
      <c r="E116" s="2000" t="s">
        <v>3313</v>
      </c>
      <c r="F116" s="3402" t="str">
        <f>E2</f>
        <v>住宅</v>
      </c>
      <c r="G116" s="2000" t="s">
        <v>3314</v>
      </c>
      <c r="H116" s="3402" t="str">
        <f>G2</f>
        <v>十一级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3328</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3329</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3330</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67" t="s">
        <v>2607</v>
      </c>
      <c r="B20" s="3762" t="s">
        <v>2628</v>
      </c>
      <c r="C20" s="3103" t="s">
        <v>2439</v>
      </c>
      <c r="D20" s="3104"/>
      <c r="E20" s="3105">
        <v>1</v>
      </c>
      <c r="F20" s="3106" t="s">
        <v>2440</v>
      </c>
      <c r="G20" s="3106"/>
    </row>
    <row r="21" spans="1:13" ht="19.5" customHeight="1">
      <c r="A21" s="3768"/>
      <c r="B21" s="3761"/>
      <c r="C21" s="3107" t="s">
        <v>2441</v>
      </c>
      <c r="D21" s="3108"/>
      <c r="E21" s="3109">
        <v>1</v>
      </c>
      <c r="F21" s="3106" t="s">
        <v>2442</v>
      </c>
      <c r="G21" s="3106"/>
    </row>
    <row r="22" spans="1:13" ht="19.5" customHeight="1">
      <c r="A22" s="3768"/>
      <c r="B22" s="3761"/>
      <c r="C22" s="3107" t="s">
        <v>2443</v>
      </c>
      <c r="D22" s="3108"/>
      <c r="E22" s="3109">
        <v>0.9</v>
      </c>
      <c r="F22" s="3106" t="s">
        <v>2444</v>
      </c>
      <c r="G22" s="3106"/>
    </row>
    <row r="23" spans="1:13" ht="19.5" customHeight="1">
      <c r="A23" s="3768"/>
      <c r="B23" s="3761"/>
      <c r="C23" s="3107" t="s">
        <v>2445</v>
      </c>
      <c r="D23" s="3108"/>
      <c r="E23" s="3109">
        <v>0.9</v>
      </c>
      <c r="F23" s="3106" t="s">
        <v>2446</v>
      </c>
      <c r="G23" s="3106"/>
    </row>
    <row r="24" spans="1:13" ht="19.5" customHeight="1">
      <c r="A24" s="3768"/>
      <c r="B24" s="3761"/>
      <c r="C24" s="3107" t="s">
        <v>2447</v>
      </c>
      <c r="D24" s="3108"/>
      <c r="E24" s="3109">
        <v>0.8</v>
      </c>
      <c r="F24" s="3106" t="s">
        <v>2448</v>
      </c>
      <c r="G24" s="3106"/>
    </row>
    <row r="25" spans="1:13" ht="19.5" customHeight="1" thickBot="1">
      <c r="A25" s="3769"/>
      <c r="B25" s="3763"/>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64" t="s">
        <v>2631</v>
      </c>
      <c r="B27" s="3762" t="s">
        <v>2612</v>
      </c>
      <c r="C27" s="3103" t="s">
        <v>2452</v>
      </c>
      <c r="D27" s="3104"/>
      <c r="E27" s="3105">
        <v>1</v>
      </c>
      <c r="F27" s="3106" t="s">
        <v>2453</v>
      </c>
      <c r="G27" s="3106"/>
    </row>
    <row r="28" spans="1:13" ht="19.5" customHeight="1">
      <c r="A28" s="3765"/>
      <c r="B28" s="3761"/>
      <c r="C28" s="3107" t="s">
        <v>2454</v>
      </c>
      <c r="D28" s="3108"/>
      <c r="E28" s="3109">
        <v>1</v>
      </c>
      <c r="F28" s="3106" t="s">
        <v>2455</v>
      </c>
      <c r="G28" s="3106"/>
    </row>
    <row r="29" spans="1:13" ht="19.5" customHeight="1">
      <c r="A29" s="3765"/>
      <c r="B29" s="3761"/>
      <c r="C29" s="3107" t="s">
        <v>2456</v>
      </c>
      <c r="D29" s="3108"/>
      <c r="E29" s="3109">
        <v>0.8</v>
      </c>
      <c r="F29" s="3106" t="s">
        <v>2457</v>
      </c>
      <c r="G29" s="3106"/>
    </row>
    <row r="30" spans="1:13" ht="19.5" customHeight="1">
      <c r="A30" s="3765"/>
      <c r="B30" s="3761"/>
      <c r="C30" s="3107" t="s">
        <v>2458</v>
      </c>
      <c r="D30" s="3108"/>
      <c r="E30" s="3109">
        <v>0.8</v>
      </c>
      <c r="F30" s="3106" t="s">
        <v>2459</v>
      </c>
      <c r="G30" s="3106"/>
    </row>
    <row r="31" spans="1:13" ht="19.5" customHeight="1">
      <c r="A31" s="3765"/>
      <c r="B31" s="3761"/>
      <c r="C31" s="3107" t="s">
        <v>2460</v>
      </c>
      <c r="D31" s="3108"/>
      <c r="E31" s="3109">
        <v>0.8</v>
      </c>
      <c r="F31" s="3106" t="s">
        <v>2461</v>
      </c>
      <c r="G31" s="3106"/>
    </row>
    <row r="32" spans="1:13" ht="19.5" customHeight="1">
      <c r="A32" s="3765"/>
      <c r="B32" s="3761"/>
      <c r="C32" s="3107" t="s">
        <v>2462</v>
      </c>
      <c r="D32" s="3108"/>
      <c r="E32" s="3109">
        <v>0.7</v>
      </c>
      <c r="F32" s="3106" t="s">
        <v>2463</v>
      </c>
      <c r="G32" s="3106"/>
    </row>
    <row r="33" spans="1:7" ht="19.5" customHeight="1">
      <c r="A33" s="3765"/>
      <c r="B33" s="3761"/>
      <c r="C33" s="3107" t="s">
        <v>2464</v>
      </c>
      <c r="D33" s="3108"/>
      <c r="E33" s="3109">
        <v>0.8</v>
      </c>
      <c r="F33" s="3106" t="s">
        <v>2465</v>
      </c>
      <c r="G33" s="3106"/>
    </row>
    <row r="34" spans="1:7" ht="19.5" customHeight="1">
      <c r="A34" s="3765"/>
      <c r="B34" s="3761"/>
      <c r="C34" s="3107" t="s">
        <v>2466</v>
      </c>
      <c r="D34" s="3108"/>
      <c r="E34" s="3109">
        <v>0.6</v>
      </c>
      <c r="F34" s="3106" t="s">
        <v>2467</v>
      </c>
      <c r="G34" s="3106"/>
    </row>
    <row r="35" spans="1:7" ht="19.5" customHeight="1">
      <c r="A35" s="3765"/>
      <c r="B35" s="3761"/>
      <c r="C35" s="3107" t="s">
        <v>2468</v>
      </c>
      <c r="D35" s="3108"/>
      <c r="E35" s="3109">
        <v>0.2</v>
      </c>
      <c r="F35" s="3106" t="s">
        <v>2469</v>
      </c>
      <c r="G35" s="3106"/>
    </row>
    <row r="36" spans="1:7" ht="19.5" customHeight="1">
      <c r="A36" s="3765"/>
      <c r="B36" s="3761"/>
      <c r="C36" s="3107" t="s">
        <v>2470</v>
      </c>
      <c r="D36" s="3108"/>
      <c r="E36" s="3109">
        <v>0.2</v>
      </c>
      <c r="F36" s="3106" t="s">
        <v>2471</v>
      </c>
      <c r="G36" s="3106"/>
    </row>
    <row r="37" spans="1:7" ht="19.5" customHeight="1">
      <c r="A37" s="3765"/>
      <c r="B37" s="3759" t="s">
        <v>2632</v>
      </c>
      <c r="C37" s="3107" t="s">
        <v>2472</v>
      </c>
      <c r="D37" s="3108"/>
      <c r="E37" s="3109">
        <v>0.6</v>
      </c>
      <c r="F37" s="3106" t="s">
        <v>2473</v>
      </c>
      <c r="G37" s="3106"/>
    </row>
    <row r="38" spans="1:7" ht="19.5" customHeight="1">
      <c r="A38" s="3765"/>
      <c r="B38" s="3761"/>
      <c r="C38" s="3107" t="s">
        <v>2474</v>
      </c>
      <c r="D38" s="3108"/>
      <c r="E38" s="3109">
        <v>0.6</v>
      </c>
      <c r="F38" s="3106" t="s">
        <v>2475</v>
      </c>
      <c r="G38" s="3106"/>
    </row>
    <row r="39" spans="1:7" ht="19.5" customHeight="1" thickBot="1">
      <c r="A39" s="3766"/>
      <c r="B39" s="3763"/>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67" t="s">
        <v>2610</v>
      </c>
      <c r="B41" s="3762" t="s">
        <v>2634</v>
      </c>
      <c r="C41" s="3103" t="s">
        <v>2479</v>
      </c>
      <c r="D41" s="3104"/>
      <c r="E41" s="3105">
        <v>1</v>
      </c>
      <c r="F41" s="3106" t="s">
        <v>2480</v>
      </c>
      <c r="G41" s="3106"/>
    </row>
    <row r="42" spans="1:7" ht="19.5" customHeight="1">
      <c r="A42" s="3768"/>
      <c r="B42" s="3761"/>
      <c r="C42" s="3107" t="s">
        <v>2481</v>
      </c>
      <c r="D42" s="3108"/>
      <c r="E42" s="3109">
        <v>1</v>
      </c>
      <c r="F42" s="3106" t="s">
        <v>2482</v>
      </c>
      <c r="G42" s="3106"/>
    </row>
    <row r="43" spans="1:7" ht="19.5" customHeight="1">
      <c r="A43" s="3768"/>
      <c r="B43" s="3760"/>
      <c r="C43" s="3107" t="s">
        <v>2483</v>
      </c>
      <c r="D43" s="3108"/>
      <c r="E43" s="3109">
        <v>1.5</v>
      </c>
      <c r="F43" s="3106" t="s">
        <v>2484</v>
      </c>
      <c r="G43" s="3106"/>
    </row>
    <row r="44" spans="1:7" ht="19.5" customHeight="1">
      <c r="A44" s="3768"/>
      <c r="B44" s="3118" t="s">
        <v>2635</v>
      </c>
      <c r="C44" s="3107" t="s">
        <v>2636</v>
      </c>
      <c r="D44" s="3108"/>
      <c r="E44" s="3109">
        <v>2</v>
      </c>
      <c r="F44" s="3106" t="s">
        <v>2485</v>
      </c>
      <c r="G44" s="3106"/>
    </row>
    <row r="45" spans="1:7" ht="19.5" customHeight="1">
      <c r="A45" s="3768"/>
      <c r="B45" s="3759" t="s">
        <v>2637</v>
      </c>
      <c r="C45" s="3107" t="s">
        <v>2486</v>
      </c>
      <c r="D45" s="3108"/>
      <c r="E45" s="3109">
        <v>1</v>
      </c>
      <c r="F45" s="3106" t="s">
        <v>2487</v>
      </c>
      <c r="G45" s="3106"/>
    </row>
    <row r="46" spans="1:7" ht="19.5" customHeight="1">
      <c r="A46" s="3768"/>
      <c r="B46" s="3761"/>
      <c r="C46" s="3107" t="s">
        <v>2488</v>
      </c>
      <c r="D46" s="3108"/>
      <c r="E46" s="3109">
        <v>1</v>
      </c>
      <c r="F46" s="3106" t="s">
        <v>2489</v>
      </c>
      <c r="G46" s="3106"/>
    </row>
    <row r="47" spans="1:7" ht="19.5" customHeight="1">
      <c r="A47" s="3768"/>
      <c r="B47" s="3761"/>
      <c r="C47" s="3107" t="s">
        <v>2490</v>
      </c>
      <c r="D47" s="3108"/>
      <c r="E47" s="3109">
        <v>1</v>
      </c>
      <c r="F47" s="3106" t="s">
        <v>2491</v>
      </c>
      <c r="G47" s="3106"/>
    </row>
    <row r="48" spans="1:7" ht="19.5" customHeight="1">
      <c r="A48" s="3768"/>
      <c r="B48" s="3761"/>
      <c r="C48" s="3107" t="s">
        <v>2492</v>
      </c>
      <c r="D48" s="3108"/>
      <c r="E48" s="3109">
        <v>1</v>
      </c>
      <c r="F48" s="3106" t="s">
        <v>2493</v>
      </c>
      <c r="G48" s="3106"/>
    </row>
    <row r="49" spans="1:7" ht="19.5" customHeight="1">
      <c r="A49" s="3768"/>
      <c r="B49" s="3761"/>
      <c r="C49" s="3107" t="s">
        <v>2494</v>
      </c>
      <c r="D49" s="3108"/>
      <c r="E49" s="3109">
        <v>1</v>
      </c>
      <c r="F49" s="3106" t="s">
        <v>2495</v>
      </c>
      <c r="G49" s="3106"/>
    </row>
    <row r="50" spans="1:7" ht="19.5" customHeight="1">
      <c r="A50" s="3768"/>
      <c r="B50" s="3761"/>
      <c r="C50" s="3107" t="s">
        <v>2496</v>
      </c>
      <c r="D50" s="3108"/>
      <c r="E50" s="3109">
        <v>1</v>
      </c>
      <c r="F50" s="3106" t="s">
        <v>2497</v>
      </c>
      <c r="G50" s="3106"/>
    </row>
    <row r="51" spans="1:7" ht="19.5" customHeight="1" thickBot="1">
      <c r="A51" s="3769"/>
      <c r="B51" s="3763"/>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59" t="s">
        <v>2651</v>
      </c>
      <c r="C73" s="3092" t="s">
        <v>2652</v>
      </c>
      <c r="D73" s="3092" t="s">
        <v>2653</v>
      </c>
      <c r="E73" s="3118">
        <v>0.2</v>
      </c>
      <c r="F73" s="3118">
        <v>25</v>
      </c>
    </row>
    <row r="74" spans="1:7" ht="24">
      <c r="A74" s="3118">
        <v>2</v>
      </c>
      <c r="B74" s="3761"/>
      <c r="C74" s="3092" t="s">
        <v>2654</v>
      </c>
      <c r="D74" s="3092" t="s">
        <v>2655</v>
      </c>
      <c r="E74" s="3118">
        <v>0.2</v>
      </c>
      <c r="F74" s="3118">
        <v>25</v>
      </c>
    </row>
    <row r="75" spans="1:7" ht="24">
      <c r="A75" s="3118">
        <v>3</v>
      </c>
      <c r="B75" s="3761"/>
      <c r="C75" s="3092" t="s">
        <v>2656</v>
      </c>
      <c r="D75" s="3092" t="s">
        <v>2657</v>
      </c>
      <c r="E75" s="3118">
        <v>0.2</v>
      </c>
      <c r="F75" s="3118">
        <v>25</v>
      </c>
    </row>
    <row r="76" spans="1:7" ht="13.5">
      <c r="A76" s="3118">
        <v>4</v>
      </c>
      <c r="B76" s="3761"/>
      <c r="C76" s="3092" t="s">
        <v>2658</v>
      </c>
      <c r="D76" s="3092" t="s">
        <v>2659</v>
      </c>
      <c r="E76" s="3118">
        <v>0.15</v>
      </c>
      <c r="F76" s="3118">
        <v>20</v>
      </c>
    </row>
    <row r="77" spans="1:7" ht="24">
      <c r="A77" s="3118">
        <v>5</v>
      </c>
      <c r="B77" s="3761"/>
      <c r="C77" s="3092" t="s">
        <v>2660</v>
      </c>
      <c r="D77" s="3092" t="s">
        <v>2661</v>
      </c>
      <c r="E77" s="3118">
        <v>0.15</v>
      </c>
      <c r="F77" s="3118">
        <v>20</v>
      </c>
    </row>
    <row r="78" spans="1:7" ht="24">
      <c r="A78" s="3118">
        <v>6</v>
      </c>
      <c r="B78" s="3761"/>
      <c r="C78" s="3092" t="s">
        <v>2662</v>
      </c>
      <c r="D78" s="3092" t="s">
        <v>2663</v>
      </c>
      <c r="E78" s="3118">
        <v>0.15</v>
      </c>
      <c r="F78" s="3118">
        <v>20</v>
      </c>
    </row>
    <row r="79" spans="1:7" ht="24">
      <c r="A79" s="3118">
        <v>7</v>
      </c>
      <c r="B79" s="3761"/>
      <c r="C79" s="3092" t="s">
        <v>2664</v>
      </c>
      <c r="D79" s="3092" t="s">
        <v>2665</v>
      </c>
      <c r="E79" s="3118">
        <v>0.15</v>
      </c>
      <c r="F79" s="3118">
        <v>20</v>
      </c>
    </row>
    <row r="80" spans="1:7" ht="24">
      <c r="A80" s="3118">
        <v>8</v>
      </c>
      <c r="B80" s="3761"/>
      <c r="C80" s="3092" t="s">
        <v>2666</v>
      </c>
      <c r="D80" s="3092" t="s">
        <v>2667</v>
      </c>
      <c r="E80" s="3118">
        <v>0.1</v>
      </c>
      <c r="F80" s="3118">
        <v>15</v>
      </c>
    </row>
    <row r="81" spans="1:6" ht="24">
      <c r="A81" s="3118">
        <v>9</v>
      </c>
      <c r="B81" s="3761"/>
      <c r="C81" s="3092" t="s">
        <v>2668</v>
      </c>
      <c r="D81" s="3092" t="s">
        <v>2669</v>
      </c>
      <c r="E81" s="3118">
        <v>0.1</v>
      </c>
      <c r="F81" s="3118">
        <v>15</v>
      </c>
    </row>
    <row r="82" spans="1:6" ht="24">
      <c r="A82" s="3118">
        <v>10</v>
      </c>
      <c r="B82" s="3761"/>
      <c r="C82" s="3092" t="s">
        <v>2670</v>
      </c>
      <c r="D82" s="3092" t="s">
        <v>2671</v>
      </c>
      <c r="E82" s="3118">
        <v>0.1</v>
      </c>
      <c r="F82" s="3118">
        <v>15</v>
      </c>
    </row>
    <row r="83" spans="1:6" ht="24">
      <c r="A83" s="3118">
        <v>11</v>
      </c>
      <c r="B83" s="3761"/>
      <c r="C83" s="3092" t="s">
        <v>2672</v>
      </c>
      <c r="D83" s="3092" t="s">
        <v>2673</v>
      </c>
      <c r="E83" s="3118">
        <v>0.1</v>
      </c>
      <c r="F83" s="3118">
        <v>15</v>
      </c>
    </row>
    <row r="84" spans="1:6" ht="24">
      <c r="A84" s="3118">
        <v>12</v>
      </c>
      <c r="B84" s="3761"/>
      <c r="C84" s="3092" t="s">
        <v>2674</v>
      </c>
      <c r="D84" s="3092" t="s">
        <v>2675</v>
      </c>
      <c r="E84" s="3118">
        <v>0.1</v>
      </c>
      <c r="F84" s="3118">
        <v>15</v>
      </c>
    </row>
    <row r="85" spans="1:6" ht="13.5">
      <c r="A85" s="3118">
        <v>13</v>
      </c>
      <c r="B85" s="3761"/>
      <c r="C85" s="3092" t="s">
        <v>2676</v>
      </c>
      <c r="D85" s="3092" t="s">
        <v>2677</v>
      </c>
      <c r="E85" s="3118">
        <v>0.1</v>
      </c>
      <c r="F85" s="3118">
        <v>15</v>
      </c>
    </row>
    <row r="86" spans="1:6" ht="13.5">
      <c r="A86" s="3118">
        <v>14</v>
      </c>
      <c r="B86" s="3761"/>
      <c r="C86" s="3092" t="s">
        <v>2678</v>
      </c>
      <c r="D86" s="3092" t="s">
        <v>2679</v>
      </c>
      <c r="E86" s="3118">
        <v>0.1</v>
      </c>
      <c r="F86" s="3118">
        <v>15</v>
      </c>
    </row>
    <row r="87" spans="1:6" ht="13.5">
      <c r="A87" s="3118">
        <v>15</v>
      </c>
      <c r="B87" s="3761"/>
      <c r="C87" s="3092" t="s">
        <v>2680</v>
      </c>
      <c r="D87" s="3092" t="s">
        <v>2681</v>
      </c>
      <c r="E87" s="3118">
        <v>0.1</v>
      </c>
      <c r="F87" s="3118">
        <v>15</v>
      </c>
    </row>
    <row r="88" spans="1:6" ht="24">
      <c r="A88" s="3118">
        <v>16</v>
      </c>
      <c r="B88" s="3761"/>
      <c r="C88" s="3092" t="s">
        <v>2682</v>
      </c>
      <c r="D88" s="3092" t="s">
        <v>2683</v>
      </c>
      <c r="E88" s="3118">
        <v>0.1</v>
      </c>
      <c r="F88" s="3118">
        <v>15</v>
      </c>
    </row>
    <row r="89" spans="1:6" ht="24">
      <c r="A89" s="3118">
        <v>17</v>
      </c>
      <c r="B89" s="3760"/>
      <c r="C89" s="3092" t="s">
        <v>2684</v>
      </c>
      <c r="D89" s="3092" t="s">
        <v>2685</v>
      </c>
      <c r="E89" s="3118">
        <v>0.1</v>
      </c>
      <c r="F89" s="3118">
        <v>15</v>
      </c>
    </row>
    <row r="90" spans="1:6" ht="13.5">
      <c r="A90" s="3118">
        <v>18</v>
      </c>
      <c r="B90" s="3759" t="s">
        <v>2686</v>
      </c>
      <c r="C90" s="3092" t="s">
        <v>2687</v>
      </c>
      <c r="D90" s="3092" t="s">
        <v>2688</v>
      </c>
      <c r="E90" s="3118">
        <v>0.2</v>
      </c>
      <c r="F90" s="3118">
        <v>25</v>
      </c>
    </row>
    <row r="91" spans="1:6" ht="24">
      <c r="A91" s="3118">
        <v>19</v>
      </c>
      <c r="B91" s="3761"/>
      <c r="C91" s="3092" t="s">
        <v>2689</v>
      </c>
      <c r="D91" s="3092" t="s">
        <v>2690</v>
      </c>
      <c r="E91" s="3118">
        <v>0.2</v>
      </c>
      <c r="F91" s="3118">
        <v>25</v>
      </c>
    </row>
    <row r="92" spans="1:6" ht="13.5">
      <c r="A92" s="3118">
        <v>20</v>
      </c>
      <c r="B92" s="3761"/>
      <c r="C92" s="3092" t="s">
        <v>2691</v>
      </c>
      <c r="D92" s="3092" t="s">
        <v>2692</v>
      </c>
      <c r="E92" s="3118">
        <v>0.15</v>
      </c>
      <c r="F92" s="3118">
        <v>20</v>
      </c>
    </row>
    <row r="93" spans="1:6" ht="13.5">
      <c r="A93" s="3118">
        <v>21</v>
      </c>
      <c r="B93" s="3761"/>
      <c r="C93" s="3092" t="s">
        <v>2693</v>
      </c>
      <c r="D93" s="3092" t="s">
        <v>2694</v>
      </c>
      <c r="E93" s="3118">
        <v>0.15</v>
      </c>
      <c r="F93" s="3118">
        <v>20</v>
      </c>
    </row>
    <row r="94" spans="1:6" ht="13.5">
      <c r="A94" s="3118">
        <v>22</v>
      </c>
      <c r="B94" s="3761"/>
      <c r="C94" s="3092" t="s">
        <v>2695</v>
      </c>
      <c r="D94" s="3092" t="s">
        <v>2696</v>
      </c>
      <c r="E94" s="3118">
        <v>0.15</v>
      </c>
      <c r="F94" s="3118">
        <v>20</v>
      </c>
    </row>
    <row r="95" spans="1:6" ht="36">
      <c r="A95" s="3118">
        <v>23</v>
      </c>
      <c r="B95" s="3761"/>
      <c r="C95" s="3092" t="s">
        <v>2697</v>
      </c>
      <c r="D95" s="3092" t="s">
        <v>2698</v>
      </c>
      <c r="E95" s="3118">
        <v>0.15</v>
      </c>
      <c r="F95" s="3118">
        <v>20</v>
      </c>
    </row>
    <row r="96" spans="1:6" ht="13.5">
      <c r="A96" s="3118">
        <v>24</v>
      </c>
      <c r="B96" s="3761"/>
      <c r="C96" s="3092" t="s">
        <v>2699</v>
      </c>
      <c r="D96" s="3092" t="s">
        <v>2700</v>
      </c>
      <c r="E96" s="3118">
        <v>0.1</v>
      </c>
      <c r="F96" s="3118">
        <v>15</v>
      </c>
    </row>
    <row r="97" spans="1:6" ht="13.5">
      <c r="A97" s="3118">
        <v>25</v>
      </c>
      <c r="B97" s="3761"/>
      <c r="C97" s="3092" t="s">
        <v>2701</v>
      </c>
      <c r="D97" s="3092" t="s">
        <v>2702</v>
      </c>
      <c r="E97" s="3118">
        <v>0.1</v>
      </c>
      <c r="F97" s="3118">
        <v>15</v>
      </c>
    </row>
    <row r="98" spans="1:6" ht="24">
      <c r="A98" s="3118">
        <v>26</v>
      </c>
      <c r="B98" s="3761"/>
      <c r="C98" s="3092" t="s">
        <v>2703</v>
      </c>
      <c r="D98" s="3092" t="s">
        <v>2704</v>
      </c>
      <c r="E98" s="3118">
        <v>0.1</v>
      </c>
      <c r="F98" s="3118">
        <v>15</v>
      </c>
    </row>
    <row r="99" spans="1:6" ht="24">
      <c r="A99" s="3118">
        <v>27</v>
      </c>
      <c r="B99" s="3761"/>
      <c r="C99" s="3092" t="s">
        <v>2705</v>
      </c>
      <c r="D99" s="3092" t="s">
        <v>2706</v>
      </c>
      <c r="E99" s="3118">
        <v>0.1</v>
      </c>
      <c r="F99" s="3118">
        <v>15</v>
      </c>
    </row>
    <row r="100" spans="1:6" ht="13.5">
      <c r="A100" s="3118">
        <v>28</v>
      </c>
      <c r="B100" s="3761"/>
      <c r="C100" s="3092" t="s">
        <v>2707</v>
      </c>
      <c r="D100" s="3092" t="s">
        <v>2708</v>
      </c>
      <c r="E100" s="3118">
        <v>0.1</v>
      </c>
      <c r="F100" s="3118">
        <v>15</v>
      </c>
    </row>
    <row r="101" spans="1:6" ht="13.5">
      <c r="A101" s="3118">
        <v>29</v>
      </c>
      <c r="B101" s="3761"/>
      <c r="C101" s="3092" t="s">
        <v>2709</v>
      </c>
      <c r="D101" s="3092" t="s">
        <v>2710</v>
      </c>
      <c r="E101" s="3118">
        <v>0.1</v>
      </c>
      <c r="F101" s="3118">
        <v>15</v>
      </c>
    </row>
    <row r="102" spans="1:6" ht="13.5">
      <c r="A102" s="3118">
        <v>30</v>
      </c>
      <c r="B102" s="3761"/>
      <c r="C102" s="3092" t="s">
        <v>2711</v>
      </c>
      <c r="D102" s="3092" t="s">
        <v>2712</v>
      </c>
      <c r="E102" s="3118">
        <v>0.1</v>
      </c>
      <c r="F102" s="3118">
        <v>15</v>
      </c>
    </row>
    <row r="103" spans="1:6" ht="24">
      <c r="A103" s="3118">
        <v>31</v>
      </c>
      <c r="B103" s="3761"/>
      <c r="C103" s="3092" t="s">
        <v>2713</v>
      </c>
      <c r="D103" s="3092" t="s">
        <v>2714</v>
      </c>
      <c r="E103" s="3118">
        <v>0.1</v>
      </c>
      <c r="F103" s="3118">
        <v>15</v>
      </c>
    </row>
    <row r="104" spans="1:6" ht="24">
      <c r="A104" s="3118">
        <v>32</v>
      </c>
      <c r="B104" s="3761"/>
      <c r="C104" s="3092" t="s">
        <v>2715</v>
      </c>
      <c r="D104" s="3092" t="s">
        <v>2716</v>
      </c>
      <c r="E104" s="3118">
        <v>0.1</v>
      </c>
      <c r="F104" s="3118">
        <v>15</v>
      </c>
    </row>
    <row r="105" spans="1:6" ht="24">
      <c r="A105" s="3118">
        <v>33</v>
      </c>
      <c r="B105" s="3761"/>
      <c r="C105" s="3092" t="s">
        <v>2717</v>
      </c>
      <c r="D105" s="3092" t="s">
        <v>2718</v>
      </c>
      <c r="E105" s="3118">
        <v>0.1</v>
      </c>
      <c r="F105" s="3118">
        <v>15</v>
      </c>
    </row>
    <row r="106" spans="1:6" ht="24">
      <c r="A106" s="3118">
        <v>34</v>
      </c>
      <c r="B106" s="3760"/>
      <c r="C106" s="3092" t="s">
        <v>2719</v>
      </c>
      <c r="D106" s="3092" t="s">
        <v>2720</v>
      </c>
      <c r="E106" s="3118">
        <v>0.1</v>
      </c>
      <c r="F106" s="3118">
        <v>15</v>
      </c>
    </row>
    <row r="107" spans="1:6" ht="24">
      <c r="A107" s="3118">
        <v>35</v>
      </c>
      <c r="B107" s="3759" t="s">
        <v>2721</v>
      </c>
      <c r="C107" s="3118" t="s">
        <v>2722</v>
      </c>
      <c r="D107" s="3092" t="s">
        <v>2723</v>
      </c>
      <c r="E107" s="3118">
        <v>0.15</v>
      </c>
      <c r="F107" s="3118">
        <v>20</v>
      </c>
    </row>
    <row r="108" spans="1:6" ht="13.5">
      <c r="A108" s="3118">
        <v>36</v>
      </c>
      <c r="B108" s="3761"/>
      <c r="C108" s="3118" t="s">
        <v>2724</v>
      </c>
      <c r="D108" s="3092" t="s">
        <v>2725</v>
      </c>
      <c r="E108" s="3118">
        <v>0.15</v>
      </c>
      <c r="F108" s="3118">
        <v>20</v>
      </c>
    </row>
    <row r="109" spans="1:6" ht="13.5">
      <c r="A109" s="3118">
        <v>37</v>
      </c>
      <c r="B109" s="3761"/>
      <c r="C109" s="3118" t="s">
        <v>2726</v>
      </c>
      <c r="D109" s="3092" t="s">
        <v>2727</v>
      </c>
      <c r="E109" s="3118">
        <v>0.15</v>
      </c>
      <c r="F109" s="3118">
        <v>20</v>
      </c>
    </row>
    <row r="110" spans="1:6" ht="13.5">
      <c r="A110" s="3118">
        <v>38</v>
      </c>
      <c r="B110" s="3761"/>
      <c r="C110" s="3118" t="s">
        <v>2728</v>
      </c>
      <c r="D110" s="3092" t="s">
        <v>2729</v>
      </c>
      <c r="E110" s="3118">
        <v>0.1</v>
      </c>
      <c r="F110" s="3118">
        <v>15</v>
      </c>
    </row>
    <row r="111" spans="1:6" ht="24">
      <c r="A111" s="3118">
        <v>39</v>
      </c>
      <c r="B111" s="3761"/>
      <c r="C111" s="3118" t="s">
        <v>2730</v>
      </c>
      <c r="D111" s="3092" t="s">
        <v>2731</v>
      </c>
      <c r="E111" s="3118">
        <v>0.1</v>
      </c>
      <c r="F111" s="3118">
        <v>15</v>
      </c>
    </row>
    <row r="112" spans="1:6" ht="24">
      <c r="A112" s="3118">
        <v>40</v>
      </c>
      <c r="B112" s="3760"/>
      <c r="C112" s="3118" t="s">
        <v>2732</v>
      </c>
      <c r="D112" s="3092" t="s">
        <v>2733</v>
      </c>
      <c r="E112" s="3118">
        <v>0.1</v>
      </c>
      <c r="F112" s="3118">
        <v>15</v>
      </c>
    </row>
    <row r="113" spans="1:6" ht="13.5">
      <c r="A113" s="3118">
        <v>41</v>
      </c>
      <c r="B113" s="3758" t="s">
        <v>2734</v>
      </c>
      <c r="C113" s="3118" t="s">
        <v>2735</v>
      </c>
      <c r="D113" s="3092" t="s">
        <v>2736</v>
      </c>
      <c r="E113" s="3118">
        <v>0.1</v>
      </c>
      <c r="F113" s="3118">
        <v>15</v>
      </c>
    </row>
    <row r="114" spans="1:6" ht="13.5">
      <c r="A114" s="3118">
        <v>42</v>
      </c>
      <c r="B114" s="3758"/>
      <c r="C114" s="3118" t="s">
        <v>2737</v>
      </c>
      <c r="D114" s="3092" t="s">
        <v>2738</v>
      </c>
      <c r="E114" s="3118">
        <v>0.1</v>
      </c>
      <c r="F114" s="3118">
        <v>15</v>
      </c>
    </row>
    <row r="115" spans="1:6" ht="24">
      <c r="A115" s="3118">
        <v>43</v>
      </c>
      <c r="B115" s="3758"/>
      <c r="C115" s="3118" t="s">
        <v>2739</v>
      </c>
      <c r="D115" s="3092" t="s">
        <v>2740</v>
      </c>
      <c r="E115" s="3118">
        <v>0.1</v>
      </c>
      <c r="F115" s="3118">
        <v>15</v>
      </c>
    </row>
    <row r="116" spans="1:6" ht="13.5">
      <c r="A116" s="3118">
        <v>44</v>
      </c>
      <c r="B116" s="3759" t="s">
        <v>2741</v>
      </c>
      <c r="C116" s="3118" t="s">
        <v>2742</v>
      </c>
      <c r="D116" s="3092" t="s">
        <v>2743</v>
      </c>
      <c r="E116" s="3118">
        <v>0.1</v>
      </c>
      <c r="F116" s="3118">
        <v>15</v>
      </c>
    </row>
    <row r="117" spans="1:6" ht="24">
      <c r="A117" s="3118">
        <v>45</v>
      </c>
      <c r="B117" s="3760"/>
      <c r="C117" s="3092" t="s">
        <v>2744</v>
      </c>
      <c r="D117" s="3092" t="s">
        <v>2745</v>
      </c>
      <c r="E117" s="3118">
        <v>0.1</v>
      </c>
      <c r="F117" s="3118">
        <v>15</v>
      </c>
    </row>
    <row r="118" spans="1:6" ht="24">
      <c r="A118" s="3118">
        <v>46</v>
      </c>
      <c r="B118" s="3759" t="s">
        <v>2746</v>
      </c>
      <c r="C118" s="3118" t="s">
        <v>2747</v>
      </c>
      <c r="D118" s="3092" t="s">
        <v>2748</v>
      </c>
      <c r="E118" s="3118">
        <v>0.1</v>
      </c>
      <c r="F118" s="3118">
        <v>15</v>
      </c>
    </row>
    <row r="119" spans="1:6" ht="24">
      <c r="A119" s="3118">
        <v>47</v>
      </c>
      <c r="B119" s="3760"/>
      <c r="C119" s="3118" t="s">
        <v>2749</v>
      </c>
      <c r="D119" s="3092" t="s">
        <v>2750</v>
      </c>
      <c r="E119" s="3118">
        <v>0.1</v>
      </c>
      <c r="F119" s="3118">
        <v>15</v>
      </c>
    </row>
    <row r="120" spans="1:6" ht="13.5">
      <c r="A120" s="3118">
        <v>48</v>
      </c>
      <c r="B120" s="3759" t="s">
        <v>2751</v>
      </c>
      <c r="C120" s="3118" t="s">
        <v>2752</v>
      </c>
      <c r="D120" s="3092" t="s">
        <v>2753</v>
      </c>
      <c r="E120" s="3118">
        <v>0.1</v>
      </c>
      <c r="F120" s="3118">
        <v>15</v>
      </c>
    </row>
    <row r="121" spans="1:6" ht="13.5">
      <c r="A121" s="3118">
        <v>49</v>
      </c>
      <c r="B121" s="3760"/>
      <c r="C121" s="3118" t="s">
        <v>2754</v>
      </c>
      <c r="D121" s="3092" t="s">
        <v>2755</v>
      </c>
      <c r="E121" s="3118">
        <v>0.1</v>
      </c>
      <c r="F121" s="3118">
        <v>15</v>
      </c>
    </row>
    <row r="122" spans="1:6" ht="24">
      <c r="A122" s="3118">
        <v>50</v>
      </c>
      <c r="B122" s="3758" t="s">
        <v>2756</v>
      </c>
      <c r="C122" s="3118" t="s">
        <v>2757</v>
      </c>
      <c r="D122" s="3092" t="s">
        <v>2758</v>
      </c>
      <c r="E122" s="3118">
        <v>0.1</v>
      </c>
      <c r="F122" s="3118">
        <v>15</v>
      </c>
    </row>
    <row r="123" spans="1:6" ht="24">
      <c r="A123" s="3118">
        <v>51</v>
      </c>
      <c r="B123" s="3758"/>
      <c r="C123" s="3118" t="s">
        <v>2759</v>
      </c>
      <c r="D123" s="3092" t="s">
        <v>2760</v>
      </c>
      <c r="E123" s="3118">
        <v>0.1</v>
      </c>
      <c r="F123" s="3118">
        <v>15</v>
      </c>
    </row>
    <row r="124" spans="1:6" ht="24">
      <c r="A124" s="3118">
        <v>52</v>
      </c>
      <c r="B124" s="3758" t="s">
        <v>2761</v>
      </c>
      <c r="C124" s="3118" t="s">
        <v>2762</v>
      </c>
      <c r="D124" s="3092" t="s">
        <v>2763</v>
      </c>
      <c r="E124" s="3118">
        <v>0.1</v>
      </c>
      <c r="F124" s="3118">
        <v>15</v>
      </c>
    </row>
    <row r="125" spans="1:6" ht="24">
      <c r="A125" s="3118">
        <v>53</v>
      </c>
      <c r="B125" s="3758"/>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58" t="s">
        <v>2769</v>
      </c>
      <c r="C127" s="3118" t="s">
        <v>2770</v>
      </c>
      <c r="D127" s="3092" t="s">
        <v>2771</v>
      </c>
      <c r="E127" s="3118">
        <v>0.1</v>
      </c>
      <c r="F127" s="3118">
        <v>15</v>
      </c>
    </row>
    <row r="128" spans="1:6" ht="13.5">
      <c r="A128" s="3118">
        <v>56</v>
      </c>
      <c r="B128" s="3758"/>
      <c r="C128" s="3118" t="s">
        <v>2772</v>
      </c>
      <c r="D128" s="3092" t="s">
        <v>2773</v>
      </c>
      <c r="E128" s="3118">
        <v>0.1</v>
      </c>
      <c r="F128" s="3118">
        <v>15</v>
      </c>
    </row>
    <row r="129" spans="1:6" ht="24">
      <c r="A129" s="3118">
        <v>57</v>
      </c>
      <c r="B129" s="3758"/>
      <c r="C129" s="3118" t="s">
        <v>2774</v>
      </c>
      <c r="D129" s="3092" t="s">
        <v>2775</v>
      </c>
      <c r="E129" s="3118">
        <v>0.1</v>
      </c>
      <c r="F129" s="3118">
        <v>15</v>
      </c>
    </row>
    <row r="130" spans="1:6" ht="24">
      <c r="A130" s="3118">
        <v>58</v>
      </c>
      <c r="B130" s="3758" t="s">
        <v>2776</v>
      </c>
      <c r="C130" s="3118" t="s">
        <v>2777</v>
      </c>
      <c r="D130" s="3092" t="s">
        <v>2778</v>
      </c>
      <c r="E130" s="3118">
        <v>0.1</v>
      </c>
      <c r="F130" s="3118">
        <v>15</v>
      </c>
    </row>
    <row r="131" spans="1:6" ht="13.5">
      <c r="A131" s="3118">
        <v>59</v>
      </c>
      <c r="B131" s="3758"/>
      <c r="C131" s="3118" t="s">
        <v>2779</v>
      </c>
      <c r="D131" s="3092" t="s">
        <v>2780</v>
      </c>
      <c r="E131" s="3118">
        <v>0.1</v>
      </c>
      <c r="F131" s="3118">
        <v>15</v>
      </c>
    </row>
    <row r="132" spans="1:6" ht="13.5">
      <c r="A132" s="3118">
        <v>60</v>
      </c>
      <c r="B132" s="3759" t="s">
        <v>2781</v>
      </c>
      <c r="C132" s="3118" t="s">
        <v>2782</v>
      </c>
      <c r="D132" s="3092" t="s">
        <v>2783</v>
      </c>
      <c r="E132" s="3118">
        <v>0.1</v>
      </c>
      <c r="F132" s="3118">
        <v>15</v>
      </c>
    </row>
    <row r="133" spans="1:6" ht="13.5">
      <c r="A133" s="3118">
        <v>61</v>
      </c>
      <c r="B133" s="3760"/>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58" t="s">
        <v>2789</v>
      </c>
      <c r="C135" s="3118" t="s">
        <v>2790</v>
      </c>
      <c r="D135" s="3092" t="s">
        <v>2791</v>
      </c>
      <c r="E135" s="3118">
        <v>0.1</v>
      </c>
      <c r="F135" s="3118">
        <v>15</v>
      </c>
    </row>
    <row r="136" spans="1:6" ht="13.5">
      <c r="A136" s="3118">
        <v>64</v>
      </c>
      <c r="B136" s="3758"/>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95777</v>
      </c>
      <c r="C2" s="2" t="s">
        <v>106</v>
      </c>
      <c r="D2" s="199"/>
      <c r="E2" s="199"/>
      <c r="F2" s="199"/>
      <c r="G2" s="199"/>
    </row>
    <row r="3" spans="1:7" s="200" customFormat="1" ht="18" customHeight="1" thickBot="1">
      <c r="A3" s="203" t="s">
        <v>58</v>
      </c>
      <c r="B3" s="204">
        <f ca="1">ROUND(B2*10000/'数据-汇总表'!E3,0)</f>
        <v>9150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104671.29</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2093</v>
      </c>
      <c r="D19" s="849">
        <f>'数据-汇总表'!E3</f>
        <v>104671.29</v>
      </c>
      <c r="E19" s="211">
        <f>'数据-取费表'!B31</f>
        <v>200</v>
      </c>
      <c r="F19" s="231"/>
      <c r="G19" s="1" t="s">
        <v>436</v>
      </c>
    </row>
    <row r="20" spans="1:7" s="214" customFormat="1" ht="13.5" customHeight="1">
      <c r="A20" s="777" t="s">
        <v>419</v>
      </c>
      <c r="B20" s="210" t="s">
        <v>77</v>
      </c>
      <c r="C20" s="232">
        <f>ROUND((C5+C19)*F20,0)</f>
        <v>454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1610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147</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3474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3474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30567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52492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47102</v>
      </c>
      <c r="D34" s="217"/>
      <c r="E34" s="220"/>
      <c r="F34" s="257">
        <f>IF('数据-取费表'!B24=0,1,'数据-取费表'!N16)</f>
        <v>1</v>
      </c>
      <c r="G34" s="219" t="s">
        <v>89</v>
      </c>
    </row>
    <row r="35" spans="1:7" ht="13.5" customHeight="1">
      <c r="A35" s="780" t="s">
        <v>351</v>
      </c>
      <c r="B35" s="215" t="s">
        <v>33</v>
      </c>
      <c r="C35" s="220">
        <f>ROUND(C34*F35,0)</f>
        <v>2355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2093</v>
      </c>
      <c r="D37" s="217">
        <f>'数据-汇总表'!E3</f>
        <v>104671.29</v>
      </c>
      <c r="E37" s="249">
        <f>'数据-取费表'!B35</f>
        <v>200</v>
      </c>
      <c r="F37" s="259"/>
      <c r="G37" s="261" t="s">
        <v>92</v>
      </c>
    </row>
    <row r="38" spans="1:7" ht="13.5" customHeight="1">
      <c r="A38" s="780" t="s">
        <v>354</v>
      </c>
      <c r="B38" s="215" t="s">
        <v>36</v>
      </c>
      <c r="C38" s="220">
        <f>ROUND(C34*F38,0)</f>
        <v>942</v>
      </c>
      <c r="D38" s="220"/>
      <c r="E38" s="220"/>
      <c r="F38" s="259">
        <f>'数据-取费表'!B36</f>
        <v>0.02</v>
      </c>
      <c r="G38" s="219" t="s">
        <v>90</v>
      </c>
    </row>
    <row r="39" spans="1:7" s="214" customFormat="1" ht="13.5" customHeight="1">
      <c r="A39" s="777" t="s">
        <v>338</v>
      </c>
      <c r="B39" s="210" t="s">
        <v>77</v>
      </c>
      <c r="C39" s="232">
        <f>ROUND(C33*F20,0)</f>
        <v>1050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1847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1811</v>
      </c>
      <c r="D42" s="238"/>
      <c r="E42" s="238"/>
      <c r="F42" s="239"/>
      <c r="G42" s="3634" t="s">
        <v>94</v>
      </c>
    </row>
    <row r="43" spans="1:7" ht="13.5" customHeight="1">
      <c r="A43" s="780" t="s">
        <v>347</v>
      </c>
      <c r="B43" s="215" t="s">
        <v>426</v>
      </c>
      <c r="C43" s="238">
        <f ca="1">ROUND(IF('数据-取费表'!B22&lt;=1,C39*F22*'数据-取费表'!B21/2,C39*(POWER((1+F22),'数据-取费表'!B21/2)-1)),0)</f>
        <v>36</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8031</v>
      </c>
      <c r="D45" s="235">
        <f>C47</f>
        <v>3.0000000000000001E-3</v>
      </c>
      <c r="E45" s="236" t="s">
        <v>102</v>
      </c>
      <c r="F45" s="246"/>
      <c r="G45" s="247" t="s">
        <v>434</v>
      </c>
    </row>
    <row r="46" spans="1:7" s="214" customFormat="1" ht="13.5" customHeight="1">
      <c r="A46" s="780" t="s">
        <v>349</v>
      </c>
      <c r="B46" s="248" t="s">
        <v>427</v>
      </c>
      <c r="C46" s="249">
        <f>ROUND((C33+C39)*F27,0)</f>
        <v>8031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68642</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65210</v>
      </c>
      <c r="D51" s="232"/>
      <c r="E51" s="232"/>
      <c r="F51" s="264"/>
      <c r="G51" s="234" t="s">
        <v>37</v>
      </c>
    </row>
    <row r="52" spans="1:7" s="208" customFormat="1" ht="16.5" thickBot="1">
      <c r="A52" s="265" t="s">
        <v>38</v>
      </c>
      <c r="B52" s="266"/>
      <c r="C52" s="267">
        <f ca="1">C31+C51</f>
        <v>95777</v>
      </c>
      <c r="D52" s="266"/>
      <c r="E52" s="266"/>
      <c r="F52" s="266"/>
      <c r="G52" s="268"/>
    </row>
    <row r="55" spans="1:7" ht="15">
      <c r="B55" s="270" t="s">
        <v>39</v>
      </c>
      <c r="C55" s="271"/>
    </row>
    <row r="56" spans="1:7">
      <c r="B56" s="273" t="s">
        <v>40</v>
      </c>
      <c r="C56" s="274">
        <f ca="1">ROUND(C51/C52,3)</f>
        <v>0.68100000000000005</v>
      </c>
    </row>
    <row r="57" spans="1:7">
      <c r="B57" s="273" t="s">
        <v>41</v>
      </c>
      <c r="C57" s="275">
        <f ca="1">1-C56</f>
        <v>0.31899999999999995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913</v>
      </c>
      <c r="C4" s="3455"/>
      <c r="D4" s="3455"/>
      <c r="E4" s="1493"/>
    </row>
    <row r="5" spans="1:5" ht="16.5" thickTop="1">
      <c r="A5" s="1491"/>
      <c r="B5" s="3453" t="s">
        <v>905</v>
      </c>
      <c r="C5" s="1494" t="s">
        <v>906</v>
      </c>
      <c r="D5" s="850">
        <f ca="1">结果表!H101</f>
        <v>125704</v>
      </c>
      <c r="E5" s="1491"/>
    </row>
    <row r="6" spans="1:5" ht="15.75">
      <c r="A6" s="1491"/>
      <c r="B6" s="3453"/>
      <c r="C6" s="1494" t="s">
        <v>907</v>
      </c>
      <c r="D6" s="850" t="str">
        <f ca="1">NUMBERSTRING(INT(D5*10000),2)&amp;"元整"</f>
        <v>壹拾贰亿伍仟柒佰零肆万元整</v>
      </c>
      <c r="E6" s="1491"/>
    </row>
    <row r="7" spans="1:5" ht="15.75">
      <c r="A7" s="1491"/>
      <c r="B7" s="3458"/>
      <c r="C7" s="1495" t="s">
        <v>908</v>
      </c>
      <c r="D7" s="851">
        <f ca="1">结果表!H102</f>
        <v>12009</v>
      </c>
      <c r="E7" s="1491"/>
    </row>
    <row r="8" spans="1:5" ht="15.75">
      <c r="A8" s="1491"/>
      <c r="B8" s="3459" t="str">
        <f>结果表!E103</f>
        <v>2.估价师知悉的法定优先受偿款</v>
      </c>
      <c r="C8" s="1496" t="s">
        <v>909</v>
      </c>
      <c r="D8" s="851">
        <f>结果表!H103</f>
        <v>0</v>
      </c>
      <c r="E8" s="1491"/>
    </row>
    <row r="9" spans="1:5" ht="15.75">
      <c r="A9" s="1491"/>
      <c r="B9" s="3461"/>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452" t="str">
        <f>结果表!E107</f>
        <v>3.房地产抵押价值</v>
      </c>
      <c r="C13" s="1499" t="s">
        <v>906</v>
      </c>
      <c r="D13" s="853">
        <f ca="1">结果表!H107</f>
        <v>125704</v>
      </c>
      <c r="E13" s="1491"/>
    </row>
    <row r="14" spans="1:5" ht="15.75">
      <c r="A14" s="1491"/>
      <c r="B14" s="3453"/>
      <c r="C14" s="1494" t="s">
        <v>907</v>
      </c>
      <c r="D14" s="850" t="str">
        <f ca="1">NUMBERSTRING(INT(D13*10000),2)&amp;"元整"</f>
        <v>壹拾贰亿伍仟柒佰零肆万元整</v>
      </c>
      <c r="E14" s="1491"/>
    </row>
    <row r="15" spans="1:5" ht="15">
      <c r="A15" s="1491"/>
      <c r="B15" s="3458"/>
      <c r="C15" s="1495" t="s">
        <v>917</v>
      </c>
      <c r="D15" s="859">
        <f ca="1">结果表!H108</f>
        <v>12009</v>
      </c>
      <c r="E15" s="1491"/>
    </row>
    <row r="16" spans="1:5" ht="15">
      <c r="A16" s="1491"/>
      <c r="B16" s="3459" t="str">
        <f>结果表!E109</f>
        <v>——</v>
      </c>
      <c r="C16" s="1499" t="s">
        <v>918</v>
      </c>
      <c r="D16" s="1500" t="str">
        <f>结果表!H109</f>
        <v>——</v>
      </c>
      <c r="E16" s="1491"/>
    </row>
    <row r="17" spans="1:5" ht="15.75">
      <c r="A17" s="1491"/>
      <c r="B17" s="3460"/>
      <c r="C17" s="1494" t="s">
        <v>919</v>
      </c>
      <c r="D17" s="850" t="e">
        <f>NUMBERSTRING(INT(D16*10000),2)&amp;"元整"</f>
        <v>#VALUE!</v>
      </c>
      <c r="E17" s="1491"/>
    </row>
    <row r="18" spans="1:5" ht="15">
      <c r="A18" s="1491"/>
      <c r="B18" s="3461"/>
      <c r="C18" s="1495" t="s">
        <v>908</v>
      </c>
      <c r="D18" s="859" t="str">
        <f>结果表!H110</f>
        <v>——</v>
      </c>
      <c r="E18" s="1491"/>
    </row>
    <row r="19" spans="1:5" ht="15.75">
      <c r="A19" s="1491"/>
      <c r="B19" s="3452" t="str">
        <f>结果表!E111</f>
        <v>——</v>
      </c>
      <c r="C19" s="1499" t="s">
        <v>906</v>
      </c>
      <c r="D19" s="851" t="str">
        <f>结果表!H111</f>
        <v>——</v>
      </c>
      <c r="E19" s="1491"/>
    </row>
    <row r="20" spans="1:5" ht="15.75">
      <c r="A20" s="1491"/>
      <c r="B20" s="3453"/>
      <c r="C20" s="1494" t="s">
        <v>919</v>
      </c>
      <c r="D20" s="850" t="e">
        <f>NUMBERSTRING(INT(D19*10000),2)&amp;"元整"</f>
        <v>#VALUE!</v>
      </c>
      <c r="E20" s="1491"/>
    </row>
    <row r="21" spans="1:5" ht="15.75" thickBot="1">
      <c r="A21" s="1491"/>
      <c r="B21" s="3454"/>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2839</v>
      </c>
      <c r="B1" s="3772"/>
      <c r="C1" s="3772"/>
      <c r="D1" s="3772"/>
      <c r="E1" s="3772"/>
      <c r="F1" s="3772"/>
      <c r="G1" s="377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3181</v>
      </c>
      <c r="B1" s="3774"/>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3232</v>
      </c>
      <c r="B1" s="3775"/>
      <c r="C1" s="3775"/>
      <c r="D1" s="3775"/>
      <c r="E1" s="3775"/>
      <c r="F1" s="3776"/>
    </row>
    <row r="2" spans="1:6">
      <c r="A2" s="3291" t="s">
        <v>3233</v>
      </c>
      <c r="B2" s="3292"/>
      <c r="C2" s="3292"/>
      <c r="D2" s="3292"/>
      <c r="E2" s="3292"/>
      <c r="F2" s="3292"/>
    </row>
    <row r="3" spans="1:6">
      <c r="A3" s="3291" t="s">
        <v>3234</v>
      </c>
      <c r="B3" s="3292"/>
      <c r="C3" s="3292"/>
      <c r="D3" s="3292"/>
      <c r="E3" s="3292"/>
      <c r="F3" s="3293" t="s">
        <v>3235</v>
      </c>
    </row>
    <row r="4" spans="1:6">
      <c r="A4" s="3294" t="s">
        <v>668</v>
      </c>
      <c r="B4" s="3294" t="s">
        <v>669</v>
      </c>
      <c r="C4" s="3294" t="s">
        <v>21</v>
      </c>
      <c r="D4" s="3294" t="s">
        <v>670</v>
      </c>
      <c r="E4" s="3294" t="s">
        <v>3</v>
      </c>
      <c r="F4" s="3294" t="s">
        <v>3236</v>
      </c>
    </row>
    <row r="5" spans="1:6">
      <c r="A5" s="3295" t="s">
        <v>671</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45421</v>
      </c>
      <c r="B1" s="3210" t="s">
        <v>3370</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3373</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3374</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3376</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3377</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3369</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3368</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3367</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3363</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3354</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2820</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2821</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2822</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2823</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2824</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3365</v>
      </c>
    </row>
    <row r="21" spans="1:30" s="3009" customFormat="1">
      <c r="I21" s="3208" t="s">
        <v>2825</v>
      </c>
    </row>
    <row r="22" spans="1:30" s="3009" customFormat="1"/>
    <row r="23" spans="1:30" s="3209" customFormat="1" ht="12.75">
      <c r="B23" s="3210" t="s">
        <v>3371</v>
      </c>
      <c r="C23" s="3211"/>
      <c r="D23" s="3211"/>
      <c r="E23" s="3211"/>
      <c r="F23" s="3211"/>
      <c r="G23" s="3211"/>
      <c r="H23" s="3211"/>
      <c r="I23" s="3211"/>
      <c r="J23" s="3165"/>
      <c r="K23" s="3211" t="s">
        <v>2826</v>
      </c>
      <c r="L23" s="3211"/>
      <c r="M23" s="3211"/>
      <c r="N23" s="3211"/>
      <c r="O23" s="3211"/>
      <c r="P23" s="3211"/>
      <c r="Q23" s="3165"/>
      <c r="R23" s="3777" t="s">
        <v>2827</v>
      </c>
      <c r="S23" s="3778"/>
      <c r="T23" s="3778"/>
      <c r="U23" s="3778"/>
      <c r="V23" s="3778"/>
      <c r="W23" s="3778"/>
      <c r="X23" s="3165"/>
      <c r="Y23" s="3777" t="s">
        <v>2828</v>
      </c>
      <c r="Z23" s="3778"/>
      <c r="AA23" s="3778"/>
      <c r="AB23" s="3778"/>
      <c r="AC23" s="3778"/>
      <c r="AD23" s="3778"/>
    </row>
    <row r="24" spans="1:30" s="3143" customFormat="1" ht="14.25" thickBot="1">
      <c r="B24" s="3144"/>
      <c r="C24" s="3145"/>
      <c r="D24" s="3146" t="s">
        <v>2829</v>
      </c>
      <c r="E24" s="3147" t="s">
        <v>2830</v>
      </c>
      <c r="F24" s="3147" t="s">
        <v>2831</v>
      </c>
      <c r="G24" s="3147" t="s">
        <v>2832</v>
      </c>
      <c r="H24" s="3147"/>
      <c r="I24" s="3147" t="s">
        <v>2833</v>
      </c>
      <c r="J24" s="3148"/>
      <c r="K24" s="3146" t="s">
        <v>2829</v>
      </c>
      <c r="L24" s="3147" t="s">
        <v>2830</v>
      </c>
      <c r="M24" s="3147" t="s">
        <v>2831</v>
      </c>
      <c r="N24" s="3147" t="s">
        <v>2832</v>
      </c>
      <c r="O24" s="3147"/>
      <c r="P24" s="3147" t="s">
        <v>2833</v>
      </c>
      <c r="Q24" s="3148"/>
      <c r="R24" s="3146" t="s">
        <v>2829</v>
      </c>
      <c r="S24" s="3147" t="s">
        <v>2830</v>
      </c>
      <c r="T24" s="3147" t="s">
        <v>2831</v>
      </c>
      <c r="U24" s="3147" t="s">
        <v>2832</v>
      </c>
      <c r="V24" s="3147"/>
      <c r="W24" s="3147" t="s">
        <v>2833</v>
      </c>
      <c r="X24" s="3148"/>
      <c r="Y24" s="3146" t="s">
        <v>2829</v>
      </c>
      <c r="Z24" s="3147" t="s">
        <v>2830</v>
      </c>
      <c r="AA24" s="3147" t="s">
        <v>2831</v>
      </c>
      <c r="AB24" s="3147" t="s">
        <v>2832</v>
      </c>
      <c r="AC24" s="3147"/>
      <c r="AD24" s="3147" t="s">
        <v>2833</v>
      </c>
    </row>
    <row r="25" spans="1:30" s="3161" customFormat="1" ht="12.75">
      <c r="A25" s="3149" t="s">
        <v>2834</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3373</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3374</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3378</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3377</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3372</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3368</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3367</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3364</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3354</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2835</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2836</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2837</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2838</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2824</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672</v>
      </c>
      <c r="K2" s="2174" t="s">
        <v>308</v>
      </c>
      <c r="L2" s="2173" t="s">
        <v>462</v>
      </c>
      <c r="N2" s="2173" t="s">
        <v>458</v>
      </c>
      <c r="O2" s="2174" t="s">
        <v>672</v>
      </c>
      <c r="P2" s="2174" t="s">
        <v>308</v>
      </c>
      <c r="Q2" s="2173" t="s">
        <v>462</v>
      </c>
      <c r="S2" s="2173" t="s">
        <v>458</v>
      </c>
      <c r="T2" s="2174" t="s">
        <v>672</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673</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924</v>
      </c>
      <c r="B2" s="3470" t="s">
        <v>925</v>
      </c>
      <c r="C2" s="3470" t="s">
        <v>926</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921</v>
      </c>
      <c r="E3" s="854" t="s">
        <v>927</v>
      </c>
      <c r="F3" s="854" t="s">
        <v>921</v>
      </c>
      <c r="G3" s="854" t="s">
        <v>922</v>
      </c>
      <c r="H3" s="854" t="s">
        <v>921</v>
      </c>
      <c r="I3" s="854" t="s">
        <v>922</v>
      </c>
    </row>
    <row r="4" spans="1:9" ht="15">
      <c r="A4" s="1505" t="str">
        <f>项目基本情况!S2</f>
        <v>北京市房地产</v>
      </c>
      <c r="B4" s="854">
        <f>项目基本情况!C17</f>
        <v>104671.29</v>
      </c>
      <c r="C4" s="854">
        <f>项目基本情况!C18</f>
        <v>0</v>
      </c>
      <c r="D4" s="854" t="e">
        <f ca="1">结果表!D118</f>
        <v>#REF!</v>
      </c>
      <c r="E4" s="854" t="e">
        <f ca="1">结果表!E118</f>
        <v>#REF!</v>
      </c>
      <c r="F4" s="854" t="e">
        <f ca="1">结果表!F118</f>
        <v>#REF!</v>
      </c>
      <c r="G4" s="854" t="e">
        <f ca="1">结果表!G118</f>
        <v>#REF!</v>
      </c>
      <c r="H4" s="854">
        <f ca="1">结果表!H118</f>
        <v>125704</v>
      </c>
      <c r="I4" s="854">
        <f ca="1">结果表!I118</f>
        <v>12009</v>
      </c>
    </row>
    <row r="5" spans="1:9" ht="30" customHeight="1">
      <c r="A5" s="3465" t="s">
        <v>923</v>
      </c>
      <c r="B5" s="3465"/>
      <c r="C5" s="3465"/>
      <c r="D5" s="3465" t="e">
        <f ca="1">结果表!D119</f>
        <v>#REF!</v>
      </c>
      <c r="E5" s="3465"/>
      <c r="F5" s="3465" t="e">
        <f ca="1">结果表!F119</f>
        <v>#REF!</v>
      </c>
      <c r="G5" s="3465"/>
      <c r="H5" s="3465" t="str">
        <f ca="1">结果表!H119</f>
        <v>壹拾贰亿伍仟柒佰零肆万元整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923</v>
      </c>
      <c r="B7" s="3465"/>
      <c r="C7" s="3465"/>
      <c r="D7" s="3466" t="str">
        <f>结果表!D121</f>
        <v>零元整</v>
      </c>
      <c r="E7" s="3467"/>
      <c r="F7" s="3467"/>
      <c r="G7" s="3467"/>
      <c r="H7" s="3467"/>
      <c r="I7" s="3468"/>
    </row>
    <row r="8" spans="1:9" ht="15.75">
      <c r="A8" s="3464" t="str">
        <f>结果表!A122</f>
        <v>房地产抵押价值</v>
      </c>
      <c r="B8" s="3464"/>
      <c r="C8" s="3464"/>
      <c r="D8" s="3464">
        <f ca="1">结果表!D122</f>
        <v>125704</v>
      </c>
      <c r="E8" s="3464"/>
      <c r="F8" s="3464"/>
      <c r="G8" s="3464"/>
      <c r="H8" s="3464"/>
      <c r="I8" s="3464"/>
    </row>
    <row r="9" spans="1:9" ht="15">
      <c r="A9" s="3465" t="s">
        <v>923</v>
      </c>
      <c r="B9" s="3465"/>
      <c r="C9" s="3465"/>
      <c r="D9" s="3465" t="str">
        <f ca="1">结果表!D123</f>
        <v>壹拾贰亿伍仟柒佰零肆万元整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923</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923</v>
      </c>
      <c r="B13" s="3462"/>
      <c r="C13" s="3462"/>
      <c r="D13" s="3462" t="e">
        <f>结果表!D127</f>
        <v>#VALUE!</v>
      </c>
      <c r="E13" s="3462"/>
      <c r="F13" s="3462"/>
      <c r="G13" s="3462"/>
      <c r="H13" s="3462"/>
      <c r="I13" s="3462"/>
    </row>
    <row r="14" spans="1:9" ht="15" thickTop="1">
      <c r="A14" s="3463" t="s">
        <v>928</v>
      </c>
      <c r="B14" s="3463"/>
      <c r="C14" s="3463"/>
      <c r="D14" s="3463"/>
      <c r="E14" s="3463"/>
      <c r="F14" s="3463"/>
      <c r="G14" s="3463"/>
      <c r="H14" s="3463"/>
      <c r="I14" s="3463"/>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945</v>
      </c>
      <c r="B1" s="3477"/>
      <c r="C1" s="3477"/>
      <c r="D1" s="3477"/>
    </row>
    <row r="2" spans="1:4" ht="18">
      <c r="A2" s="3478" t="s">
        <v>929</v>
      </c>
      <c r="B2" s="3478"/>
      <c r="C2" s="3478"/>
      <c r="D2" s="3478"/>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478" t="s">
        <v>935</v>
      </c>
      <c r="B6" s="3478"/>
      <c r="C6" s="3478"/>
      <c r="D6" s="3478"/>
    </row>
    <row r="7" spans="1:4" ht="18.75">
      <c r="A7" s="1509" t="s">
        <v>930</v>
      </c>
      <c r="B7" s="1511" t="s">
        <v>936</v>
      </c>
      <c r="C7" s="1509" t="s">
        <v>932</v>
      </c>
      <c r="D7" s="1509" t="s">
        <v>933</v>
      </c>
    </row>
    <row r="8" spans="1:4" ht="56.25" customHeight="1">
      <c r="A8" s="1515" t="s">
        <v>390</v>
      </c>
      <c r="B8" s="1515" t="s">
        <v>0</v>
      </c>
      <c r="C8" s="1512"/>
      <c r="D8" s="1513" t="s">
        <v>934</v>
      </c>
    </row>
    <row r="9" spans="1:4">
      <c r="A9" s="675"/>
      <c r="B9" s="675"/>
      <c r="C9" s="675"/>
      <c r="D9" s="675"/>
    </row>
    <row r="10" spans="1:4" ht="18.75">
      <c r="A10" s="1516" t="s">
        <v>937</v>
      </c>
      <c r="B10" s="675"/>
      <c r="C10" s="675"/>
      <c r="D10" s="675"/>
    </row>
    <row r="11" spans="1:4" ht="30" customHeight="1">
      <c r="A11" s="3479" t="s">
        <v>938</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939</v>
      </c>
      <c r="B16" s="3473"/>
      <c r="C16" s="3473"/>
      <c r="D16" s="3473"/>
    </row>
    <row r="17" spans="1:4" ht="144" customHeight="1">
      <c r="A17" s="3473" t="s">
        <v>940</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941</v>
      </c>
      <c r="B22" s="3475"/>
      <c r="C22" s="3475"/>
      <c r="D22" s="3475"/>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55</v>
      </c>
      <c r="B3" s="1507" t="s">
        <v>947</v>
      </c>
      <c r="G3" s="1524"/>
    </row>
    <row r="4" spans="1:7">
      <c r="G4" s="1524"/>
    </row>
    <row r="5" spans="1:7">
      <c r="A5" s="1526" t="s">
        <v>46</v>
      </c>
      <c r="B5" s="1507" t="s">
        <v>948</v>
      </c>
      <c r="G5" s="1524"/>
    </row>
    <row r="6" spans="1:7">
      <c r="G6" s="1524"/>
    </row>
    <row r="7" spans="1:7">
      <c r="A7" s="1527" t="s">
        <v>108</v>
      </c>
      <c r="B7" s="1507" t="s">
        <v>949</v>
      </c>
      <c r="G7" s="1524"/>
    </row>
    <row r="8" spans="1:7">
      <c r="G8" s="1524"/>
    </row>
    <row r="9" spans="1:7">
      <c r="A9" s="1528" t="s">
        <v>47</v>
      </c>
      <c r="B9" s="1507" t="s">
        <v>950</v>
      </c>
    </row>
    <row r="11" spans="1:7">
      <c r="A11" s="1529" t="s">
        <v>48</v>
      </c>
      <c r="B11" s="1530" t="s">
        <v>45</v>
      </c>
    </row>
    <row r="13" spans="1:7">
      <c r="A13" s="1531" t="s">
        <v>951</v>
      </c>
    </row>
    <row r="15" spans="1:7" ht="13.5">
      <c r="A15" s="3485" t="s">
        <v>952</v>
      </c>
      <c r="B15" s="3480" t="s">
        <v>109</v>
      </c>
      <c r="C15" s="3481"/>
    </row>
    <row r="16" spans="1:7" ht="13.5">
      <c r="A16" s="3486"/>
      <c r="B16" s="3480" t="s">
        <v>42</v>
      </c>
      <c r="C16" s="3481"/>
    </row>
    <row r="17" spans="1:3" ht="13.5">
      <c r="A17" s="3486"/>
      <c r="B17" s="3483" t="s">
        <v>953</v>
      </c>
      <c r="C17" s="1532" t="s">
        <v>952</v>
      </c>
    </row>
    <row r="18" spans="1:3" ht="13.5">
      <c r="A18" s="3486"/>
      <c r="B18" s="3483"/>
      <c r="C18" s="1532" t="s">
        <v>954</v>
      </c>
    </row>
    <row r="19" spans="1:3" ht="13.5">
      <c r="A19" s="3486"/>
      <c r="B19" s="3483"/>
      <c r="C19" s="1532" t="s">
        <v>955</v>
      </c>
    </row>
    <row r="20" spans="1:3" ht="13.5">
      <c r="A20" s="3487"/>
      <c r="B20" s="3482" t="s">
        <v>956</v>
      </c>
      <c r="C20" s="3481"/>
    </row>
    <row r="21" spans="1:3" ht="13.5">
      <c r="A21" s="1533" t="s">
        <v>957</v>
      </c>
      <c r="B21" s="1534"/>
      <c r="C21" s="1535"/>
    </row>
    <row r="22" spans="1:3" ht="13.5">
      <c r="A22" s="3484" t="s">
        <v>958</v>
      </c>
      <c r="B22" s="3482" t="s">
        <v>959</v>
      </c>
      <c r="C22" s="3481"/>
    </row>
    <row r="23" spans="1:3" ht="13.5">
      <c r="A23" s="3484"/>
      <c r="B23" s="3482" t="s">
        <v>960</v>
      </c>
      <c r="C23" s="3481"/>
    </row>
    <row r="24" spans="1:3" ht="13.5">
      <c r="A24" s="3484"/>
      <c r="B24" s="3482" t="s">
        <v>961</v>
      </c>
      <c r="C24" s="3481"/>
    </row>
    <row r="25" spans="1:3" ht="13.5">
      <c r="A25" s="3484"/>
      <c r="B25" s="3483" t="s">
        <v>962</v>
      </c>
      <c r="C25" s="1532" t="s">
        <v>963</v>
      </c>
    </row>
    <row r="26" spans="1:3" ht="13.5">
      <c r="A26" s="3484"/>
      <c r="B26" s="3483"/>
      <c r="C26" s="1532" t="s">
        <v>964</v>
      </c>
    </row>
    <row r="27" spans="1:3" ht="13.5">
      <c r="A27" s="3484"/>
      <c r="B27" s="3483"/>
      <c r="C27" s="1532" t="s">
        <v>965</v>
      </c>
    </row>
    <row r="28" spans="1:3" ht="13.5">
      <c r="A28" s="3484"/>
      <c r="B28" s="3483"/>
      <c r="C28" s="1532" t="s">
        <v>966</v>
      </c>
    </row>
    <row r="29" spans="1:3" ht="13.5">
      <c r="A29" s="3484"/>
      <c r="B29" s="3483"/>
      <c r="C29" s="1532" t="s">
        <v>967</v>
      </c>
    </row>
    <row r="30" spans="1:3" ht="13.5">
      <c r="A30" s="3484"/>
      <c r="B30" s="3483"/>
      <c r="C30" s="1532" t="s">
        <v>968</v>
      </c>
    </row>
    <row r="31" spans="1:3" ht="13.5">
      <c r="A31" s="3484"/>
      <c r="B31" s="3483"/>
      <c r="C31" s="1532" t="s">
        <v>969</v>
      </c>
    </row>
    <row r="32" spans="1:3" ht="13.5">
      <c r="A32" s="3484"/>
      <c r="B32" s="3483"/>
      <c r="C32" s="1532" t="s">
        <v>970</v>
      </c>
    </row>
    <row r="33" spans="1:3" ht="13.5">
      <c r="A33" s="3484"/>
      <c r="B33" s="3483"/>
      <c r="C33" s="1532" t="s">
        <v>971</v>
      </c>
    </row>
    <row r="34" spans="1:3">
      <c r="A34" s="1536" t="s">
        <v>49</v>
      </c>
    </row>
    <row r="37" spans="1:3">
      <c r="A37" s="1536" t="s">
        <v>972</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45422</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t="str">
        <f ca="1">IF(C6&lt;B2,"已过期",1120050019)</f>
        <v>已过期</v>
      </c>
      <c r="C6" s="2345">
        <v>45410</v>
      </c>
      <c r="D6" s="2346" t="str">
        <f t="shared" ca="1" si="0"/>
        <v>王鹏（注册号：已过期）</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2156</v>
      </c>
      <c r="B17" s="3488"/>
      <c r="C17" s="3488"/>
      <c r="D17" s="3488"/>
      <c r="E17" s="3488"/>
      <c r="F17" s="3488"/>
      <c r="G17" s="3488"/>
      <c r="H17" s="3488"/>
    </row>
    <row r="18" spans="1:8" ht="24" customHeight="1">
      <c r="A18" s="3489" t="s">
        <v>2157</v>
      </c>
      <c r="B18" s="3489"/>
      <c r="C18" s="3489"/>
      <c r="D18" s="2343"/>
      <c r="E18" s="3490" t="s">
        <v>2158</v>
      </c>
      <c r="F18" s="3489"/>
      <c r="G18" s="3489"/>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2024-05-10T05:42:51Z</dcterms:modified>
</cp:coreProperties>
</file>