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元)" sheetId="67" r:id="rId20"/>
    <sheet name="比较法-办公 (租金)" sheetId="81" state="hidden" r:id="rId21"/>
    <sheet name="成本法" sheetId="68" state="hidden"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3" r:id="rId47"/>
  </sheets>
  <externalReferences>
    <externalReference r:id="rId48"/>
    <externalReference r:id="rId49"/>
  </externalReferences>
  <definedNames>
    <definedName name="_xlnm._FilterDatabase" localSheetId="18" hidden="1">'比较法-办公'!$A$1:$L$50</definedName>
    <definedName name="_xlnm._FilterDatabase" localSheetId="20"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0">'比较法-办公 (租金)'!$A$1:$K$55,'比较法-办公 (租金)'!$A$58:$M$132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19">'收益法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2">'数据-基础表'!$A$1:$L$13</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33" i="83" l="1"/>
  <c r="G34" i="83"/>
  <c r="B34" i="83"/>
  <c r="B33" i="83"/>
  <c r="G23" i="9" l="1"/>
  <c r="W20" i="1"/>
  <c r="W19" i="1"/>
  <c r="U20" i="1"/>
  <c r="U21" i="1" s="1"/>
  <c r="U6" i="1" s="1"/>
  <c r="G19" i="6"/>
  <c r="F19" i="6"/>
  <c r="K13" i="3"/>
  <c r="I13" i="3"/>
  <c r="D31" i="74" l="1"/>
  <c r="O19" i="1"/>
  <c r="N19" i="1"/>
  <c r="I48" i="81" l="1"/>
  <c r="G48" i="81"/>
  <c r="E48" i="81"/>
  <c r="I34" i="81"/>
  <c r="G34" i="81"/>
  <c r="E34" i="8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G10" i="81"/>
  <c r="E10" i="81"/>
  <c r="F10" i="81" s="1"/>
  <c r="Q9" i="81"/>
  <c r="Z9" i="81" s="1"/>
  <c r="J9" i="81"/>
  <c r="H9" i="81"/>
  <c r="F9" i="81"/>
  <c r="J8" i="81"/>
  <c r="H8" i="81"/>
  <c r="F8" i="81"/>
  <c r="I5" i="81"/>
  <c r="G5" i="81"/>
  <c r="E5" i="81"/>
  <c r="C37" i="34"/>
  <c r="I37" i="34" s="1"/>
  <c r="I34" i="34"/>
  <c r="G34" i="34"/>
  <c r="E34" i="34"/>
  <c r="I48" i="34"/>
  <c r="G48" i="34"/>
  <c r="E48" i="34"/>
  <c r="I10" i="34"/>
  <c r="I5" i="34"/>
  <c r="G5" i="34"/>
  <c r="E5" i="34"/>
  <c r="G10" i="34"/>
  <c r="E10" i="34"/>
  <c r="D2" i="81"/>
  <c r="G37" i="34" l="1"/>
  <c r="E37" i="34"/>
  <c r="AA8" i="81"/>
  <c r="S8" i="81"/>
  <c r="AB8" i="81"/>
  <c r="U8" i="81"/>
  <c r="AC8" i="81"/>
  <c r="W8" i="81"/>
  <c r="AA9" i="81"/>
  <c r="S9" i="81"/>
  <c r="AB9" i="81"/>
  <c r="U9" i="81"/>
  <c r="AC9" i="81"/>
  <c r="W9" i="81"/>
  <c r="AA10" i="81"/>
  <c r="S10" i="81"/>
  <c r="I10" i="81"/>
  <c r="J10" i="81" s="1"/>
  <c r="H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E55" i="81"/>
  <c r="F55" i="81" s="1"/>
  <c r="R48" i="81"/>
  <c r="G55" i="81"/>
  <c r="H55" i="81" s="1"/>
  <c r="T48" i="81"/>
  <c r="I55" i="81"/>
  <c r="J55" i="81" s="1"/>
  <c r="V48" i="81"/>
  <c r="AA37" i="81" l="1"/>
  <c r="S37" i="81"/>
  <c r="AB37" i="81"/>
  <c r="U37" i="81"/>
  <c r="AC37" i="81"/>
  <c r="W37" i="81"/>
  <c r="AB10" i="81"/>
  <c r="U10" i="81"/>
  <c r="AC10" i="81"/>
  <c r="W10" i="81"/>
  <c r="Y6" i="1" l="1"/>
  <c r="D3" i="4"/>
  <c r="C34" i="81" l="1"/>
  <c r="C34" i="34"/>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F34" i="81" l="1"/>
  <c r="J34" i="81"/>
  <c r="H34" i="81"/>
  <c r="B10" i="74"/>
  <c r="AB34" i="81" l="1"/>
  <c r="U34" i="81"/>
  <c r="AA34" i="81"/>
  <c r="S34" i="81"/>
  <c r="AC34" i="81"/>
  <c r="W34"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M26" i="67"/>
  <c r="F43" i="15"/>
  <c r="F37" i="15"/>
  <c r="M28" i="67"/>
  <c r="D6" i="73"/>
  <c r="C76" i="15"/>
  <c r="M23" i="15"/>
  <c r="J15" i="67"/>
  <c r="E8" i="76"/>
  <c r="E11" i="76"/>
  <c r="E10" i="76"/>
  <c r="F36" i="67"/>
  <c r="M29" i="15"/>
  <c r="F36" i="15"/>
  <c r="F6" i="73"/>
  <c r="F6" i="15"/>
  <c r="M9" i="15"/>
  <c r="E2" i="69"/>
  <c r="F4" i="73"/>
  <c r="F37" i="67"/>
  <c r="E7" i="76"/>
  <c r="M24" i="15"/>
  <c r="F26" i="67"/>
  <c r="E13" i="76"/>
  <c r="L48" i="15"/>
  <c r="M8" i="67"/>
  <c r="B9" i="76"/>
  <c r="F8" i="15"/>
  <c r="F9" i="15"/>
  <c r="D3" i="73"/>
  <c r="B12" i="76"/>
  <c r="F40" i="15"/>
  <c r="L48" i="67"/>
  <c r="D4" i="73"/>
  <c r="F3" i="73"/>
  <c r="M29" i="67"/>
  <c r="D5" i="73"/>
  <c r="F38" i="15"/>
  <c r="B13" i="76"/>
  <c r="F43" i="67"/>
  <c r="AO13" i="1"/>
  <c r="B10" i="76"/>
  <c r="F42" i="67"/>
  <c r="F5" i="73"/>
  <c r="M6" i="15"/>
  <c r="B8" i="76"/>
  <c r="F42" i="15"/>
  <c r="E2" i="68"/>
  <c r="J15" i="15"/>
  <c r="F26" i="15"/>
  <c r="M23" i="67"/>
  <c r="M8" i="15"/>
  <c r="B11" i="76"/>
  <c r="F20" i="31"/>
  <c r="D7" i="73"/>
  <c r="F13" i="67"/>
  <c r="F13" i="15"/>
  <c r="F38" i="67"/>
  <c r="M22" i="67"/>
  <c r="F7" i="15"/>
  <c r="F8" i="67"/>
  <c r="L47" i="67"/>
  <c r="L47" i="15"/>
  <c r="E9" i="76"/>
  <c r="M6" i="67"/>
  <c r="F9" i="67"/>
  <c r="F7" i="67"/>
  <c r="B7" i="76"/>
  <c r="M28" i="15"/>
  <c r="F7" i="73"/>
  <c r="M24" i="67"/>
  <c r="F16" i="67"/>
  <c r="M26" i="15"/>
  <c r="F16" i="15"/>
  <c r="E12" i="76"/>
  <c r="C76" i="67"/>
  <c r="M22" i="15"/>
  <c r="M9" i="67"/>
  <c r="E442" i="3" l="1"/>
  <c r="E421" i="3"/>
  <c r="E502" i="3"/>
  <c r="E552" i="3"/>
  <c r="R6" i="3"/>
  <c r="E542" i="3"/>
  <c r="E499" i="3"/>
  <c r="AD6" i="3"/>
  <c r="E575" i="3"/>
  <c r="E312" i="3"/>
  <c r="E286" i="3"/>
  <c r="E141" i="3"/>
  <c r="E199" i="3"/>
  <c r="E167" i="3"/>
  <c r="E212" i="3"/>
  <c r="E149" i="3"/>
  <c r="E148" i="3"/>
  <c r="E244" i="3"/>
  <c r="E536" i="3"/>
  <c r="E165" i="3"/>
  <c r="E539" i="3"/>
  <c r="G6" i="1"/>
  <c r="I24" i="43"/>
  <c r="C28" i="67"/>
  <c r="I7" i="34"/>
  <c r="G7" i="34"/>
  <c r="E7" i="34"/>
  <c r="C59" i="81"/>
  <c r="D59" i="81" s="1"/>
  <c r="E59" i="81" s="1"/>
  <c r="F59" i="81" s="1"/>
  <c r="G59" i="81" s="1"/>
  <c r="H59" i="81" s="1"/>
  <c r="I59" i="81" s="1"/>
  <c r="J59" i="81" s="1"/>
  <c r="K59" i="81" s="1"/>
  <c r="L59" i="81" s="1"/>
  <c r="M59" i="81" s="1"/>
  <c r="N59" i="81" s="1"/>
  <c r="O59" i="81" s="1"/>
  <c r="I7" i="81"/>
  <c r="J7" i="81" s="1"/>
  <c r="G7" i="81"/>
  <c r="H7" i="81" s="1"/>
  <c r="E7" i="81"/>
  <c r="F7" i="8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N370" i="46" l="1"/>
  <c r="J26" i="43"/>
  <c r="G26" i="43"/>
  <c r="D26" i="43" s="1"/>
  <c r="C25" i="43" s="1"/>
  <c r="AA7" i="81"/>
  <c r="R49" i="81" s="1"/>
  <c r="S7" i="81"/>
  <c r="AB7" i="81"/>
  <c r="T49" i="81" s="1"/>
  <c r="G49" i="81" s="1"/>
  <c r="U7" i="81"/>
  <c r="AC7" i="81"/>
  <c r="V49" i="81" s="1"/>
  <c r="I49" i="81" s="1"/>
  <c r="W7" i="81"/>
  <c r="B15" i="71"/>
  <c r="B14" i="71" s="1"/>
  <c r="B13" i="71" s="1"/>
  <c r="B12" i="71" s="1"/>
  <c r="S16" i="71"/>
  <c r="AZ15" i="3"/>
  <c r="BL5" i="3"/>
  <c r="AZ550" i="3"/>
  <c r="BA5" i="3"/>
  <c r="E27" i="6" s="1"/>
  <c r="K26" i="6" s="1"/>
  <c r="M26" i="6" s="1"/>
  <c r="I26" i="6" s="1"/>
  <c r="S26" i="6" s="1"/>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I53" i="81"/>
  <c r="J53" i="81" s="1"/>
  <c r="G54" i="81"/>
  <c r="H54" i="81" s="1"/>
  <c r="G53" i="81"/>
  <c r="H53" i="81" s="1"/>
  <c r="R50" i="81"/>
  <c r="E49" i="81"/>
  <c r="D15" i="71"/>
  <c r="C14" i="71"/>
  <c r="AZ5" i="3"/>
  <c r="B11" i="71"/>
  <c r="B10" i="71" s="1"/>
  <c r="B9" i="71" s="1"/>
  <c r="B8" i="71" s="1"/>
  <c r="B7" i="71" s="1"/>
  <c r="B6" i="71" s="1"/>
  <c r="B5" i="71" s="1"/>
  <c r="S12" i="71"/>
  <c r="L37" i="43"/>
  <c r="P36" i="43"/>
  <c r="N36" i="43"/>
  <c r="Q36" i="43"/>
  <c r="O36" i="43"/>
  <c r="M36" i="4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M27" i="15"/>
  <c r="F41" i="15"/>
  <c r="E54" i="81" l="1"/>
  <c r="F54" i="81" s="1"/>
  <c r="E53" i="81"/>
  <c r="F53" i="81" s="1"/>
  <c r="I54" i="81"/>
  <c r="J54" i="81" s="1"/>
  <c r="C50" i="81"/>
  <c r="C49" i="81"/>
  <c r="D116" i="43"/>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F6" i="67"/>
  <c r="C17" i="15"/>
  <c r="C17" i="67"/>
  <c r="F31" i="67" l="1"/>
  <c r="C6" i="67"/>
  <c r="C10" i="67" s="1"/>
  <c r="C5" i="67" s="1"/>
  <c r="C38" i="67" s="1"/>
  <c r="B3" i="81"/>
  <c r="B2" i="81"/>
  <c r="D13" i="7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C8" i="69" s="1"/>
  <c r="D19" i="69"/>
  <c r="C28" i="11"/>
  <c r="C27" i="11" s="1"/>
  <c r="C25" i="11"/>
  <c r="C22"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0" i="12"/>
  <c r="C28" i="12" s="1"/>
  <c r="C38" i="11"/>
  <c r="C35" i="11"/>
  <c r="H27" i="6"/>
  <c r="R19" i="6"/>
  <c r="C27" i="12"/>
  <c r="C25" i="12" s="1"/>
  <c r="J69" i="39"/>
  <c r="K67" i="39"/>
  <c r="U7" i="21"/>
  <c r="AB7" i="21"/>
  <c r="T48" i="21" s="1"/>
  <c r="G48" i="21" s="1"/>
  <c r="S7" i="21"/>
  <c r="AA7" i="21"/>
  <c r="R48" i="21" s="1"/>
  <c r="J63" i="40"/>
  <c r="I65" i="40"/>
  <c r="K48" i="35"/>
  <c r="L48" i="35" s="1"/>
  <c r="M48" i="35" s="1"/>
  <c r="N48" i="35" s="1"/>
  <c r="O48" i="35" s="1"/>
  <c r="H7" i="35" s="1"/>
  <c r="AC7" i="21"/>
  <c r="V48" i="21" s="1"/>
  <c r="I48" i="21" s="1"/>
  <c r="W7" i="21"/>
  <c r="C31" i="11" l="1"/>
  <c r="J7" i="35"/>
  <c r="I5" i="6"/>
  <c r="I6" i="6"/>
  <c r="C19" i="69"/>
  <c r="D37" i="69"/>
  <c r="C37" i="69" s="1"/>
  <c r="C33" i="69" s="1"/>
  <c r="C19" i="68"/>
  <c r="D37" i="68"/>
  <c r="C37" i="68" s="1"/>
  <c r="C33" i="68" s="1"/>
  <c r="C39" i="68" s="1"/>
  <c r="C43" i="68" s="1"/>
  <c r="D10" i="71"/>
  <c r="C9" i="71"/>
  <c r="Q49" i="67"/>
  <c r="J14" i="67"/>
  <c r="J13" i="67" s="1"/>
  <c r="J23" i="67" s="1"/>
  <c r="C36" i="67"/>
  <c r="C57" i="67"/>
  <c r="C64" i="67" s="1"/>
  <c r="C13" i="67"/>
  <c r="Q70" i="67" s="1"/>
  <c r="C33" i="11"/>
  <c r="C39" i="11" s="1"/>
  <c r="C61" i="67"/>
  <c r="C42" i="68"/>
  <c r="C32" i="12"/>
  <c r="B2" i="12" s="1"/>
  <c r="B3" i="12" s="1"/>
  <c r="C23" i="15"/>
  <c r="C29" i="15" s="1"/>
  <c r="R27" i="6"/>
  <c r="R6" i="1"/>
  <c r="H37" i="34" s="1"/>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46" i="68" l="1"/>
  <c r="C45" i="68" s="1"/>
  <c r="U37" i="34"/>
  <c r="AB37" i="34"/>
  <c r="T49" i="34" s="1"/>
  <c r="C8" i="71"/>
  <c r="D9" i="71"/>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G49" i="34"/>
  <c r="G54" i="34" s="1"/>
  <c r="H54" i="34" s="1"/>
  <c r="R50" i="34"/>
  <c r="G53" i="34"/>
  <c r="H53" i="34" s="1"/>
  <c r="C43" i="69"/>
  <c r="C41" i="69" s="1"/>
  <c r="C46" i="69"/>
  <c r="C45" i="69"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67"/>
  <c r="D2" i="21"/>
  <c r="E54" i="34" l="1"/>
  <c r="F54" i="34" s="1"/>
  <c r="C49" i="34"/>
  <c r="C50" i="34"/>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5"/>
  <c r="D2" i="37"/>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12" i="1"/>
  <c r="AO7" i="1"/>
  <c r="AO6" i="1"/>
  <c r="AO9" i="1"/>
  <c r="AO10" i="1"/>
  <c r="B3" i="34"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C19" i="9"/>
  <c r="D35" i="9"/>
  <c r="C103" i="9" l="1"/>
  <c r="C102" i="9"/>
  <c r="C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S26" i="79" l="1"/>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C40" i="43" s="1"/>
  <c r="G40" i="43" l="1"/>
  <c r="I40" i="43" s="1"/>
  <c r="E40" i="43"/>
  <c r="C39" i="43"/>
  <c r="C37" i="43"/>
  <c r="C33" i="43"/>
  <c r="C6" i="69" s="1"/>
  <c r="T5" i="43"/>
  <c r="V5" i="43" s="1"/>
  <c r="T6" i="43"/>
  <c r="V6" i="43" s="1"/>
  <c r="T2" i="43"/>
  <c r="V2" i="43" s="1"/>
  <c r="T3" i="43"/>
  <c r="V3" i="43" s="1"/>
  <c r="T4" i="43"/>
  <c r="V4" i="43" s="1"/>
  <c r="T8" i="43"/>
  <c r="V8" i="43" s="1"/>
  <c r="T10" i="43"/>
  <c r="V10" i="43" s="1"/>
  <c r="T12" i="43"/>
  <c r="V12" i="43" s="1"/>
  <c r="T14" i="43"/>
  <c r="V14" i="43" s="1"/>
  <c r="T16" i="43"/>
  <c r="V16" i="43" s="1"/>
  <c r="T7" i="43"/>
  <c r="V7" i="43" s="1"/>
  <c r="T9" i="43"/>
  <c r="V9" i="43" s="1"/>
  <c r="T11" i="43"/>
  <c r="V11" i="43" s="1"/>
  <c r="T13" i="43"/>
  <c r="V13" i="43" s="1"/>
  <c r="T15" i="43"/>
  <c r="V15" i="43" s="1"/>
  <c r="C38" i="43"/>
  <c r="C42" i="43"/>
  <c r="C41" i="43"/>
  <c r="C7" i="69" l="1"/>
  <c r="C5" i="69" s="1"/>
  <c r="G42" i="43"/>
  <c r="I42" i="43" s="1"/>
  <c r="E42" i="43"/>
  <c r="G37" i="43"/>
  <c r="I37" i="43" s="1"/>
  <c r="E37" i="43"/>
  <c r="E41" i="43"/>
  <c r="G41" i="43"/>
  <c r="I41" i="43" s="1"/>
  <c r="G38" i="43"/>
  <c r="I38" i="43" s="1"/>
  <c r="E38" i="43"/>
  <c r="C34" i="43"/>
  <c r="E34" i="43" s="1"/>
  <c r="E33" i="43"/>
  <c r="C6" i="68" s="1"/>
  <c r="C7" i="68" s="1"/>
  <c r="C5" i="68" s="1"/>
  <c r="E39" i="43"/>
  <c r="G39" i="43"/>
  <c r="I39" i="43" s="1"/>
  <c r="C23" i="69" l="1"/>
  <c r="C20" i="69"/>
  <c r="C25" i="69" s="1"/>
  <c r="C23" i="68"/>
  <c r="C20" i="68"/>
  <c r="C25" i="68" s="1"/>
  <c r="C31" i="43"/>
  <c r="C30" i="43"/>
  <c r="B2" i="43" s="1"/>
  <c r="E6" i="76"/>
  <c r="B6" i="76"/>
  <c r="C28" i="69" l="1"/>
  <c r="C27" i="69" s="1"/>
  <c r="C22" i="69"/>
  <c r="C28" i="68"/>
  <c r="C27" i="68" s="1"/>
  <c r="C22" i="68"/>
  <c r="E2" i="76"/>
  <c r="B2" i="76"/>
  <c r="B3" i="43"/>
  <c r="C31" i="69" l="1"/>
  <c r="C52" i="69" s="1"/>
  <c r="B2" i="69" s="1"/>
  <c r="B3" i="76"/>
  <c r="C31" i="68"/>
  <c r="C52" i="68" s="1"/>
  <c r="C57" i="68" s="1"/>
  <c r="C56" i="68" s="1"/>
  <c r="D19" i="9"/>
  <c r="C57" i="69" l="1"/>
  <c r="C56" i="69" s="1"/>
  <c r="D102" i="9"/>
  <c r="D21" i="9"/>
  <c r="D22" i="9"/>
  <c r="G19" i="9"/>
  <c r="B3" i="69"/>
  <c r="B2" i="68"/>
  <c r="B3" i="68" s="1"/>
  <c r="D20" i="9"/>
  <c r="D103" i="9" l="1"/>
  <c r="G20" i="9"/>
  <c r="E14" i="74" s="1"/>
  <c r="D14" i="74" s="1"/>
  <c r="G21" i="9"/>
  <c r="C32" i="9"/>
  <c r="C35" i="9" l="1"/>
  <c r="H118" i="9"/>
  <c r="AH21" i="1"/>
  <c r="G14" i="74"/>
  <c r="B6" i="74" s="1"/>
  <c r="F14" i="74"/>
  <c r="B5" i="74"/>
  <c r="C34" i="9" l="1"/>
  <c r="D118" i="9" s="1"/>
  <c r="F118" i="9"/>
  <c r="D5" i="74"/>
  <c r="D6" i="74"/>
  <c r="H101" i="9"/>
  <c r="H119" i="9"/>
  <c r="H5" i="52" s="1"/>
  <c r="C104" i="9"/>
  <c r="H4" i="52"/>
  <c r="I118" i="9"/>
  <c r="F4" i="52" l="1"/>
  <c r="B51" i="72" s="1"/>
  <c r="F119" i="9"/>
  <c r="F5" i="52" s="1"/>
  <c r="B53" i="72" s="1"/>
  <c r="G118" i="9"/>
  <c r="G4" i="52" s="1"/>
  <c r="B52" i="72" s="1"/>
  <c r="I4" i="52"/>
  <c r="E118" i="9"/>
  <c r="E4" i="52" s="1"/>
  <c r="B48" i="72" s="1"/>
  <c r="C105" i="9"/>
  <c r="H102" i="9"/>
  <c r="D45" i="9"/>
  <c r="M48" i="9"/>
  <c r="D5" i="53"/>
  <c r="H107" i="9"/>
  <c r="D4" i="52"/>
  <c r="B47" i="72" s="1"/>
  <c r="D119" i="9"/>
  <c r="D5" i="52" s="1"/>
  <c r="B49" i="72" s="1"/>
  <c r="B20" i="72" l="1"/>
  <c r="D6" i="53"/>
  <c r="B22" i="72" s="1"/>
  <c r="D55" i="9"/>
  <c r="M53" i="9" s="1"/>
  <c r="C78" i="9"/>
  <c r="C73" i="9" s="1"/>
  <c r="C85" i="9"/>
  <c r="C64" i="9"/>
  <c r="C63" i="9" s="1"/>
  <c r="C67" i="9" s="1"/>
  <c r="D53" i="9"/>
  <c r="C93" i="9"/>
  <c r="C86" i="9" s="1"/>
  <c r="C72" i="9"/>
  <c r="D52" i="9"/>
  <c r="D13" i="53"/>
  <c r="D122" i="9"/>
  <c r="H108" i="9"/>
  <c r="D7" i="53"/>
  <c r="B21" i="72" s="1"/>
  <c r="C5" i="74"/>
  <c r="C79" i="9" l="1"/>
  <c r="C80" i="9" s="1"/>
  <c r="E80" i="9" s="1"/>
  <c r="E81" i="9" s="1"/>
  <c r="D123" i="9"/>
  <c r="D9" i="52" s="1"/>
  <c r="D8" i="52"/>
  <c r="D59" i="9"/>
  <c r="M55" i="9" s="1"/>
  <c r="C68" i="9"/>
  <c r="D54" i="9" s="1"/>
  <c r="D15" i="53"/>
  <c r="B31" i="72" s="1"/>
  <c r="C6" i="74"/>
  <c r="B30" i="72"/>
  <c r="D14" i="53"/>
  <c r="B32" i="72" s="1"/>
  <c r="C95" i="9"/>
  <c r="C96" i="9" l="1"/>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<sst xmlns="http://schemas.openxmlformats.org/spreadsheetml/2006/main" count="8254" uniqueCount="3457">
  <si>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</si>
  <si>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</si>
  <si>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</si>
  <si>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</si>
  <si>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</si>
  <si>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</si>
  <si>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</si>
  <si>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</si>
  <si>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</si>
  <si>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</si>
  <si>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</si>
  <si>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</si>
  <si>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</si>
  <si>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</si>
  <si>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</si>
  <si>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</si>
  <si>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</si>
  <si>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</si>
  <si>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</si>
  <si>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</si>
  <si>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</si>
  <si>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</si>
  <si>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</si>
  <si>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</si>
  <si>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</si>
  <si>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</si>
  <si>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</si>
  <si>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</si>
  <si>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</si>
  <si>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</si>
  <si>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</si>
  <si>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</si>
  <si>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</si>
  <si>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</si>
  <si>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</si>
  <si>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</si>
  <si>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</si>
  <si>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</si>
  <si>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</si>
  <si>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</si>
  <si>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</si>
  <si>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</si>
  <si>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</si>
  <si>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</si>
  <si>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</si>
  <si>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</si>
  <si>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</si>
  <si>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</si>
  <si>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</si>
  <si>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</si>
  <si>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</si>
  <si>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</si>
  <si>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</si>
  <si>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</si>
  <si>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</si>
  <si>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</si>
  <si>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</si>
  <si>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</si>
  <si>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</si>
  <si>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</si>
  <si>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</si>
  <si>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</si>
  <si>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</si>
  <si>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</si>
  <si>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</si>
  <si>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</si>
  <si>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</si>
  <si>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</si>
  <si>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</si>
  <si>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</si>
  <si>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</si>
  <si>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</si>
  <si>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</si>
  <si>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</si>
  <si>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</si>
  <si>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</si>
  <si>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</si>
  <si>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</si>
  <si>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</si>
  <si>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</si>
  <si>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</si>
  <si>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</si>
  <si>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</si>
  <si>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</si>
  <si>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</si>
  <si>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</si>
  <si>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</si>
  <si>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</si>
  <si>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</si>
  <si>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</si>
  <si>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</si>
  <si>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</si>
  <si>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</si>
  <si>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</si>
  <si>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</si>
  <si>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</si>
  <si>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</si>
  <si>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</si>
  <si>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</si>
  <si>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</si>
  <si>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</si>
  <si>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</si>
  <si>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</si>
  <si>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</si>
  <si>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</si>
  <si>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</si>
  <si>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</si>
  <si>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</si>
  <si>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</si>
  <si>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</si>
  <si>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</si>
  <si>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</si>
  <si>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</si>
  <si>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</si>
  <si>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</si>
  <si>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</si>
  <si>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</si>
  <si>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</si>
  <si>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</si>
  <si>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</si>
  <si>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</si>
  <si>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</si>
  <si>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</si>
  <si>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</si>
  <si>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</si>
  <si>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</si>
  <si>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</si>
  <si>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</si>
  <si>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</si>
  <si>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</si>
  <si>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</si>
  <si>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</si>
  <si>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</si>
  <si>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</si>
  <si>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</si>
  <si>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</si>
  <si>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</si>
  <si>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</si>
  <si>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</si>
  <si>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</si>
  <si>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</si>
  <si>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</si>
  <si>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</si>
  <si>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</si>
  <si>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</si>
  <si>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</si>
  <si>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</si>
  <si>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</si>
  <si>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</si>
  <si>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</si>
  <si>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</si>
  <si>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</si>
  <si>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</si>
  <si>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</si>
  <si>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</si>
  <si>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</si>
  <si>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</si>
  <si>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</si>
  <si>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</si>
  <si>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</si>
  <si>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</si>
  <si>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</si>
  <si>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</si>
  <si>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</si>
  <si>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</si>
  <si>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</si>
  <si>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</si>
  <si>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</si>
  <si>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</si>
  <si>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</si>
  <si>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</si>
  <si>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</si>
  <si>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</si>
  <si>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</si>
  <si>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</si>
  <si>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</si>
  <si>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</si>
  <si>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</si>
  <si>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</si>
  <si>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</si>
  <si>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</si>
  <si>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</si>
  <si>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</si>
  <si>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</si>
  <si>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</si>
  <si>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</si>
  <si>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</si>
  <si>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</si>
  <si>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</si>
  <si>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</si>
  <si>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</si>
  <si>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</si>
  <si>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</si>
  <si>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</si>
  <si>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</si>
  <si>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</si>
  <si>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</si>
  <si>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</si>
  <si>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</si>
  <si>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</si>
  <si>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</si>
  <si>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</si>
  <si>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</si>
  <si>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</si>
  <si>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</si>
  <si>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</si>
  <si>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</si>
  <si>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</si>
  <si>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</si>
  <si>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</si>
  <si>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</si>
  <si>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</si>
  <si>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</si>
  <si>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</si>
  <si>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</si>
  <si>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</si>
  <si>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</si>
  <si>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</si>
  <si>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</si>
  <si>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</si>
  <si>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</si>
  <si>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</si>
  <si>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</si>
  <si>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</si>
  <si>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</si>
  <si>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</si>
  <si>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</si>
  <si>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</si>
  <si>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</si>
  <si>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</si>
  <si>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</si>
  <si>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</si>
  <si>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</si>
  <si>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</si>
  <si>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</si>
  <si>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</si>
  <si>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</si>
  <si>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</si>
  <si>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</si>
  <si>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</si>
  <si>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</si>
  <si>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</si>
  <si>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</si>
  <si>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</si>
  <si>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</si>
  <si>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</si>
  <si>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</si>
  <si>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</si>
  <si>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</si>
  <si>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</si>
  <si>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</si>
  <si>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</si>
  <si>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</si>
  <si>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</si>
  <si>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</si>
  <si>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</si>
  <si>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</si>
  <si>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</si>
  <si>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</si>
  <si>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</si>
  <si>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</si>
  <si>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</si>
  <si>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</si>
  <si>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</si>
  <si>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</si>
  <si>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</si>
  <si>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</si>
  <si>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</si>
  <si>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</si>
  <si>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</si>
  <si>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</si>
  <si>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</si>
  <si>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</si>
  <si>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</si>
  <si>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</si>
  <si>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</si>
  <si>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</si>
  <si>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</si>
  <si>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</si>
  <si>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</si>
  <si>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</si>
  <si>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</si>
  <si>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</si>
  <si>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</si>
  <si>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</si>
  <si>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</si>
  <si>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</si>
  <si>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</si>
  <si>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</si>
  <si>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</si>
  <si>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</si>
  <si>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</si>
  <si>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</si>
  <si>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</si>
  <si>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</si>
  <si>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</si>
  <si>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</si>
  <si>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</si>
  <si>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</si>
  <si>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</si>
  <si>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</si>
  <si>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</si>
  <si>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</si>
  <si>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</si>
  <si>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</si>
  <si>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</si>
  <si>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</si>
  <si>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</si>
  <si>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</si>
  <si>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</si>
  <si>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</si>
  <si>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</si>
  <si>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</si>
  <si>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</si>
  <si>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</si>
  <si>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</si>
  <si>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</si>
  <si>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</si>
  <si>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</si>
  <si>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</si>
  <si>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</si>
  <si>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</si>
  <si>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</si>
  <si>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</si>
  <si>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</si>
  <si>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</si>
  <si>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</si>
  <si>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</si>
  <si>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</si>
  <si>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</si>
  <si>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</si>
  <si>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</si>
  <si>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</si>
  <si>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</si>
  <si>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</si>
  <si>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</si>
  <si>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</si>
  <si>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</si>
  <si>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</si>
  <si>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</si>
  <si>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</si>
  <si>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</si>
  <si>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</si>
  <si>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</si>
  <si>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</si>
  <si>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</si>
  <si>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</si>
  <si>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</si>
  <si>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</si>
  <si>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</si>
  <si>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</si>
  <si>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</si>
  <si>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</si>
  <si>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</si>
  <si>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</si>
  <si>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</si>
  <si>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</si>
  <si>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</si>
  <si>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</si>
  <si>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</si>
  <si>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</si>
  <si>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</si>
  <si>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</si>
  <si>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</si>
  <si>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</si>
  <si>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</si>
  <si>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</si>
  <si>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</si>
  <si>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</si>
  <si>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</si>
  <si>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</si>
  <si>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</si>
  <si>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</si>
  <si>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</si>
  <si>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</si>
  <si>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</si>
  <si>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</si>
  <si>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</si>
  <si>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</si>
  <si>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</si>
  <si>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</si>
  <si>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</si>
  <si>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</si>
  <si>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</si>
  <si>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</si>
  <si>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</si>
  <si>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</si>
  <si>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</si>
  <si>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</si>
  <si>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</si>
  <si>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</si>
  <si>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</si>
  <si>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</si>
  <si>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</si>
  <si>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</si>
  <si>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</si>
  <si>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</si>
  <si>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</si>
  <si>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</si>
  <si>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</si>
  <si>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</si>
  <si>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</si>
  <si>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</si>
  <si>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</si>
  <si>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</si>
  <si>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</si>
  <si>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</si>
  <si>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</si>
  <si>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</si>
  <si>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</si>
  <si>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</si>
  <si>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</si>
  <si>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</si>
  <si>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</si>
  <si>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</si>
  <si>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</si>
  <si>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</si>
  <si>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</si>
  <si>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</si>
  <si>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</si>
  <si>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</si>
  <si>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</si>
  <si>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</si>
  <si>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</si>
  <si>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</si>
  <si>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</si>
  <si>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</si>
  <si>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</si>
  <si>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</si>
  <si>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</si>
  <si>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</si>
  <si>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</si>
  <si>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</si>
  <si>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</si>
  <si>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</si>
  <si>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</si>
  <si>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</si>
  <si>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</si>
  <si>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</si>
  <si>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</si>
  <si>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</si>
  <si>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</si>
  <si>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</si>
  <si>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</si>
  <si>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</si>
  <si>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</si>
  <si>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</si>
  <si>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</si>
  <si>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</si>
  <si>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</si>
  <si>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</si>
  <si>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</si>
  <si>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</si>
  <si>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</si>
  <si>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</si>
  <si>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</si>
  <si>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</si>
  <si>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</si>
  <si>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</si>
  <si>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</si>
  <si>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</si>
  <si>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</si>
  <si>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</si>
  <si>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</si>
  <si>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</si>
  <si>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</si>
  <si>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</si>
  <si>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</si>
  <si>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</si>
  <si>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</si>
  <si>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</si>
  <si>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</si>
  <si>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</si>
  <si>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</si>
  <si>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</si>
  <si>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</si>
  <si>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</si>
  <si>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</si>
  <si>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</si>
  <si>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</si>
  <si>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</si>
  <si>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</si>
  <si>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</si>
  <si>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</si>
  <si>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</si>
  <si>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</si>
  <si>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</si>
  <si>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</si>
  <si>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</si>
  <si>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</si>
  <si>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</si>
  <si>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</si>
  <si>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</si>
  <si>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</si>
  <si>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</si>
  <si>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</si>
  <si>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</si>
  <si>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</si>
  <si>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</si>
  <si>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</si>
  <si>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</si>
  <si>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</si>
  <si>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</si>
  <si>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</si>
  <si>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</si>
  <si>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</si>
  <si>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</si>
  <si>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</si>
  <si>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</si>
  <si>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</si>
  <si>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</si>
  <si>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</si>
  <si>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</si>
  <si>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</si>
  <si>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</si>
  <si>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</si>
  <si>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</si>
  <si>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</si>
  <si>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</si>
  <si>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</si>
  <si>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</si>
  <si>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</si>
  <si>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</si>
  <si>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</si>
  <si>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</si>
  <si>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</si>
  <si>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</si>
  <si>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</si>
  <si>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</si>
  <si>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</si>
  <si>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</si>
  <si>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</si>
  <si>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</si>
  <si>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</si>
  <si>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</si>
  <si>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</si>
  <si>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</si>
  <si>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</si>
  <si>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</si>
  <si>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</si>
  <si>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</si>
  <si>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</si>
  <si>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</si>
  <si>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</si>
  <si>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</si>
  <si>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</si>
  <si>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</si>
  <si>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</si>
  <si>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</si>
  <si>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</si>
  <si>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</si>
  <si>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</si>
  <si>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</si>
  <si>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</si>
  <si>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</si>
  <si>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</si>
  <si>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</si>
  <si>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</si>
  <si>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</si>
  <si>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</si>
  <si>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</si>
  <si>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</si>
  <si>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</si>
  <si>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</si>
  <si>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</si>
  <si>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</si>
  <si>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</si>
  <si>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</si>
  <si>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</si>
  <si>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</si>
  <si>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</si>
  <si>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</si>
  <si>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</si>
  <si>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</si>
  <si>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</si>
  <si>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</si>
  <si>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</si>
  <si>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</si>
  <si>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</si>
  <si>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</si>
  <si>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</si>
  <si>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</si>
  <si>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</si>
  <si>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</si>
  <si>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</si>
  <si>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</si>
  <si>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</si>
  <si>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</si>
  <si>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</si>
  <si>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</si>
  <si>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</si>
  <si>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</si>
  <si>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</si>
  <si>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</si>
  <si>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</si>
  <si>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</si>
  <si>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</si>
  <si>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</si>
  <si>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</si>
  <si>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</si>
  <si>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</si>
  <si>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</si>
  <si>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</si>
  <si>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</si>
  <si>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</si>
  <si>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</si>
  <si>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</si>
  <si>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</si>
  <si>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</si>
  <si>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</si>
  <si>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</si>
  <si>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</si>
  <si>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</si>
  <si>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</si>
  <si>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</si>
  <si>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</si>
  <si>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</si>
  <si>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</si>
  <si>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</si>
  <si>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</si>
  <si>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</si>
  <si>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</si>
  <si>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</si>
  <si>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</si>
  <si>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</si>
  <si>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</si>
  <si>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</si>
  <si>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</si>
  <si>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</si>
  <si>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</si>
  <si>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</si>
  <si>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</si>
  <si>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</si>
  <si>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</si>
  <si>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</si>
  <si>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</si>
  <si>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</si>
  <si>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</si>
  <si>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</si>
  <si>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</si>
  <si>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</si>
  <si>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</si>
  <si>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</si>
  <si>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</si>
  <si>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</si>
  <si>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</si>
  <si>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</si>
  <si>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</si>
  <si>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</si>
  <si>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</si>
  <si>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</si>
  <si>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</si>
  <si>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</si>
  <si>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</si>
  <si>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</si>
  <si>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</si>
  <si>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</si>
  <si>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</si>
  <si>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</si>
  <si>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</si>
  <si>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</si>
  <si>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</si>
  <si>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</si>
  <si>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</si>
  <si>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</si>
  <si>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</si>
  <si>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</si>
  <si>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</si>
  <si>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</si>
  <si>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</si>
  <si>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</si>
  <si>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</si>
  <si>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</si>
  <si>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</si>
  <si>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</si>
  <si>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</si>
  <si>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</si>
  <si>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</si>
  <si>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</si>
  <si>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</si>
  <si>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</si>
  <si>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</si>
  <si>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</si>
  <si>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</si>
  <si>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</si>
  <si>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</si>
  <si>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</si>
  <si>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</si>
  <si>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</si>
  <si>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</si>
  <si>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</si>
  <si>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</si>
  <si>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</si>
  <si>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</si>
  <si>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</si>
  <si>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</si>
  <si>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</si>
  <si>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</si>
  <si>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</si>
  <si>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</si>
  <si>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</si>
  <si>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</si>
  <si>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</si>
  <si>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</si>
  <si>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</si>
  <si>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</si>
  <si>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</si>
  <si>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</si>
  <si>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</si>
  <si>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</si>
  <si>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</si>
  <si>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</si>
  <si>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</si>
  <si>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</si>
  <si>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</si>
  <si>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</si>
  <si>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</si>
  <si>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</si>
  <si>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</si>
  <si>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</si>
  <si>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</si>
  <si>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</si>
  <si>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</si>
  <si>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</si>
  <si>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</si>
  <si>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</si>
  <si>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</si>
  <si>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</si>
  <si>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</si>
  <si>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</si>
  <si>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</si>
  <si>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</si>
  <si>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</si>
  <si>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</si>
  <si>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</si>
  <si>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</si>
  <si>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</si>
  <si>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</si>
  <si>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</si>
  <si>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</si>
  <si>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</si>
  <si>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</si>
  <si>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</si>
  <si>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</si>
  <si>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</si>
  <si>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</si>
  <si>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</si>
  <si>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</si>
  <si>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</si>
  <si>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</si>
  <si>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</si>
  <si>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</si>
  <si>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</si>
  <si>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</si>
  <si>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</si>
  <si>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</si>
  <si>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</si>
  <si>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</si>
  <si>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</si>
  <si>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</si>
  <si>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</si>
  <si>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</si>
  <si>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</si>
  <si>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</si>
  <si>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</si>
  <si>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</si>
  <si>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</si>
  <si>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</si>
  <si>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</si>
  <si>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</si>
  <si>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</si>
  <si>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</si>
  <si>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</si>
  <si>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</si>
  <si>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</si>
  <si>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</si>
  <si>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</si>
  <si>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</si>
  <si>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</si>
  <si>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</si>
  <si>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</si>
  <si>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</si>
  <si>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</si>
  <si>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</si>
  <si>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</si>
  <si>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</si>
  <si>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</si>
  <si>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</si>
  <si>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</si>
  <si>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</si>
  <si>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</si>
  <si>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</si>
  <si>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</si>
  <si>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</si>
  <si>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</si>
  <si>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</si>
  <si>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</si>
  <si>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</si>
  <si>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</si>
  <si>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</si>
  <si>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</si>
  <si>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</si>
  <si>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</si>
  <si>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</si>
  <si>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</si>
  <si>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</si>
  <si>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</si>
  <si>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</si>
  <si>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</si>
  <si>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</si>
  <si>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</si>
  <si>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</si>
  <si>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</si>
  <si>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</si>
  <si>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</si>
  <si>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</si>
  <si>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</si>
  <si>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</si>
  <si>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</si>
  <si>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</si>
  <si>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</si>
  <si>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</si>
  <si>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</si>
  <si>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</si>
  <si>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</si>
  <si>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</si>
  <si>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</si>
  <si>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</si>
  <si>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</si>
  <si>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</si>
  <si>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</si>
  <si>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</si>
  <si>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</si>
  <si>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</si>
  <si>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</si>
  <si>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</si>
  <si>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</si>
  <si>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</si>
  <si>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</si>
  <si>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</si>
  <si>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</si>
  <si>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</si>
  <si>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</si>
  <si>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</si>
  <si>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</si>
  <si>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</si>
  <si>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</si>
  <si>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</si>
  <si>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</si>
  <si>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</si>
  <si>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</si>
  <si>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</si>
  <si>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</si>
  <si>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</si>
  <si>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</si>
  <si>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</si>
  <si>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</si>
  <si>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</si>
  <si>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</si>
  <si>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</si>
  <si>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</si>
  <si>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</si>
  <si>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</si>
  <si>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</si>
  <si>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</si>
  <si>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</si>
  <si>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</si>
  <si>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</si>
  <si>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</si>
  <si>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</si>
  <si>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</si>
  <si>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</si>
  <si>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</si>
  <si>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</si>
  <si>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</si>
  <si>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</si>
  <si>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</si>
  <si>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</si>
  <si>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</si>
  <si>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</si>
  <si>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</si>
  <si>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</si>
  <si>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</si>
  <si>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</si>
  <si>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</si>
  <si>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</si>
  <si>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</si>
  <si>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</si>
  <si>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</si>
  <si>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</si>
  <si>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</si>
  <si>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</si>
  <si>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</si>
  <si>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</si>
  <si>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</si>
  <si>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</si>
  <si>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</si>
  <si>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</si>
  <si>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</si>
  <si>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</si>
  <si>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</si>
  <si>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</si>
  <si>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</si>
  <si>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</si>
  <si>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</si>
  <si>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</si>
  <si>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</si>
  <si>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</si>
  <si>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</si>
  <si>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</si>
  <si>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</si>
  <si>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</si>
  <si>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</si>
  <si>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</si>
  <si>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</si>
  <si>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</si>
  <si>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</si>
  <si>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</si>
  <si>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</si>
  <si>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</si>
  <si>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</si>
  <si>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</si>
  <si>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</si>
  <si>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</si>
  <si>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</si>
  <si>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</si>
  <si>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</si>
  <si>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</si>
  <si>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</si>
  <si>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</si>
  <si>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</si>
  <si>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</si>
  <si>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</si>
  <si>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</si>
  <si>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</si>
  <si>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</si>
  <si>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</si>
  <si>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</si>
  <si>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</si>
  <si>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</si>
  <si>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</si>
  <si>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</si>
  <si>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</si>
  <si>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</si>
  <si>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</si>
  <si>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</si>
  <si>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</si>
  <si>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</si>
  <si>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</si>
  <si>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</si>
  <si>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</si>
  <si>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</si>
  <si>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</si>
  <si>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</si>
  <si>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</si>
  <si>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</si>
  <si>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</si>
  <si>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</si>
  <si>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</si>
  <si>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</si>
  <si>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</si>
  <si>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</si>
  <si>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</si>
  <si>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</si>
  <si>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</si>
  <si>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</si>
  <si>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</si>
  <si>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</si>
  <si>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</si>
  <si>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</si>
  <si>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</si>
  <si>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</si>
  <si>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</si>
  <si>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</si>
  <si>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</si>
  <si>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</si>
  <si>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</si>
  <si>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</si>
  <si>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</si>
  <si>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</si>
  <si>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</si>
  <si>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</si>
  <si>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</si>
  <si>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</si>
  <si>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</si>
  <si>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</si>
  <si>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</si>
  <si>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</si>
  <si>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</si>
  <si>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</si>
  <si>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</si>
  <si>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</si>
  <si>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</si>
  <si>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</si>
  <si>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</si>
  <si>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</si>
  <si>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</si>
  <si>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</si>
  <si>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</si>
  <si>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</si>
  <si>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</si>
  <si>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</si>
  <si>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</si>
  <si>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</si>
  <si>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</si>
  <si>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</si>
  <si>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</si>
  <si>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</si>
  <si>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</si>
  <si>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</si>
  <si>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</si>
  <si>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</si>
  <si>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</si>
  <si>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</si>
  <si>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</si>
  <si>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</si>
  <si>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</si>
  <si>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</si>
  <si>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</si>
  <si>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</si>
  <si>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</si>
  <si>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</si>
  <si>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</si>
  <si>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</si>
  <si>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</si>
  <si>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</si>
  <si>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</si>
  <si>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</si>
  <si>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</si>
  <si>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</si>
  <si>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</si>
  <si>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</si>
  <si>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</si>
  <si>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</si>
  <si>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</si>
  <si>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</si>
  <si>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</si>
  <si>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</si>
  <si>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</si>
  <si>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</si>
  <si>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</si>
  <si>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</si>
  <si>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</si>
  <si>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</si>
  <si>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</si>
  <si>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</si>
  <si>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</si>
  <si>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</si>
  <si>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</si>
  <si>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</si>
  <si>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</si>
  <si>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</si>
  <si>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</si>
  <si>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</si>
  <si>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</si>
  <si>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</si>
  <si>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</si>
  <si>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</si>
  <si>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</si>
  <si>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</si>
  <si>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</si>
  <si>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</si>
  <si>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</si>
  <si>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</si>
  <si>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</si>
  <si>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</si>
  <si>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</si>
  <si>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</si>
  <si>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</si>
  <si>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</si>
  <si>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</si>
  <si>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</si>
  <si>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</si>
  <si>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</si>
  <si>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</si>
  <si>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</si>
  <si>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</si>
  <si>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</si>
  <si>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</si>
  <si>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</si>
  <si>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</si>
  <si>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</si>
  <si>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</si>
  <si>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</si>
  <si>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</si>
  <si>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</si>
  <si>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</si>
  <si>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</si>
  <si>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</si>
  <si>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</si>
  <si>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</si>
  <si>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</si>
  <si>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</si>
  <si>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</si>
  <si>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</si>
  <si>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</si>
  <si>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</si>
  <si>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</si>
  <si>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</si>
  <si>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</si>
  <si>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</si>
  <si>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</si>
  <si>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</si>
  <si>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</si>
  <si>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</si>
  <si>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</si>
  <si>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</si>
  <si>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</si>
  <si>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</si>
  <si>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</si>
  <si>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</si>
  <si>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</si>
  <si>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</si>
  <si>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</si>
  <si>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</si>
  <si>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</si>
  <si>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</si>
  <si>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</si>
  <si>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</si>
  <si>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</si>
  <si>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</si>
  <si>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</si>
  <si>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</si>
  <si>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</si>
  <si>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</si>
  <si>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</si>
  <si>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</si>
  <si>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</si>
  <si>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</si>
  <si>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</si>
  <si>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</si>
  <si>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</si>
  <si>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</si>
  <si>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</si>
  <si>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</si>
  <si>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</si>
  <si>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</si>
  <si>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</si>
  <si>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</si>
  <si>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</si>
  <si>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</si>
  <si>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</si>
  <si>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</si>
  <si>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</si>
  <si>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</si>
  <si>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</si>
  <si>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</si>
  <si>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</si>
  <si>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</si>
  <si>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</si>
  <si>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</si>
  <si>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</si>
  <si>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</si>
  <si>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</si>
  <si>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</si>
  <si>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</si>
  <si>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</si>
  <si>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</si>
  <si>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</si>
  <si>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</si>
  <si>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</si>
  <si>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</si>
  <si>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</si>
  <si>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</si>
  <si>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</si>
  <si>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</si>
  <si>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</si>
  <si>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</si>
  <si>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</si>
  <si>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</si>
  <si>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</si>
  <si>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</si>
  <si>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</si>
  <si>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</si>
  <si>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</si>
  <si>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</si>
  <si>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</si>
  <si>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</si>
  <si>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</si>
  <si>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</si>
  <si>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</si>
  <si>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</si>
  <si>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</si>
  <si>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</si>
  <si>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</si>
  <si>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</si>
  <si>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</si>
  <si>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</si>
  <si>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</si>
  <si>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</si>
  <si>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</si>
  <si>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</si>
  <si>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</si>
  <si>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</si>
  <si>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</si>
  <si>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</si>
  <si>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</si>
  <si>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</si>
  <si>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</si>
  <si>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</si>
  <si>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</si>
  <si>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</si>
  <si>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</si>
  <si>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</si>
  <si>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</si>
  <si>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</si>
  <si>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</si>
  <si>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</si>
  <si>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</si>
  <si>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</si>
  <si>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</si>
  <si>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</si>
  <si>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</si>
  <si>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</si>
  <si>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</si>
  <si>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</si>
  <si>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</si>
  <si>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</si>
  <si>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</si>
  <si>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</si>
  <si>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</si>
  <si>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</si>
  <si>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</si>
  <si>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</si>
  <si>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</si>
  <si>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</si>
  <si>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</si>
  <si>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</si>
  <si>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</si>
  <si>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</si>
  <si>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</si>
  <si>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</si>
  <si>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</si>
  <si>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</si>
  <si>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</si>
  <si>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</si>
  <si>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</si>
  <si>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</si>
  <si>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</si>
  <si>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</si>
  <si>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</si>
  <si>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</si>
  <si>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</si>
  <si>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</si>
  <si>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</si>
  <si>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</si>
  <si>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</si>
  <si>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</si>
  <si>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</si>
  <si>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</si>
  <si>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</si>
  <si>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</si>
  <si>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</si>
  <si>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</si>
  <si>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</si>
  <si>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</si>
  <si>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</si>
  <si>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</si>
  <si>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</si>
  <si>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</si>
  <si>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</si>
  <si>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</si>
  <si>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</si>
  <si>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</si>
  <si>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</si>
  <si>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</si>
  <si>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</si>
  <si>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</si>
  <si>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</si>
  <si>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</si>
  <si>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</si>
  <si>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</si>
  <si>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</si>
  <si>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</si>
  <si>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</si>
  <si>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</si>
  <si>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</si>
  <si>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</si>
  <si>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</si>
  <si>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</si>
  <si>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</si>
  <si>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</si>
  <si>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</si>
  <si>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</si>
  <si>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</si>
  <si>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</si>
  <si>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</si>
  <si>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</si>
  <si>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</si>
  <si>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</si>
  <si>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</si>
  <si>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</si>
  <si>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</si>
  <si>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</si>
  <si>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</si>
  <si>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</si>
  <si>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</si>
  <si>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</si>
  <si>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</si>
  <si>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</si>
  <si>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</si>
  <si>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</si>
  <si>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</si>
  <si>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</si>
  <si>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</si>
  <si>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</si>
  <si>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</si>
  <si>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</si>
  <si>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</si>
  <si>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</si>
  <si>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</si>
  <si>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</si>
  <si>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</si>
  <si>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</si>
  <si>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</si>
  <si>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</si>
  <si>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</si>
  <si>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</si>
  <si>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</si>
  <si>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</si>
  <si>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</si>
  <si>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</si>
  <si>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</si>
  <si>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</si>
  <si>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</si>
  <si>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</si>
  <si>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</si>
  <si>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</si>
  <si>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</si>
  <si>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</si>
  <si>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</si>
  <si>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</si>
  <si>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</si>
  <si>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</si>
  <si>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</si>
  <si>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</si>
  <si>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</si>
  <si>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</si>
  <si>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</si>
  <si>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</si>
  <si>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</si>
  <si>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</si>
  <si>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</si>
  <si>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</si>
  <si>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</si>
  <si>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</si>
  <si>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</si>
  <si>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</si>
  <si>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</si>
  <si>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</si>
  <si>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</si>
  <si>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</si>
  <si>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</si>
  <si>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</si>
  <si>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</si>
  <si>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</si>
  <si>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</si>
  <si>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</si>
  <si>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</si>
  <si>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</si>
  <si>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</si>
  <si>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</si>
  <si>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</si>
  <si>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</si>
  <si>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</si>
  <si>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</si>
  <si>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</si>
  <si>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</si>
  <si>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</si>
  <si>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</si>
  <si>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</si>
  <si>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</si>
  <si>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</si>
  <si>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</si>
  <si>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</si>
  <si>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</si>
  <si>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</si>
  <si>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</si>
  <si>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</si>
  <si>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</si>
  <si>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</si>
  <si>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</si>
  <si>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</si>
  <si>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</si>
  <si>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</si>
  <si>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</si>
  <si>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</si>
  <si>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</si>
  <si>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</si>
  <si>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</si>
  <si>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</si>
  <si>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</si>
  <si>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</si>
  <si>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</si>
  <si>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</si>
  <si>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</si>
  <si>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</si>
  <si>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</si>
  <si>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</si>
  <si>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</si>
  <si>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</si>
  <si>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</si>
  <si>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</si>
  <si>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</si>
  <si>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</si>
  <si>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</si>
  <si>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</si>
  <si>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</si>
  <si>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</si>
  <si>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</si>
  <si>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</si>
  <si>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</si>
  <si>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</si>
  <si>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</si>
  <si>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</si>
  <si>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</si>
  <si>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</si>
  <si>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</si>
  <si>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</si>
  <si>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</si>
  <si>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</si>
  <si>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</si>
  <si>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</si>
  <si>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</si>
  <si>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</si>
  <si>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</si>
  <si>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</si>
  <si>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</si>
  <si>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</si>
  <si>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</si>
  <si>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</si>
  <si>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</si>
  <si>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</si>
  <si>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</si>
  <si>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</si>
  <si>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</si>
  <si>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</si>
  <si>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</si>
  <si>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</si>
  <si>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</si>
  <si>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</si>
  <si>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</si>
  <si>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</si>
  <si>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</si>
  <si>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</si>
  <si>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</si>
  <si>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</si>
  <si>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</si>
  <si>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</si>
  <si>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</si>
  <si>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</si>
  <si>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</si>
  <si>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</si>
  <si>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</si>
  <si>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</si>
  <si>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</si>
  <si>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</si>
  <si>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</si>
  <si>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</si>
  <si>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</si>
  <si>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</si>
  <si>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</si>
  <si>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</si>
  <si>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</si>
  <si>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</si>
  <si>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</si>
  <si>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</si>
  <si>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</si>
  <si>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</si>
  <si>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</si>
  <si>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</si>
  <si>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</si>
  <si>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</si>
  <si>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</si>
  <si>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</si>
  <si>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</si>
  <si>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</si>
  <si>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</si>
  <si>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</si>
  <si>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</si>
  <si>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</si>
  <si>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</si>
  <si>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</si>
  <si>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</si>
  <si>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</si>
  <si>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</si>
  <si>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</si>
  <si>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</si>
  <si>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</si>
  <si>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</si>
  <si>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</si>
  <si>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</si>
  <si>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</si>
  <si>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</si>
  <si>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</si>
  <si>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</si>
  <si>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</si>
  <si>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</si>
  <si>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</si>
  <si>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</si>
  <si>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</si>
  <si>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</si>
  <si>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</si>
  <si>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</si>
  <si>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</si>
  <si>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</si>
  <si>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</si>
  <si>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</si>
  <si>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</si>
  <si>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</si>
  <si>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</si>
  <si>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</si>
  <si>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</si>
  <si>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</si>
  <si>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</si>
  <si>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</si>
  <si>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</si>
  <si>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</si>
  <si>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</si>
  <si>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</si>
  <si>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</si>
  <si>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</si>
  <si>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</si>
  <si>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</si>
  <si>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</si>
  <si>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</si>
  <si>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</si>
  <si>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</si>
  <si>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</si>
  <si>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</si>
  <si>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</si>
  <si>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</si>
  <si>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</si>
  <si>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</si>
  <si>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</si>
  <si>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</si>
  <si>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</si>
  <si>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</si>
  <si>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</si>
  <si>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</si>
  <si>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</si>
  <si>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</si>
  <si>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</si>
  <si>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</si>
  <si>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</si>
  <si>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</si>
  <si>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</si>
  <si>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</si>
  <si>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</si>
  <si>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</si>
  <si>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</si>
  <si>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</si>
  <si>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</si>
  <si>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</si>
  <si>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</si>
  <si>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</si>
  <si>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</si>
  <si>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</si>
  <si>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</si>
  <si>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</si>
  <si>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</si>
  <si>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</si>
  <si>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</si>
  <si>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</si>
  <si>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</si>
  <si>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</si>
  <si>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</si>
  <si>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</si>
  <si>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</si>
  <si>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</si>
  <si>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</si>
  <si>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</si>
  <si>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</si>
  <si>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</si>
  <si>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</si>
  <si>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</si>
  <si>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</si>
  <si>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</si>
  <si>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</si>
  <si>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</si>
  <si>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</si>
  <si>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</si>
  <si>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</si>
  <si>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</si>
  <si>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</si>
  <si>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</si>
  <si>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</si>
  <si>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</si>
  <si>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</si>
  <si>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</si>
  <si>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</si>
  <si>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</si>
  <si>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</si>
  <si>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</si>
  <si>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</si>
  <si>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</si>
  <si>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</si>
  <si>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</si>
  <si>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</si>
  <si>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</si>
  <si>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</si>
  <si>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</si>
  <si>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</si>
  <si>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</si>
  <si>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</si>
  <si>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</si>
  <si>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</si>
  <si>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</si>
  <si>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</si>
  <si>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</si>
  <si>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</si>
  <si>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</si>
  <si>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</si>
  <si>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</si>
  <si>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</si>
  <si>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</si>
  <si>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</si>
  <si>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</si>
  <si>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</si>
  <si>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</si>
  <si>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</si>
  <si>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</si>
  <si>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</si>
  <si>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</si>
  <si>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</si>
  <si>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</si>
  <si>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</si>
  <si>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</si>
  <si>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</si>
  <si>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</si>
  <si>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</si>
  <si>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</si>
  <si>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</si>
  <si>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</si>
  <si>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</si>
  <si>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</si>
  <si>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</si>
  <si>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</si>
  <si>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</si>
  <si>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</si>
  <si>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</si>
  <si>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</si>
  <si>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</si>
  <si>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</si>
  <si>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</si>
  <si>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</si>
  <si>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</si>
  <si>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</si>
  <si>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</si>
  <si>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</si>
  <si>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</si>
  <si>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</si>
  <si>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</si>
  <si>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</si>
  <si>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</si>
  <si>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</si>
  <si>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</si>
  <si>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</si>
  <si>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</si>
  <si>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</si>
  <si>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</si>
  <si>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</si>
  <si>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</si>
  <si>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</si>
  <si>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</si>
  <si>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</si>
  <si>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</si>
  <si>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</si>
  <si>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</si>
  <si>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</si>
  <si>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</si>
  <si>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</si>
  <si>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</si>
  <si>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</si>
  <si>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</si>
  <si>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</si>
  <si>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</si>
  <si>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</si>
  <si>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</si>
  <si>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</si>
  <si>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</si>
  <si>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</si>
  <si>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</si>
  <si>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</si>
  <si>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</si>
  <si>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</si>
  <si>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</si>
  <si>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</si>
  <si>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</si>
  <si>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</si>
  <si>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</si>
  <si>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</si>
  <si>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</si>
  <si>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</si>
  <si>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</si>
  <si>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</si>
  <si>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</si>
  <si>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</si>
  <si>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</si>
  <si>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</si>
  <si>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</si>
  <si>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</si>
  <si>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</si>
  <si>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</si>
  <si>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</si>
  <si>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</si>
  <si>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</si>
  <si>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</si>
  <si>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</si>
  <si>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</si>
  <si>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</si>
  <si>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</si>
  <si>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</si>
  <si>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</si>
  <si>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</si>
  <si>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</si>
  <si>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</si>
  <si>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</si>
  <si>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</si>
  <si>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</si>
  <si>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</si>
  <si>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</si>
  <si>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</si>
  <si>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</si>
  <si>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</si>
  <si>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</si>
  <si>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</si>
  <si>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</si>
  <si>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</si>
  <si>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</si>
  <si>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</si>
  <si>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</si>
  <si>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</si>
  <si>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</si>
  <si>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</si>
  <si>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</si>
  <si>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</si>
  <si>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</si>
  <si>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</si>
  <si>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</si>
  <si>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</si>
  <si>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</si>
  <si>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</si>
  <si>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</si>
  <si>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</si>
  <si>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</si>
  <si>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</si>
  <si>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</si>
  <si>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</si>
  <si>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</si>
  <si>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</si>
  <si>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</si>
  <si>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</si>
  <si>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</si>
  <si>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</si>
  <si>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</si>
  <si>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</si>
  <si>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</si>
  <si>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</si>
  <si>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</si>
  <si>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</si>
  <si>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</si>
  <si>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</si>
  <si>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</si>
  <si>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</si>
  <si>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</si>
  <si>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</si>
  <si>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</si>
  <si>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</si>
  <si>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</si>
  <si>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</si>
  <si>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</si>
  <si>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</si>
  <si>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</si>
  <si>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</si>
  <si>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</si>
  <si>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</si>
  <si>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</si>
  <si>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</si>
  <si>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</si>
  <si>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</si>
  <si>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</si>
  <si>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</si>
  <si>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</si>
  <si>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</si>
  <si>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</si>
  <si>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</si>
  <si>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</si>
  <si>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</si>
  <si>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</si>
  <si>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</si>
  <si>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</si>
  <si>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</si>
  <si>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</si>
  <si>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</si>
  <si>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</si>
  <si>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</si>
  <si>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</si>
  <si>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</si>
  <si>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</si>
  <si>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</si>
  <si>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</si>
  <si>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</si>
  <si>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</si>
  <si>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</si>
  <si>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</si>
  <si>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</si>
  <si>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</si>
  <si>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</si>
  <si>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</si>
  <si>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</si>
  <si>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</si>
  <si>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</si>
  <si>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</si>
  <si>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</si>
  <si>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</si>
  <si>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</si>
  <si>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</si>
  <si>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</si>
  <si>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</si>
  <si>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</si>
  <si>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</si>
  <si>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</si>
  <si>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</si>
  <si>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</si>
  <si>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</si>
  <si>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</si>
  <si>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</si>
  <si>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</si>
  <si>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</si>
  <si>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</si>
  <si>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</si>
  <si>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</si>
  <si>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</si>
  <si>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</si>
  <si>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</si>
  <si>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</si>
  <si>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</si>
  <si>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</si>
  <si>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</si>
  <si>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</si>
  <si>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</si>
  <si>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</si>
  <si>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</si>
  <si>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</si>
  <si>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</si>
  <si>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</si>
  <si>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</si>
  <si>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</si>
  <si>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</si>
  <si>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</si>
  <si>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</si>
  <si>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</si>
  <si>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</si>
  <si>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</si>
  <si>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</si>
  <si>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</si>
  <si>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</si>
  <si>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</si>
  <si>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</si>
  <si>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</si>
  <si>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</si>
  <si>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</si>
  <si>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</si>
  <si>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</si>
  <si>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</si>
  <si>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</si>
  <si>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</si>
  <si>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</si>
  <si>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</si>
  <si>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</si>
  <si>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</si>
  <si>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</si>
  <si>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</si>
  <si>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</si>
  <si>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</si>
  <si>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</si>
  <si>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</si>
  <si>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</si>
  <si>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</si>
  <si>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</si>
  <si>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</si>
  <si>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</si>
  <si>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</si>
  <si>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</si>
  <si>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</si>
  <si>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</si>
  <si>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</si>
  <si>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</si>
  <si>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</si>
  <si>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</si>
  <si>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</si>
  <si>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</si>
  <si>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</si>
  <si>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</si>
  <si>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</si>
  <si>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</si>
  <si>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</si>
  <si>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</si>
  <si>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</si>
  <si>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</si>
  <si>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</si>
  <si>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</si>
  <si>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</si>
  <si>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</si>
  <si>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</si>
  <si>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</si>
  <si>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</si>
  <si>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</si>
  <si>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</si>
  <si>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</si>
  <si>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</si>
  <si>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</si>
  <si>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</si>
  <si>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</si>
  <si>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</si>
  <si>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</si>
  <si>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</si>
  <si>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</si>
  <si>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</si>
  <si>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</si>
  <si>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</si>
  <si>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</si>
  <si>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</si>
  <si>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</si>
  <si>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</si>
  <si>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</si>
  <si>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</si>
  <si>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</si>
  <si>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</si>
  <si>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</si>
  <si>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</si>
  <si>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</si>
  <si>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</si>
  <si>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</si>
  <si>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</si>
  <si>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</si>
  <si>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</si>
  <si>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</si>
  <si>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</si>
  <si>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</si>
  <si>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</si>
  <si>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</si>
  <si>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</si>
  <si>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</si>
  <si>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</si>
  <si>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</si>
  <si>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</si>
  <si>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</si>
  <si>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</si>
  <si>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</si>
  <si>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</si>
  <si>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</si>
  <si>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</si>
  <si>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</si>
  <si>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</si>
  <si>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</si>
  <si>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</si>
  <si>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</si>
  <si>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</si>
  <si>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</si>
  <si>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</si>
  <si>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</si>
  <si>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</si>
  <si>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</si>
  <si>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</si>
  <si>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</si>
  <si>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</si>
  <si>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</si>
  <si>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</si>
  <si>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</si>
  <si>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</si>
  <si>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</si>
  <si>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</si>
  <si>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</si>
  <si>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</si>
  <si>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</si>
  <si>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</si>
  <si>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</si>
  <si>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</si>
  <si>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</si>
  <si>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</si>
  <si>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</si>
  <si>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</si>
  <si>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</si>
  <si>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</si>
  <si>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</si>
  <si>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</si>
  <si>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</si>
  <si>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</si>
  <si>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</si>
  <si>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</si>
  <si>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</si>
  <si>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</si>
  <si>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</si>
  <si>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</si>
  <si>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</si>
  <si>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</si>
  <si>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</si>
  <si>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</si>
  <si>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</si>
  <si>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</si>
  <si>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</si>
  <si>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</si>
  <si>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</si>
  <si>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</si>
  <si>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</si>
  <si>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</si>
  <si>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</si>
  <si>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</si>
  <si>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</si>
  <si>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</si>
  <si>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</si>
  <si>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</si>
  <si>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</si>
  <si>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</si>
  <si>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</si>
  <si>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</si>
  <si>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</si>
  <si>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</si>
  <si>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</si>
  <si>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</si>
  <si>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</si>
  <si>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</si>
  <si>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</si>
  <si>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</si>
  <si>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</si>
  <si>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</si>
  <si>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</si>
  <si>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</si>
  <si>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</si>
  <si>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</si>
  <si>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</si>
  <si>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</si>
  <si>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</si>
  <si>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</si>
  <si>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</si>
  <si>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</si>
  <si>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</si>
  <si>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</si>
  <si>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</si>
  <si>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</si>
  <si>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</si>
  <si>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</si>
  <si>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</si>
  <si>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</si>
  <si>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</si>
  <si>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</si>
  <si>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</si>
  <si>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</si>
  <si>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</si>
  <si>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</si>
  <si>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</si>
  <si>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</si>
  <si>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</si>
  <si>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</si>
  <si>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</si>
  <si>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</si>
  <si>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</si>
  <si>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</si>
  <si>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</si>
  <si>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</si>
  <si>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</si>
  <si>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</si>
  <si>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</si>
  <si>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</si>
  <si>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</si>
  <si>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</si>
  <si>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</si>
  <si>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</si>
  <si>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</si>
  <si>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</si>
  <si>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</si>
  <si>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</si>
  <si>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</si>
  <si>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</si>
  <si>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</si>
  <si>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</si>
  <si>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</si>
  <si>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</si>
  <si>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</si>
  <si>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</si>
  <si>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</si>
  <si>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</si>
  <si>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</si>
  <si>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</si>
  <si>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</si>
  <si>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</si>
  <si>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</si>
  <si>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</si>
  <si>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</si>
  <si>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</si>
  <si>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</si>
  <si>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</si>
  <si>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</si>
  <si>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</si>
  <si>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</si>
  <si>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</si>
  <si>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</si>
  <si>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</si>
  <si>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</si>
  <si>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</si>
  <si>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</si>
  <si>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</si>
  <si>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</si>
  <si>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</si>
  <si>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</si>
  <si>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</si>
  <si>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</si>
  <si>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</si>
  <si>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</si>
  <si>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</si>
  <si>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</si>
  <si>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</si>
  <si>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</si>
  <si>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</si>
  <si>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</si>
  <si>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</si>
  <si>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</si>
  <si>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</si>
  <si>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</si>
  <si>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</si>
  <si>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</si>
  <si>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</si>
  <si>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</si>
  <si>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</si>
  <si>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</si>
  <si>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</si>
  <si>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</si>
  <si>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</si>
  <si>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</si>
  <si>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</si>
  <si>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</si>
  <si>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</si>
  <si>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</si>
  <si>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</si>
  <si>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</si>
  <si>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</si>
  <si>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</si>
  <si>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</si>
  <si>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</si>
  <si>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</si>
  <si>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</si>
  <si>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</si>
  <si>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</si>
  <si>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</si>
  <si>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</si>
  <si>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</si>
  <si>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</si>
  <si>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</si>
  <si>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</si>
  <si>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</si>
  <si>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</si>
  <si>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</si>
  <si>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</si>
  <si>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</si>
  <si>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</si>
  <si>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</si>
  <si>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</si>
  <si>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</si>
  <si>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</si>
  <si>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</si>
  <si>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</si>
  <si>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</si>
  <si>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</si>
  <si>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</si>
  <si>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</si>
  <si>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</si>
  <si>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</si>
  <si>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</si>
  <si>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</si>
  <si>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</si>
  <si>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</si>
  <si>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</si>
  <si>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</si>
  <si>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</si>
  <si>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</si>
  <si>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</si>
  <si>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</si>
  <si>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</si>
  <si>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</si>
  <si>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</si>
  <si>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</si>
  <si>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</si>
  <si>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</si>
  <si>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</si>
  <si>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</si>
  <si>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</si>
  <si>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</si>
  <si>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</si>
  <si>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</si>
  <si>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</si>
  <si>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</si>
  <si>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</si>
  <si>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</si>
  <si>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</si>
  <si>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</si>
  <si>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</si>
  <si>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</si>
  <si>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</si>
  <si>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</si>
  <si>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</si>
  <si>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</si>
  <si>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</si>
  <si>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</si>
  <si>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</si>
  <si>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</si>
  <si>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</si>
  <si>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</si>
  <si>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</si>
  <si>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</si>
  <si>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</si>
  <si>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</si>
  <si>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</si>
  <si>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</si>
  <si>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</si>
  <si>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</si>
  <si>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</si>
  <si>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</si>
  <si>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</si>
  <si>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</si>
  <si>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</si>
  <si>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</si>
  <si>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</si>
  <si>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</si>
  <si>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</si>
  <si>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</si>
  <si>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</si>
  <si>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</si>
  <si>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</si>
  <si>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</si>
  <si>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</si>
  <si>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</si>
  <si>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</si>
  <si>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</si>
  <si>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</si>
  <si>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</si>
  <si>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</si>
  <si>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</si>
  <si>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</si>
  <si>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</si>
  <si>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</si>
  <si>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</si>
  <si>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</si>
  <si>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</si>
  <si>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</si>
  <si>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</si>
  <si>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</si>
  <si>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</si>
  <si>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</si>
  <si>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</si>
  <si>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</si>
  <si>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</si>
  <si>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</si>
  <si>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</si>
  <si>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</si>
  <si>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</si>
  <si>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</si>
  <si>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</si>
  <si>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</si>
  <si>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</si>
  <si>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</si>
  <si>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</si>
  <si>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</si>
  <si>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</si>
  <si>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</si>
  <si>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</si>
  <si>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</si>
  <si>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</si>
  <si>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</si>
  <si>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</si>
  <si>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</si>
  <si>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</si>
  <si>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</si>
  <si>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</si>
  <si>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</si>
  <si>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</si>
  <si>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</si>
  <si>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</si>
  <si>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</si>
  <si>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</si>
  <si>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</si>
  <si>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</si>
  <si>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</si>
  <si>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</si>
  <si>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</si>
  <si>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</si>
  <si>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</si>
  <si>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</si>
  <si>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</si>
  <si>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</si>
  <si>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</si>
  <si>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</si>
  <si>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</si>
  <si>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</si>
  <si>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</si>
  <si>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</si>
  <si>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</si>
  <si>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</si>
  <si>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</si>
  <si>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</si>
  <si>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</si>
  <si>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</si>
  <si>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</si>
  <si>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</si>
  <si>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</si>
  <si>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</si>
  <si>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</si>
  <si>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</si>
  <si>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</si>
  <si>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</si>
  <si>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</si>
  <si>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</si>
  <si>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</si>
  <si>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</si>
  <si>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</si>
  <si>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</si>
  <si>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</si>
  <si>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</si>
  <si>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</si>
  <si>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</si>
  <si>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</si>
  <si>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</si>
  <si>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</si>
  <si>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</si>
  <si>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</si>
  <si>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</si>
  <si>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</si>
  <si>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</si>
  <si>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</si>
  <si>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</si>
  <si>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</si>
  <si>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</si>
  <si>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</si>
  <si>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</si>
  <si>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</si>
  <si>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</si>
  <si>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</si>
  <si>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</si>
  <si>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</si>
  <si>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</si>
  <si>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</si>
  <si>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</si>
  <si>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</si>
  <si>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</si>
  <si>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</si>
  <si>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</si>
  <si>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</si>
  <si>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</si>
  <si>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</si>
  <si>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</si>
  <si>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</si>
  <si>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</si>
  <si>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</si>
  <si>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</si>
  <si>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</si>
  <si>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</si>
  <si>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</si>
  <si>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</si>
  <si>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</si>
  <si>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</si>
  <si>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</si>
  <si>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</si>
  <si>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</si>
  <si>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</si>
  <si>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</si>
  <si>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</si>
  <si>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</si>
  <si>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</si>
  <si>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</si>
  <si>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</si>
  <si>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</si>
  <si>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</si>
  <si>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</si>
  <si>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</si>
  <si>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</si>
  <si>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</si>
  <si>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</si>
  <si>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</si>
  <si>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</si>
  <si>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</si>
  <si>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</si>
  <si>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</si>
  <si>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</si>
  <si>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</si>
  <si>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</si>
  <si>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</si>
  <si>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</si>
  <si>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</si>
  <si>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</si>
  <si>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</si>
  <si>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</si>
  <si>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</si>
  <si>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</si>
  <si>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</si>
  <si>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</si>
  <si>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</si>
  <si>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</si>
  <si>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</si>
  <si>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</si>
  <si>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</si>
  <si>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</si>
  <si>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</si>
  <si>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</si>
  <si>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</si>
  <si>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</si>
  <si>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</si>
  <si>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</si>
  <si>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</si>
  <si>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</si>
  <si>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</si>
  <si>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</si>
  <si>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</si>
  <si>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</si>
  <si>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</si>
  <si>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</si>
  <si>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</si>
  <si>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</si>
  <si>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</si>
  <si>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</si>
  <si>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</si>
  <si>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</si>
  <si>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</si>
  <si>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</si>
  <si>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</si>
  <si>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</si>
  <si>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</si>
  <si>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</si>
  <si>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</si>
  <si>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</si>
  <si>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</si>
  <si>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</si>
  <si>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</si>
  <si>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</si>
  <si>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</si>
  <si>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</si>
  <si>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</si>
  <si>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</si>
  <si>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</si>
  <si>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</si>
  <si>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</si>
  <si>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</si>
  <si>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</si>
  <si>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</si>
  <si>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</si>
  <si>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</si>
  <si>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</si>
  <si>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</si>
  <si>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</si>
  <si>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</si>
  <si>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</si>
  <si>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</si>
  <si>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</si>
  <si>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</si>
  <si>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</si>
  <si>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</si>
  <si>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</si>
  <si>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</si>
  <si>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</si>
  <si>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</si>
  <si>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</si>
  <si>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</si>
  <si>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</si>
  <si>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</si>
  <si>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</si>
  <si>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</si>
  <si>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</si>
  <si>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</si>
  <si>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</si>
  <si>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</si>
  <si>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</si>
  <si>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</si>
  <si>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</si>
  <si>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</si>
  <si>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</si>
  <si>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</si>
  <si>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</si>
  <si>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</si>
  <si>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</si>
  <si>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</si>
  <si>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</si>
  <si>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</si>
  <si>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</si>
  <si>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</si>
  <si>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</si>
  <si>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</si>
  <si>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</si>
  <si>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</si>
  <si>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</si>
  <si>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</si>
  <si>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</si>
  <si>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</si>
  <si>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</si>
  <si>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</si>
  <si>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</si>
  <si>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</si>
  <si>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</si>
  <si>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</si>
  <si>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</si>
  <si>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</si>
  <si>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</si>
  <si>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</si>
  <si>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</si>
  <si>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</si>
  <si>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</si>
  <si>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</si>
  <si>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</si>
  <si>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</si>
  <si>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</si>
  <si>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</si>
  <si>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</si>
  <si>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</si>
  <si>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</si>
  <si>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</si>
  <si>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</si>
  <si>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</si>
  <si>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</si>
  <si>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</si>
  <si>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</si>
  <si>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</si>
  <si>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</si>
  <si>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</si>
  <si>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</si>
  <si>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</si>
  <si>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</si>
  <si>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</si>
  <si>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</si>
  <si>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</si>
  <si>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</si>
  <si>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</si>
  <si>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</si>
  <si>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</si>
  <si>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</si>
  <si>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</si>
  <si>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</si>
  <si>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</si>
  <si>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</si>
  <si>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</si>
  <si>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</si>
  <si>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</si>
  <si>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</si>
  <si>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</si>
  <si>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</si>
  <si>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</si>
  <si>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</si>
  <si>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</si>
  <si>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</si>
  <si>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</si>
  <si>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</si>
  <si>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</si>
  <si>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</si>
  <si>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</si>
  <si>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</si>
  <si>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</si>
  <si>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</si>
  <si>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</si>
  <si>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</si>
  <si>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</si>
  <si>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</si>
  <si>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</si>
  <si>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</si>
  <si>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</si>
  <si>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</si>
  <si>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</si>
  <si>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</si>
  <si>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</si>
  <si>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</si>
  <si>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</si>
  <si>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</si>
  <si>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</si>
  <si>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</si>
  <si>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</si>
  <si>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</si>
  <si>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</si>
  <si>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</si>
  <si>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</si>
  <si>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</si>
  <si>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</si>
  <si>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</si>
  <si>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</si>
  <si>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</si>
  <si>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</si>
  <si>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</si>
  <si>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</si>
  <si>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</si>
  <si>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</si>
  <si>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</si>
  <si>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</si>
  <si>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</si>
  <si>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</si>
  <si>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</si>
  <si>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</si>
  <si>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</si>
  <si>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</si>
  <si>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</si>
  <si>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</si>
  <si>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</si>
  <si>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</si>
  <si>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</si>
  <si>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</si>
  <si>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</si>
  <si>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</si>
  <si>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</si>
  <si>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</si>
  <si>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</si>
  <si>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</si>
  <si>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</si>
  <si>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</si>
  <si>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</si>
  <si>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</si>
  <si>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</si>
  <si>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</si>
  <si>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</si>
  <si>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</si>
  <si>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</si>
  <si>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</si>
  <si>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</si>
  <si>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</si>
  <si>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</si>
  <si>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</si>
  <si>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</si>
  <si>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</si>
  <si>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</si>
  <si>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</si>
  <si>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</si>
  <si>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</si>
  <si>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</si>
  <si>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</si>
  <si>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</si>
  <si>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</si>
  <si>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</si>
  <si>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</si>
  <si>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</si>
  <si>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</si>
  <si>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</si>
  <si>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</si>
  <si>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</si>
  <si>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</si>
  <si>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</si>
  <si>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</si>
  <si>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</si>
  <si>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</si>
  <si>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</si>
  <si>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</si>
  <si>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</si>
  <si>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</si>
  <si>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</si>
  <si>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</si>
  <si>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</si>
  <si>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</si>
  <si>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</si>
  <si>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</si>
  <si>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</si>
  <si>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</si>
  <si>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</si>
  <si>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</si>
  <si>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</si>
  <si>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</si>
  <si>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</si>
  <si>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</si>
  <si>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</si>
  <si>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</si>
  <si>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</si>
  <si>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</si>
  <si>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</si>
  <si>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</si>
  <si>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</si>
  <si>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</si>
  <si>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</si>
  <si>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</si>
  <si>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</si>
  <si>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</si>
  <si>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</si>
  <si>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</si>
  <si>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</si>
  <si>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</si>
  <si>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</si>
  <si>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</si>
  <si>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</si>
  <si>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</si>
  <si>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</si>
  <si>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</si>
  <si>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</si>
  <si>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</si>
  <si>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</si>
  <si>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</si>
  <si>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</si>
  <si>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</si>
  <si>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</si>
  <si>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</si>
  <si>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</si>
  <si>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</si>
  <si>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</si>
  <si>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</si>
  <si>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</si>
  <si>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</si>
  <si>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</si>
  <si>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</si>
  <si>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</si>
  <si>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</si>
  <si>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</si>
  <si>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</si>
  <si>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</si>
  <si>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</si>
  <si>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</si>
  <si>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</si>
  <si>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</si>
  <si>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</si>
  <si>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</si>
  <si>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</si>
  <si>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</si>
  <si>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</si>
  <si>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</si>
  <si>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</si>
  <si>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</si>
  <si>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</si>
  <si>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</si>
  <si>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</si>
  <si>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</si>
  <si>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</si>
  <si>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</si>
  <si>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</si>
  <si>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</si>
  <si>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</si>
  <si>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</si>
  <si>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</si>
  <si>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</si>
  <si>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</si>
  <si>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</si>
  <si>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</si>
  <si>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</si>
  <si>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</si>
  <si>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</si>
  <si>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</si>
  <si>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</si>
  <si>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</si>
  <si>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</si>
  <si>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</si>
  <si>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</si>
  <si>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</si>
  <si>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</si>
  <si>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</si>
  <si>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</si>
  <si>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</si>
  <si>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</si>
  <si>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</si>
  <si>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</si>
  <si>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</si>
  <si>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</si>
  <si>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</si>
  <si>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</si>
  <si>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</si>
  <si>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</si>
  <si>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</si>
  <si>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</si>
  <si>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</si>
  <si>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</si>
  <si>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</si>
  <si>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</si>
  <si>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</si>
  <si>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</si>
  <si>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</si>
  <si>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</si>
  <si>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</si>
  <si>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</si>
  <si>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</si>
  <si>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</si>
  <si>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</si>
  <si>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</si>
  <si>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</si>
  <si>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</si>
  <si>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</si>
  <si>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</si>
  <si>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</si>
  <si>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</si>
  <si>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</si>
  <si>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</si>
  <si>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</si>
  <si>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</si>
  <si>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</si>
  <si>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</si>
  <si>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</si>
  <si>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</si>
  <si>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</si>
  <si>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</si>
  <si>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</si>
  <si>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</si>
  <si>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</si>
  <si>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</si>
  <si>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</si>
  <si>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</si>
  <si>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</si>
  <si>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</si>
  <si>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</si>
  <si>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</si>
  <si>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</si>
  <si>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</si>
  <si>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</si>
  <si>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</si>
  <si>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</si>
  <si>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</si>
  <si>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</si>
  <si>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</si>
  <si>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</si>
  <si>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</si>
  <si>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</si>
  <si>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</si>
  <si>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</si>
  <si>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</si>
  <si>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</si>
  <si>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</si>
  <si>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</si>
  <si>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</si>
  <si>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</si>
  <si>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</si>
  <si>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</si>
  <si>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</si>
  <si>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</si>
  <si>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</si>
  <si>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</si>
  <si>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</si>
  <si>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</si>
  <si>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</si>
  <si>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</si>
  <si>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</si>
  <si>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</si>
  <si>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</si>
  <si>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</si>
  <si>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</si>
  <si>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</si>
  <si>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</si>
  <si>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</si>
  <si>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</si>
  <si>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</si>
  <si>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</si>
  <si>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</si>
  <si>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</si>
  <si>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</si>
  <si>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</si>
  <si>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</si>
  <si>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</si>
  <si>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</si>
  <si>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</si>
  <si>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</si>
  <si>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</si>
  <si>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</si>
  <si>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</si>
  <si>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</si>
  <si>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</si>
  <si>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</si>
  <si>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</si>
  <si>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</si>
  <si>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</si>
  <si>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</si>
  <si>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</si>
  <si>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</si>
  <si>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</si>
  <si>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</si>
  <si>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</si>
  <si>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</si>
  <si>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</si>
  <si>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</si>
  <si>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</si>
  <si>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</si>
  <si>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</si>
  <si>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</si>
  <si>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</si>
  <si>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</si>
  <si>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</si>
  <si>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</si>
  <si>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</si>
  <si>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</si>
  <si>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</si>
  <si>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</si>
  <si>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</si>
  <si>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</si>
  <si>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</si>
  <si>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</si>
  <si>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</si>
  <si>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</si>
  <si>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</si>
  <si>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</si>
  <si>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</si>
  <si>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</si>
  <si>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</si>
  <si>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</si>
  <si>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</si>
  <si>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</si>
  <si>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</si>
  <si>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</si>
  <si>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</si>
  <si>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</si>
  <si>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</si>
  <si>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</si>
  <si>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</si>
  <si>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</si>
  <si>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</si>
  <si>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</si>
  <si>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</si>
  <si>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</si>
  <si>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</si>
  <si>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</si>
  <si>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</si>
  <si>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</si>
  <si>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</si>
  <si>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</si>
  <si>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</si>
  <si>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</si>
  <si>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</si>
  <si>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</si>
  <si>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</si>
  <si>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</si>
  <si>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</si>
  <si>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</si>
  <si>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</si>
  <si>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</si>
  <si>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</si>
  <si>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</si>
  <si>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</si>
  <si>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</si>
  <si>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</si>
  <si>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</si>
  <si>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</si>
  <si>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</si>
  <si>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</si>
  <si>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</si>
  <si>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</si>
  <si>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</si>
  <si>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</si>
  <si>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</si>
  <si>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</si>
  <si>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</si>
  <si>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</si>
  <si>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</si>
  <si>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</si>
  <si>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</si>
  <si>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</si>
  <si>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</si>
  <si>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</si>
  <si>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</si>
  <si>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</si>
  <si>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</si>
  <si>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</si>
  <si>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</si>
  <si>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</si>
  <si>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</si>
  <si>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</si>
  <si>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</si>
  <si>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</si>
  <si>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</si>
  <si>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</si>
  <si>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</si>
  <si>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</si>
  <si>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</si>
  <si>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</si>
  <si>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</si>
  <si>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</si>
  <si>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</si>
  <si>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</si>
  <si>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</si>
  <si>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</si>
  <si>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</si>
  <si>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</si>
  <si>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</si>
  <si>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</si>
  <si>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</si>
  <si>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</si>
  <si>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</si>
  <si>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</si>
  <si>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</si>
  <si>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</si>
  <si>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</si>
  <si>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</si>
  <si>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</si>
  <si>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</si>
  <si>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</si>
  <si>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</si>
  <si>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</si>
  <si>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</si>
  <si>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</si>
  <si>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</si>
  <si>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</si>
  <si>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</si>
  <si>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</si>
  <si>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</si>
  <si>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</si>
  <si>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</si>
  <si>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</si>
  <si>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</si>
  <si>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</si>
  <si>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</si>
  <si>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</si>
  <si>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</si>
  <si>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</si>
  <si>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</si>
  <si>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</si>
  <si>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</si>
  <si>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</si>
  <si>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</si>
  <si>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</si>
  <si>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</si>
  <si>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</si>
  <si>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</si>
  <si>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</si>
  <si>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</si>
  <si>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</si>
  <si>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</si>
  <si>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</si>
  <si>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</si>
  <si>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</si>
  <si>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</si>
  <si>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</si>
  <si>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</si>
  <si>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</si>
  <si>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</si>
  <si>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</si>
  <si>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</si>
  <si>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</si>
  <si>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</si>
  <si>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</si>
  <si>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</si>
  <si>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</si>
  <si>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</si>
  <si>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</si>
  <si>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</si>
  <si>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</si>
  <si>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</si>
  <si>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</si>
  <si>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</si>
  <si>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</si>
  <si>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</si>
  <si>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</si>
  <si>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</si>
  <si>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</si>
  <si>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</si>
  <si>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</si>
  <si>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</si>
  <si>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</si>
  <si>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</si>
  <si>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</si>
  <si>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</si>
  <si>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</si>
  <si>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</si>
  <si>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</si>
  <si>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</si>
  <si>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</si>
  <si>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</si>
  <si>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</si>
  <si>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</si>
  <si>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</si>
  <si>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</si>
  <si>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</si>
  <si>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</si>
  <si>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</si>
  <si>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</si>
  <si>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</si>
  <si>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</si>
  <si>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</si>
  <si>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</si>
  <si>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</si>
  <si>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</si>
  <si>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</si>
  <si>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</si>
  <si>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</si>
  <si>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</si>
  <si>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</si>
  <si>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</si>
  <si>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</si>
  <si>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</si>
  <si>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</si>
  <si>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</si>
  <si>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</si>
  <si>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</si>
  <si>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</si>
  <si>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</si>
  <si>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</si>
  <si>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</si>
  <si>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</si>
  <si>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</si>
  <si>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</si>
  <si>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</si>
  <si>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</si>
  <si>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</si>
  <si>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</si>
  <si>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</si>
  <si>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</si>
  <si>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</si>
  <si>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</si>
  <si>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</si>
  <si>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</si>
  <si>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</si>
  <si>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</si>
  <si>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</si>
  <si>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</si>
  <si>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</si>
  <si>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</si>
  <si>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</si>
  <si>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</si>
  <si>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</si>
  <si>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</si>
  <si>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</si>
  <si>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</si>
  <si>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</si>
  <si>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</si>
  <si>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</si>
  <si>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</si>
  <si>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</si>
  <si>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</si>
  <si>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</si>
  <si>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</si>
  <si>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</si>
  <si>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</si>
  <si>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</si>
  <si>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</si>
  <si>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</si>
  <si>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</si>
  <si>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</si>
  <si>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</si>
  <si>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</si>
  <si>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</si>
  <si>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</si>
  <si>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</si>
  <si>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</si>
  <si>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</si>
  <si>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</si>
  <si>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</si>
  <si>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</si>
  <si>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</si>
  <si>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</si>
  <si>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</si>
  <si>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</si>
  <si>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</si>
  <si>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</si>
  <si>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</si>
  <si>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</si>
  <si>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</si>
  <si>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</si>
  <si>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</si>
  <si>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</si>
  <si>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</si>
  <si>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</si>
  <si>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</si>
  <si>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</si>
  <si>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</si>
  <si>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</si>
  <si>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</si>
  <si>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</si>
  <si>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</si>
  <si>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</si>
  <si>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</si>
  <si>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</si>
  <si>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</si>
  <si>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</si>
  <si>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</si>
  <si>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</si>
  <si>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</si>
  <si>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</si>
  <si>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</si>
  <si>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</si>
  <si>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</si>
  <si>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</si>
  <si>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</si>
  <si>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</si>
  <si>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</si>
  <si>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</si>
  <si>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</si>
  <si>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</si>
  <si>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</si>
  <si>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</si>
  <si>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</si>
  <si>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</si>
  <si>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</si>
  <si>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</si>
  <si>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</si>
  <si>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</si>
  <si>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</si>
  <si>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</si>
  <si>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</si>
  <si>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</si>
  <si>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</si>
  <si>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</si>
  <si>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</si>
  <si>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</si>
  <si>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</si>
  <si>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</si>
  <si>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</si>
  <si>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</si>
  <si>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</si>
  <si>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</si>
  <si>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</si>
  <si>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</si>
  <si>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</si>
  <si>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</si>
  <si>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</si>
  <si>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</si>
  <si>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</si>
  <si>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</si>
  <si>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</si>
  <si>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</si>
  <si>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</si>
  <si>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</si>
  <si>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</si>
  <si>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</si>
  <si>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</si>
  <si>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</si>
  <si>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</si>
  <si>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</si>
  <si>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</si>
  <si>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</si>
  <si>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</si>
  <si>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</si>
  <si>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</si>
  <si>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</si>
  <si>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</si>
  <si>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</si>
  <si>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</si>
  <si>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</si>
  <si>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</si>
  <si>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</si>
  <si>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</si>
  <si>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</si>
  <si>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</si>
  <si>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</si>
  <si>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</si>
  <si>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</si>
  <si>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</si>
  <si>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</si>
  <si>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</si>
  <si>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</si>
  <si>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</si>
  <si>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</si>
  <si>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</si>
  <si>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</si>
  <si>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</si>
  <si>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</si>
  <si>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</si>
  <si>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</si>
  <si>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</si>
  <si>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</si>
  <si>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</si>
  <si>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</si>
  <si>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</si>
  <si>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</si>
  <si>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</si>
  <si>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</si>
  <si>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</si>
  <si>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</si>
  <si>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</si>
  <si>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</si>
  <si>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</si>
  <si>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</si>
  <si>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</si>
  <si>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</si>
  <si>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</si>
  <si>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</si>
  <si>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</si>
  <si>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</si>
  <si>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</si>
  <si>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</si>
  <si>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</si>
  <si>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</si>
  <si>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</si>
  <si>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</si>
  <si>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</si>
  <si>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</si>
  <si>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</si>
  <si>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</si>
  <si>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</si>
  <si>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</si>
  <si>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</si>
  <si>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</si>
  <si>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</si>
  <si>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</si>
  <si>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</si>
  <si>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</si>
  <si>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</si>
  <si>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</si>
  <si>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</si>
  <si>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</si>
  <si>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</si>
  <si>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</si>
  <si>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</si>
  <si>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</si>
  <si>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</si>
  <si>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</si>
  <si>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</si>
  <si>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</si>
  <si>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</si>
  <si>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</si>
  <si>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</si>
  <si>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</si>
  <si>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</si>
  <si>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</si>
  <si>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</si>
  <si>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</si>
  <si>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</si>
  <si>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</si>
  <si>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</si>
  <si>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</si>
  <si>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</si>
  <si>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</si>
  <si>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</si>
  <si>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</si>
  <si>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</si>
  <si>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</si>
  <si>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</si>
  <si>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</si>
  <si>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</si>
  <si>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</si>
  <si>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</si>
  <si>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</si>
  <si>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</si>
  <si>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</si>
  <si>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</si>
  <si>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</si>
  <si>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</si>
  <si>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</si>
  <si>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</si>
  <si>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</si>
  <si>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</si>
  <si>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</si>
  <si>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</si>
  <si>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</si>
  <si>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</si>
  <si>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</si>
  <si>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</si>
  <si>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</si>
  <si>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</si>
  <si>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</si>
  <si>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</si>
  <si>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</si>
  <si>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</si>
  <si>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</si>
  <si>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</si>
  <si>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</si>
  <si>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</si>
  <si>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</si>
  <si>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</si>
  <si>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</si>
  <si>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</si>
  <si>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</si>
  <si>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</si>
  <si>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</si>
  <si>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</si>
  <si>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</si>
  <si>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</si>
  <si>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</si>
  <si>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</si>
  <si>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</si>
  <si>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</si>
  <si>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</si>
  <si>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</si>
  <si>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</si>
  <si>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</si>
  <si>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</si>
  <si>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</si>
  <si>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</si>
  <si>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</si>
  <si>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</si>
  <si>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</si>
  <si>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</si>
  <si>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</si>
  <si>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</si>
  <si>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</si>
  <si>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</si>
  <si>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</si>
  <si>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</si>
  <si>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</si>
  <si>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</si>
  <si>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</si>
  <si>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</si>
  <si>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</si>
  <si>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</si>
  <si>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</si>
  <si>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</si>
  <si>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</si>
  <si>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</si>
  <si>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 xml:space="preserve"> </t>
    <phoneticPr fontId="6" type="noConversion"/>
  </si>
  <si>
    <t>是</t>
  </si>
  <si>
    <t>地上</t>
  </si>
  <si>
    <t>办公楼</t>
  </si>
  <si>
    <t>办公楼</t>
    <phoneticPr fontId="7" type="noConversion"/>
  </si>
  <si>
    <t>成新度</t>
  </si>
  <si>
    <t>收益法 (元)</t>
  </si>
  <si>
    <t>好</t>
  </si>
  <si>
    <t>好</t>
    <phoneticPr fontId="24" type="noConversion"/>
  </si>
  <si>
    <t>七通</t>
    <phoneticPr fontId="24" type="noConversion"/>
  </si>
  <si>
    <t>较好</t>
    <phoneticPr fontId="24" type="noConversion"/>
  </si>
  <si>
    <t>利息：取LPR加浮动点数</t>
  </si>
  <si>
    <t>挂牌</t>
    <phoneticPr fontId="31" type="noConversion"/>
  </si>
  <si>
    <t>单套模式</t>
  </si>
  <si>
    <t>售价</t>
  </si>
  <si>
    <r>
      <t>40</t>
    </r>
    <r>
      <rPr>
        <sz val="11"/>
        <rFont val="宋体"/>
        <family val="3"/>
        <charset val="134"/>
      </rPr>
      <t>（含）</t>
    </r>
    <r>
      <rPr>
        <sz val="11"/>
        <rFont val="Arial"/>
        <family val="2"/>
      </rPr>
      <t>-50</t>
    </r>
    <phoneticPr fontId="31" type="noConversion"/>
  </si>
  <si>
    <r>
      <t>30</t>
    </r>
    <r>
      <rPr>
        <sz val="11"/>
        <rFont val="宋体"/>
        <family val="3"/>
        <charset val="134"/>
      </rPr>
      <t>（含）</t>
    </r>
    <r>
      <rPr>
        <sz val="11"/>
        <rFont val="Arial"/>
        <family val="2"/>
      </rPr>
      <t>-40</t>
    </r>
    <phoneticPr fontId="31" type="noConversion"/>
  </si>
  <si>
    <r>
      <t>20</t>
    </r>
    <r>
      <rPr>
        <sz val="11"/>
        <rFont val="宋体"/>
        <family val="3"/>
        <charset val="134"/>
      </rPr>
      <t>（含）</t>
    </r>
    <r>
      <rPr>
        <sz val="11"/>
        <rFont val="Arial"/>
        <family val="2"/>
      </rPr>
      <t>-30</t>
    </r>
    <phoneticPr fontId="31" type="noConversion"/>
  </si>
  <si>
    <r>
      <t>10</t>
    </r>
    <r>
      <rPr>
        <sz val="11"/>
        <rFont val="宋体"/>
        <family val="3"/>
        <charset val="134"/>
      </rPr>
      <t>（含）</t>
    </r>
    <r>
      <rPr>
        <sz val="11"/>
        <rFont val="Arial"/>
        <family val="2"/>
      </rPr>
      <t>-20</t>
    </r>
    <phoneticPr fontId="31" type="noConversion"/>
  </si>
  <si>
    <t>高区</t>
    <phoneticPr fontId="31" type="noConversion"/>
  </si>
  <si>
    <t>中区</t>
    <phoneticPr fontId="31" type="noConversion"/>
  </si>
  <si>
    <t>低区</t>
    <phoneticPr fontId="31" type="noConversion"/>
  </si>
  <si>
    <t>高速路及快速路</t>
    <phoneticPr fontId="31" type="noConversion"/>
  </si>
  <si>
    <t>主干道</t>
    <phoneticPr fontId="31" type="noConversion"/>
  </si>
  <si>
    <t>次干道</t>
    <phoneticPr fontId="31" type="noConversion"/>
  </si>
  <si>
    <t>支路</t>
    <phoneticPr fontId="31" type="noConversion"/>
  </si>
  <si>
    <t>标准写字楼</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</si>
  <si>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</si>
  <si>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</si>
  <si>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</si>
  <si>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</si>
  <si>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</si>
  <si>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</si>
  <si>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</si>
  <si>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</si>
  <si>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</si>
  <si>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普通</t>
    <phoneticPr fontId="31" type="noConversion"/>
  </si>
  <si>
    <t>甲级</t>
    <phoneticPr fontId="31" type="noConversion"/>
  </si>
  <si>
    <t>乙级</t>
    <phoneticPr fontId="31" type="noConversion"/>
  </si>
  <si>
    <t>正常</t>
  </si>
  <si>
    <t>办公</t>
    <phoneticPr fontId="31" type="noConversion"/>
  </si>
  <si>
    <r>
      <t>20</t>
    </r>
    <r>
      <rPr>
        <sz val="11"/>
        <color indexed="8"/>
        <rFont val="宋体"/>
        <family val="3"/>
        <charset val="134"/>
      </rPr>
      <t>（含）</t>
    </r>
    <r>
      <rPr>
        <sz val="11"/>
        <color indexed="8"/>
        <rFont val="Arial"/>
        <family val="2"/>
      </rPr>
      <t>-30</t>
    </r>
    <phoneticPr fontId="31" type="noConversion"/>
  </si>
  <si>
    <t>高区</t>
  </si>
  <si>
    <t>中区</t>
  </si>
  <si>
    <t>富尔大厦</t>
    <phoneticPr fontId="3" type="noConversion"/>
  </si>
  <si>
    <t>较好</t>
  </si>
  <si>
    <t>七通</t>
  </si>
  <si>
    <t>标准写字楼</t>
  </si>
  <si>
    <t>精装修</t>
  </si>
  <si>
    <t>框架</t>
  </si>
  <si>
    <t>框架</t>
    <phoneticPr fontId="31" type="noConversion"/>
  </si>
  <si>
    <t>甲级</t>
  </si>
  <si>
    <t>专业</t>
  </si>
  <si>
    <t>五通</t>
  </si>
  <si>
    <t>标准层高</t>
  </si>
  <si>
    <t>普通装修</t>
  </si>
  <si>
    <t>押一</t>
  </si>
  <si>
    <t>非生产用房</t>
  </si>
  <si>
    <t>总价</t>
  </si>
  <si>
    <t>收益比率</t>
  </si>
  <si>
    <t>租金</t>
  </si>
  <si>
    <t>低区</t>
  </si>
  <si>
    <t>商务金融用地</t>
  </si>
  <si>
    <t>与级别开发程度一致</t>
  </si>
  <si>
    <t>自定义容积率</t>
  </si>
  <si>
    <t>地下</t>
  </si>
  <si>
    <t>未包含在土地购买价格中</t>
  </si>
  <si>
    <t>已包含在土地取得成本中</t>
  </si>
  <si>
    <r>
      <t>1</t>
    </r>
    <r>
      <rPr>
        <sz val="10"/>
        <color indexed="8"/>
        <rFont val="宋体"/>
        <family val="3"/>
        <charset val="134"/>
      </rPr>
      <t>层</t>
    </r>
    <phoneticPr fontId="3" type="noConversion"/>
  </si>
  <si>
    <t>租金</t>
    <phoneticPr fontId="3" type="noConversion"/>
  </si>
  <si>
    <r>
      <t>2</t>
    </r>
    <r>
      <rPr>
        <sz val="10"/>
        <color indexed="8"/>
        <rFont val="宋体"/>
        <family val="3"/>
        <charset val="134"/>
      </rPr>
      <t>层</t>
    </r>
    <phoneticPr fontId="3" type="noConversion"/>
  </si>
  <si>
    <t>钢</t>
  </si>
  <si>
    <t>成本法 (元)</t>
  </si>
  <si>
    <t>租赁面积</t>
    <phoneticPr fontId="134" type="noConversion"/>
  </si>
  <si>
    <t>产权面积</t>
    <phoneticPr fontId="134" type="noConversion"/>
  </si>
  <si>
    <t>租金</t>
    <phoneticPr fontId="134" type="noConversion"/>
  </si>
  <si>
    <t>地上</t>
    <phoneticPr fontId="134" type="noConversion"/>
  </si>
  <si>
    <t>地下</t>
    <phoneticPr fontId="134" type="noConversion"/>
  </si>
  <si>
    <t>起租期</t>
    <phoneticPr fontId="134" type="noConversion"/>
  </si>
  <si>
    <t>租期止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</si>
</sst>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19"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44" fillId="22"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96" fontId="159" fillId="0" borderId="0" xfId="12" applyNumberFormat="1" applyAlignment="1" applyProtection="1">
      <alignment horizontal="left"/>
      <protection locked="0"/>
    </xf>
    <xf numFmtId="196" fontId="159" fillId="12" borderId="0" xfId="12" applyNumberFormat="1" applyFill="1" applyAlignment="1" applyProtection="1">
      <alignment horizontal="left"/>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132277</xdr:colOff>
      <xdr:row>29</xdr:row>
      <xdr:rowOff>142236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90477" cy="5114286"/>
        </a:xfrm>
        <a:prstGeom prst="rect">
          <a:avLst/>
        </a:prstGeom>
      </xdr:spPr>
    </xdr:pic>
    <xdr:clientData/>
  </xdr:twoCellAnchor>
  <xdr:twoCellAnchor editAs="oneCell">
    <xdr:from>
      <xdr:col>14</xdr:col>
      <xdr:colOff>0</xdr:colOff>
      <xdr:row>0</xdr:row>
      <xdr:rowOff>0</xdr:rowOff>
    </xdr:from>
    <xdr:to>
      <xdr:col>23</xdr:col>
      <xdr:colOff>246848</xdr:colOff>
      <xdr:row>46</xdr:row>
      <xdr:rowOff>141872</xdr:rowOff>
    </xdr:to>
    <xdr:pic>
      <xdr:nvPicPr>
        <xdr:cNvPr id="3" name="图片 2"/>
        <xdr:cNvPicPr>
          <a:picLocks noChangeAspect="1"/>
        </xdr:cNvPicPr>
      </xdr:nvPicPr>
      <xdr:blipFill>
        <a:blip xmlns:r="http://schemas.openxmlformats.org/officeDocument/2006/relationships" r:embed="rId2"/>
        <a:stretch>
          <a:fillRect/>
        </a:stretch>
      </xdr:blipFill>
      <xdr:spPr>
        <a:xfrm>
          <a:off x="9829800" y="0"/>
          <a:ext cx="6419048" cy="8028572"/>
        </a:xfrm>
        <a:prstGeom prst="rect">
          <a:avLst/>
        </a:prstGeom>
      </xdr:spPr>
    </xdr:pic>
    <xdr:clientData/>
  </xdr:twoCellAnchor>
  <xdr:twoCellAnchor editAs="oneCell">
    <xdr:from>
      <xdr:col>23</xdr:col>
      <xdr:colOff>238125</xdr:colOff>
      <xdr:row>2</xdr:row>
      <xdr:rowOff>152400</xdr:rowOff>
    </xdr:from>
    <xdr:to>
      <xdr:col>32</xdr:col>
      <xdr:colOff>199259</xdr:colOff>
      <xdr:row>45</xdr:row>
      <xdr:rowOff>132431</xdr:rowOff>
    </xdr:to>
    <xdr:pic>
      <xdr:nvPicPr>
        <xdr:cNvPr id="4" name="图片 3"/>
        <xdr:cNvPicPr>
          <a:picLocks noChangeAspect="1"/>
        </xdr:cNvPicPr>
      </xdr:nvPicPr>
      <xdr:blipFill>
        <a:blip xmlns:r="http://schemas.openxmlformats.org/officeDocument/2006/relationships" r:embed="rId3"/>
        <a:stretch>
          <a:fillRect/>
        </a:stretch>
      </xdr:blipFill>
      <xdr:spPr>
        <a:xfrm>
          <a:off x="16240125" y="495300"/>
          <a:ext cx="6133334" cy="7352381"/>
        </a:xfrm>
        <a:prstGeom prst="rect">
          <a:avLst/>
        </a:prstGeom>
      </xdr:spPr>
    </xdr:pic>
    <xdr:clientData/>
  </xdr:twoCellAnchor>
  <xdr:twoCellAnchor editAs="oneCell">
    <xdr:from>
      <xdr:col>33</xdr:col>
      <xdr:colOff>0</xdr:colOff>
      <xdr:row>3</xdr:row>
      <xdr:rowOff>0</xdr:rowOff>
    </xdr:from>
    <xdr:to>
      <xdr:col>42</xdr:col>
      <xdr:colOff>608753</xdr:colOff>
      <xdr:row>45</xdr:row>
      <xdr:rowOff>37196</xdr:rowOff>
    </xdr:to>
    <xdr:pic>
      <xdr:nvPicPr>
        <xdr:cNvPr id="5" name="图片 4"/>
        <xdr:cNvPicPr>
          <a:picLocks noChangeAspect="1"/>
        </xdr:cNvPicPr>
      </xdr:nvPicPr>
      <xdr:blipFill>
        <a:blip xmlns:r="http://schemas.openxmlformats.org/officeDocument/2006/relationships" r:embed="rId4"/>
        <a:stretch>
          <a:fillRect/>
        </a:stretch>
      </xdr:blipFill>
      <xdr:spPr>
        <a:xfrm>
          <a:off x="22860000" y="514350"/>
          <a:ext cx="6780953" cy="7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9756;&#20809;&#22823;&#23500;&#23572;&#22823;&#214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估价对象为北京市房地产，为所有。根据，估价对象（分摊）出让国有建设用地使用权面积为0平方米，建筑面积为720.13平方米。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估价对象为北京市房地产,属开发建设的，该项目尚在开发建设中。根据，估价对象（分摊）出让国有建设用地使用权面积为0平方米，规划建筑面积为720.13平方米。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2023年3月20日（评估专业人员实地查勘之日）</v>
      </c>
    </row>
    <row r="13" spans="1:2">
      <c r="A13" s="1119" t="s">
        <v>529</v>
      </c>
      <c r="B13" s="1120"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1758</v>
      </c>
    </row>
    <row r="21" spans="1:2">
      <c r="A21" s="1119" t="s">
        <v>537</v>
      </c>
      <c r="B21" s="1120">
        <f ca="1">'预评函-2'!D7</f>
        <v>24412</v>
      </c>
    </row>
    <row r="22" spans="1:2">
      <c r="A22" s="1119" t="s">
        <v>538</v>
      </c>
      <c r="B22" s="1120" t="str">
        <f ca="1">'预评函-2'!D6</f>
        <v>壹仟柒佰伍拾捌万元整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1758</v>
      </c>
    </row>
    <row r="31" spans="1:2">
      <c r="A31" s="1119" t="s">
        <v>576</v>
      </c>
      <c r="B31" s="1120">
        <f ca="1">'预评函-2'!D15</f>
        <v>24412</v>
      </c>
    </row>
    <row r="32" spans="1:2">
      <c r="A32" s="1119" t="s">
        <v>543</v>
      </c>
      <c r="B32" s="1120" t="str">
        <f ca="1">'预评函-2'!D14</f>
        <v>壹仟柒佰伍拾捌万元整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720.13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1215</v>
      </c>
    </row>
    <row r="48" spans="1:2">
      <c r="A48" s="1119" t="s">
        <v>549</v>
      </c>
      <c r="B48" s="1120">
        <f ca="1">'预评函-3'!E4</f>
        <v>16872</v>
      </c>
    </row>
    <row r="49" spans="1:2">
      <c r="A49" s="1119" t="s">
        <v>550</v>
      </c>
      <c r="B49" s="1120" t="str">
        <f ca="1">'预评函-3'!D5</f>
        <v>壹仟贰佰壹拾伍万元整</v>
      </c>
    </row>
    <row r="50" spans="1:2">
      <c r="A50" s="1119" t="s">
        <v>574</v>
      </c>
      <c r="B50" s="1120" t="str">
        <f>'预评函-3'!F2</f>
        <v>在建建筑物价值</v>
      </c>
    </row>
    <row r="51" spans="1:2">
      <c r="A51" s="1119" t="s">
        <v>551</v>
      </c>
      <c r="B51" s="1120">
        <f ca="1">'预评函-3'!F4</f>
        <v>543</v>
      </c>
    </row>
    <row r="52" spans="1:2">
      <c r="A52" s="1119" t="s">
        <v>552</v>
      </c>
      <c r="B52" s="1120">
        <f ca="1">'预评函-3'!G4</f>
        <v>7540</v>
      </c>
    </row>
    <row r="53" spans="1:2">
      <c r="A53" s="1119" t="s">
        <v>580</v>
      </c>
      <c r="B53" s="1120" t="str">
        <f ca="1">'预评函-3'!F5</f>
        <v>伍佰肆拾叁万元整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2287</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198" t="s">
        <v>2577</v>
      </c>
      <c r="J2" s="3198"/>
      <c r="K2" s="3198"/>
      <c r="L2" s="3198"/>
      <c r="M2" s="3198"/>
      <c r="N2" s="3198"/>
      <c r="O2" s="3198"/>
      <c r="P2" s="3198"/>
      <c r="Q2" s="3198"/>
      <c r="R2" s="3198"/>
    </row>
    <row r="3" spans="1:18">
      <c r="A3" s="2762" t="s">
        <v>2498</v>
      </c>
      <c r="B3" s="2763">
        <f>项目基本情况!D3</f>
        <v>45005</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3.75</v>
      </c>
      <c r="D5" s="2767">
        <f>IF(ISERROR(ROUND(POWER(1+E5,A5-C5)*(POWER(1+E5,C5)-1)/(POWER(1+E5,A5)-1),3)),0,ROUND(POWER(1+E5,A5-C5)*(POWER(1+E5,C5)-1)/(POWER(1+E5,A5)-1),4))</f>
        <v>0.17280000000000001</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13.76</v>
      </c>
      <c r="D6" s="2767">
        <f>IF(ISERROR(ROUND(POWER(1+E6,A6-C6)*(POWER(1+E6,C6)-1)/(POWER(1+E6,A6)-1),3)),0,ROUND(POWER(1+E6,A6-C6)*(POWER(1+E6,C6)-1)/(POWER(1+E6,A6)-1),4))</f>
        <v>0.4854</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33.770000000000003</v>
      </c>
      <c r="D7" s="2767">
        <f>IF(ISERROR(ROUND(POWER(1+E7,A7-C7)*(POWER(1+E7,C7)-1)/(POWER(1+E7,A7)-1),3)),0,ROUND(POWER(1+E7,A7-C7)*(POWER(1+E7,C7)-1)/(POWER(1+E7,A7)-1),4))</f>
        <v>0.78439999999999999</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45005</v>
      </c>
      <c r="C3" s="2186" t="s">
        <v>2171</v>
      </c>
      <c r="D3" s="2185">
        <f>B3</f>
        <v>45005</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3373</v>
      </c>
      <c r="C8" s="2201"/>
      <c r="D8" s="3202" t="s">
        <v>2177</v>
      </c>
      <c r="E8" s="2202"/>
      <c r="F8" s="2203"/>
      <c r="G8" s="2441"/>
      <c r="H8" s="2441"/>
      <c r="I8" s="2441"/>
      <c r="J8" s="2245"/>
      <c r="K8" s="2399"/>
      <c r="L8" s="2398"/>
      <c r="M8" s="2398"/>
      <c r="N8" s="2245"/>
      <c r="O8" s="1670"/>
      <c r="P8" s="2245"/>
      <c r="Q8" s="2245"/>
      <c r="R8" s="2245"/>
    </row>
    <row r="9" spans="1:30" ht="13.5" thickBot="1">
      <c r="A9" s="2204" t="s">
        <v>2178</v>
      </c>
      <c r="B9" s="2205" t="s">
        <v>3374</v>
      </c>
      <c r="C9" s="2206"/>
      <c r="D9" s="3203"/>
      <c r="E9" s="2205"/>
      <c r="F9" s="2207"/>
      <c r="G9" s="2442"/>
      <c r="H9" s="2442"/>
      <c r="I9" s="2442"/>
      <c r="J9" s="2245"/>
      <c r="K9" s="2401"/>
      <c r="L9" s="2398"/>
      <c r="M9" s="2398"/>
      <c r="N9" s="2245"/>
      <c r="O9" s="1670"/>
      <c r="P9" s="2245"/>
      <c r="Q9" s="2245"/>
      <c r="R9" s="2245"/>
    </row>
    <row r="10" spans="1:30" ht="13.5" thickTop="1">
      <c r="A10" s="2208" t="s">
        <v>2179</v>
      </c>
      <c r="B10" s="2209" t="s">
        <v>3375</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3376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2573</v>
      </c>
      <c r="J12" s="2802"/>
      <c r="K12" s="2398"/>
      <c r="L12" s="2398"/>
      <c r="M12" s="2245"/>
      <c r="N12" s="1670"/>
      <c r="O12" s="2245"/>
      <c r="P12" s="2245"/>
      <c r="Q12" s="2245"/>
      <c r="AD12" s="1618"/>
    </row>
    <row r="13" spans="1:30">
      <c r="A13" s="3121" t="s">
        <v>3333</v>
      </c>
      <c r="B13" s="2218" t="s">
        <v>2190</v>
      </c>
      <c r="C13" s="803"/>
      <c r="D13" s="803"/>
      <c r="E13" s="803">
        <v>56491</v>
      </c>
      <c r="F13" s="803"/>
      <c r="G13" s="803"/>
      <c r="H13" s="803"/>
      <c r="I13" s="803"/>
      <c r="J13" s="2802"/>
      <c r="K13" s="2398"/>
      <c r="L13" s="2398"/>
      <c r="M13" s="2245"/>
      <c r="N13" s="1670"/>
      <c r="O13" s="2245"/>
      <c r="P13" s="2245"/>
      <c r="Q13" s="2245"/>
      <c r="AD13" s="1618"/>
    </row>
    <row r="14" spans="1:30">
      <c r="A14" s="1018"/>
      <c r="B14" s="2218" t="s">
        <v>2191</v>
      </c>
      <c r="C14" s="2219"/>
      <c r="D14" s="2219"/>
      <c r="E14" s="2219">
        <v>50</v>
      </c>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31.46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09"/>
      <c r="C16" s="3210"/>
      <c r="D16" s="3211"/>
      <c r="E16" s="2222" t="s">
        <v>2194</v>
      </c>
      <c r="F16" s="3212"/>
      <c r="G16" s="3213"/>
      <c r="H16" s="3213"/>
      <c r="I16" s="3214"/>
      <c r="J16" s="2245"/>
      <c r="K16" s="2402"/>
      <c r="L16" s="1670"/>
      <c r="M16" s="1670"/>
      <c r="N16" s="2245"/>
      <c r="O16" s="1670"/>
      <c r="P16" s="2245"/>
      <c r="Q16" s="2245"/>
      <c r="R16" s="2245"/>
    </row>
    <row r="17" spans="1:28">
      <c r="A17" s="305" t="s">
        <v>2195</v>
      </c>
      <c r="B17" s="294" t="s">
        <v>2196</v>
      </c>
      <c r="C17" s="8">
        <f>'数据-汇总表'!E3</f>
        <v>720.13</v>
      </c>
      <c r="D17" s="1256" t="s">
        <v>2197</v>
      </c>
      <c r="E17" s="3215" t="s">
        <v>3377</v>
      </c>
      <c r="F17" s="3216"/>
      <c r="G17" s="3216"/>
      <c r="H17" s="3216"/>
      <c r="I17" s="3217"/>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18"/>
      <c r="F18" s="3219"/>
      <c r="G18" s="3219"/>
      <c r="H18" s="3219"/>
      <c r="I18" s="3220"/>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05" t="s">
        <v>2204</v>
      </c>
      <c r="C20" s="3206"/>
      <c r="D20" s="3207" t="s">
        <v>2205</v>
      </c>
      <c r="E20" s="3208"/>
      <c r="F20" s="2429" t="s">
        <v>1056</v>
      </c>
      <c r="G20" s="2441"/>
      <c r="H20" s="2441"/>
      <c r="I20" s="2441"/>
      <c r="J20" s="2245"/>
      <c r="K20" s="3204"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22"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22"/>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22"/>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23"/>
      <c r="B30" s="294" t="s">
        <v>2216</v>
      </c>
      <c r="C30" s="3224"/>
      <c r="D30" s="3225"/>
      <c r="E30" s="2441"/>
      <c r="F30" s="2441"/>
      <c r="G30" s="2441"/>
      <c r="H30" s="2441"/>
      <c r="I30" s="2441"/>
      <c r="J30" s="2245"/>
      <c r="K30" s="2401"/>
      <c r="L30" s="2398"/>
      <c r="M30" s="2398"/>
      <c r="N30" s="2245"/>
      <c r="O30" s="1670"/>
      <c r="P30" s="2245"/>
      <c r="Q30" s="2245"/>
      <c r="R30" s="2245"/>
      <c r="S30" s="2245"/>
      <c r="T30" s="2245"/>
      <c r="U30" s="2245"/>
      <c r="V30" s="2245"/>
    </row>
    <row r="31" spans="1:28">
      <c r="A31" s="3226"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221" t="s">
        <v>2226</v>
      </c>
      <c r="T34" s="315" t="str">
        <f>NUMBERSTRING(7-K34,1)&amp;"通"</f>
        <v>七通</v>
      </c>
      <c r="U34" s="2245"/>
      <c r="V34" s="2245"/>
    </row>
    <row r="35" spans="1:30">
      <c r="A35" s="2236"/>
      <c r="B35" s="3221" t="s">
        <v>2227</v>
      </c>
      <c r="C35" s="3221"/>
      <c r="D35" s="3221"/>
      <c r="E35" s="3221"/>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2576</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t="s">
        <v>184</v>
      </c>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t="s">
        <v>251</v>
      </c>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720.13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720.13</v>
      </c>
      <c r="H5" s="13">
        <f t="shared" ref="H5:AT5" si="0">SUM(H13:H656)</f>
        <v>720.13</v>
      </c>
      <c r="I5" s="13">
        <f t="shared" si="0"/>
        <v>378.45</v>
      </c>
      <c r="J5" s="13">
        <f t="shared" si="0"/>
        <v>0</v>
      </c>
      <c r="K5" s="13">
        <f t="shared" si="0"/>
        <v>341.68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720.13</v>
      </c>
      <c r="BA5" s="15">
        <f t="shared" si="1"/>
        <v>720.13</v>
      </c>
      <c r="BB5" s="15">
        <f t="shared" si="1"/>
        <v>378.45</v>
      </c>
      <c r="BC5" s="15">
        <f t="shared" si="1"/>
        <v>341.68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t="s">
        <v>3442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1"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0</v>
      </c>
      <c r="F13" s="29"/>
      <c r="G13" s="30">
        <f>H13+AC13+AT13</f>
        <v>720.13</v>
      </c>
      <c r="H13" s="17">
        <f>SUMIF(I$12:AB$12,"总值",I13:AB13)</f>
        <v>720.13</v>
      </c>
      <c r="I13" s="1514">
        <f>基准地价修正!D33</f>
        <v>378.45</v>
      </c>
      <c r="J13" s="1514"/>
      <c r="K13" s="1514">
        <f>基准地价修正!D40</f>
        <v>341.68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720.13</v>
      </c>
      <c r="BA13" s="13">
        <f>SUM(BB13:BK13)</f>
        <v>720.13</v>
      </c>
      <c r="BB13" s="13">
        <f>IF($D13="是",I13-J13,0)</f>
        <v>378.45</v>
      </c>
      <c r="BC13" s="13">
        <f>IF($D13="是",K13-L13,0)</f>
        <v>341.68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J25" sqref="J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6" t="s">
        <v>1132</v>
      </c>
      <c r="J2" s="2438"/>
      <c r="K2" s="2438"/>
      <c r="L2" s="2438"/>
      <c r="M2" s="2438"/>
      <c r="N2" s="2439"/>
      <c r="O2" s="2438"/>
      <c r="P2" s="2438"/>
    </row>
    <row r="3" spans="1:16" ht="15.75" thickBot="1">
      <c r="A3" s="3238" t="s">
        <v>1105</v>
      </c>
      <c r="B3" s="3238"/>
      <c r="C3" s="3238"/>
      <c r="D3" s="41">
        <f>'数据-基础表'!AY6</f>
        <v>0</v>
      </c>
      <c r="E3" s="41">
        <f>'数据-基础表'!AZ5</f>
        <v>720.13</v>
      </c>
      <c r="F3" s="2438"/>
      <c r="G3" s="42"/>
      <c r="H3" s="43" t="s">
        <v>1106</v>
      </c>
      <c r="I3" s="802" t="e">
        <f>ROUND('数据-基础表'!B3/'数据-基础表'!A3,2)</f>
        <v>#DIV/0!</v>
      </c>
      <c r="J3" s="2438"/>
      <c r="K3" s="2438"/>
      <c r="L3" s="2438"/>
      <c r="M3" s="2438"/>
      <c r="N3" s="2439"/>
      <c r="O3" s="2438"/>
      <c r="P3" s="2438"/>
    </row>
    <row r="4" spans="1:16" ht="15">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2" t="s">
        <v>1110</v>
      </c>
      <c r="C5" s="32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720.13</v>
      </c>
      <c r="F6" s="2438"/>
      <c r="G6" s="1529" t="s">
        <v>1112</v>
      </c>
      <c r="H6" s="45" t="s">
        <v>1113</v>
      </c>
      <c r="I6" s="2434" t="e">
        <f>ROUND(F31/D31,2)</f>
        <v>#DIV/0!</v>
      </c>
      <c r="J6" s="2438"/>
      <c r="K6" s="2438"/>
      <c r="L6" s="2438"/>
      <c r="M6" s="2438"/>
      <c r="N6" s="2438"/>
      <c r="O6" s="2438"/>
      <c r="P6" s="2438"/>
    </row>
    <row r="7" spans="1:16" ht="15.75" thickBot="1">
      <c r="A7" s="3234"/>
      <c r="B7" s="3235"/>
      <c r="C7" s="3236"/>
      <c r="D7" s="1524" t="s">
        <v>1107</v>
      </c>
      <c r="E7" s="1528" t="s">
        <v>1114</v>
      </c>
      <c r="F7" s="2438"/>
      <c r="G7" s="2435" t="s">
        <v>1115</v>
      </c>
      <c r="H7" s="95"/>
      <c r="I7" s="2436">
        <v>1.78</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378.45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341.68</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720.13</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3381</v>
      </c>
      <c r="D19" s="43">
        <f>ROUND($D$3*E19/$E$3,2)</f>
        <v>0</v>
      </c>
      <c r="E19" s="51">
        <f t="shared" ref="E19:E26" si="1">SUM(F19:G19)</f>
        <v>720.13</v>
      </c>
      <c r="F19" s="2557">
        <f>'数据-基础表'!I13</f>
        <v>378.45</v>
      </c>
      <c r="G19" s="1243">
        <f>'数据-基础表'!K13</f>
        <v>341.68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720.13</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720.13</v>
      </c>
      <c r="F27" s="1072">
        <f>IF(SUM(F19:F26)=E8,SUM(F19:F26),"地上面积有误")</f>
        <v>378.45</v>
      </c>
      <c r="G27" s="1074">
        <f>SUM(G19:G26)</f>
        <v>341.68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720.13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720.13</v>
      </c>
      <c r="F31" s="644">
        <f>F27+F30</f>
        <v>378.45</v>
      </c>
      <c r="G31" s="645">
        <f>G27+G30</f>
        <v>341.68</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Y23" sqref="Y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45005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办公楼</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31.46</v>
      </c>
      <c r="G6" s="62">
        <f>IF(ISERROR(ROUND(POWER(1+H6,D6-F6)*(POWER(1+H6,F6)-1)/(POWER(1+H6,D6)-1),3)),0,ROUND(POWER(1+H6,D6-F6)*(POWER(1+H6,F6)-1)/(POWER(1+H6,D6)-1),3))</f>
        <v>0.85899999999999999</v>
      </c>
      <c r="H6" s="691">
        <v>0.05</v>
      </c>
      <c r="I6" s="691">
        <v>5.5E-2</v>
      </c>
      <c r="J6" s="63">
        <v>0.08</v>
      </c>
      <c r="K6" s="970">
        <f>SUMIF('数据-汇总表'!C$19:C$33,A6,'数据-汇总表'!E$19:E$33)</f>
        <v>720.13</v>
      </c>
      <c r="L6" s="692">
        <v>3500</v>
      </c>
      <c r="M6" s="64">
        <f t="shared" ref="M6:M14" si="0">ROUND(K6*L6/10000,0)</f>
        <v>252</v>
      </c>
      <c r="N6" s="690">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f>U21</f>
        <v>3.4324427533917485</v>
      </c>
      <c r="V6" s="67">
        <v>0.03</v>
      </c>
      <c r="W6" s="67">
        <v>0.1</v>
      </c>
      <c r="X6" s="979"/>
      <c r="Y6" s="68">
        <f>N6</f>
        <v>0.7</v>
      </c>
      <c r="Z6" s="69"/>
      <c r="AA6" s="63"/>
      <c r="AB6" s="63"/>
      <c r="AC6" s="979"/>
      <c r="AD6" s="70"/>
      <c r="AE6" s="980">
        <f ca="1">IF(AN6="",0,SUMIF(INDIRECT("'"&amp;AN6&amp;"'"&amp;"!E:E"),$AE$5,INDIRECT("'"&amp;AN6&amp;"'"&amp;"!F:F")))</f>
        <v>31.46</v>
      </c>
      <c r="AF6" s="74"/>
      <c r="AG6" s="130">
        <f>IF(AF6="",0,AE6-AF6)</f>
        <v>0</v>
      </c>
      <c r="AH6" s="71"/>
      <c r="AI6" s="73">
        <v>365</v>
      </c>
      <c r="AJ6" s="74"/>
      <c r="AK6" s="3152">
        <v>0.01</v>
      </c>
      <c r="AL6" s="3153">
        <v>1.5E-3</v>
      </c>
      <c r="AM6" s="77">
        <v>0.01</v>
      </c>
      <c r="AN6" s="1589" t="s">
        <v>3383</v>
      </c>
      <c r="AO6" s="50">
        <f ca="1">SUMIF(INDIRECT("'"&amp;AN6&amp;"'"&amp;"!A:A"),"总价",INDIRECT("'"&amp;AN6&amp;"'"&amp;"!B:B"))</f>
        <v>1499.3420000000001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0.85899999999999999</v>
      </c>
      <c r="H16" s="84">
        <f>ROUND(SUMPRODUCT(H6:H13,K6:K13)/SUMPRODUCT((H6:H13&gt;0)*(K6:K13)),3)</f>
        <v>0.05</v>
      </c>
      <c r="I16" s="85"/>
      <c r="J16" s="85"/>
      <c r="K16" s="86">
        <f>SUM(K6:K15)</f>
        <v>720.13</v>
      </c>
      <c r="L16" s="87">
        <f>ROUND(M16*10000/SUM(K6:K14),0)</f>
        <v>3499</v>
      </c>
      <c r="M16" s="87">
        <f>SUM(M6:M14)</f>
        <v>252</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3156" t="s">
        <v>3446</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2299</v>
      </c>
      <c r="D19" s="2451"/>
      <c r="E19" s="2438"/>
      <c r="F19" s="2438"/>
      <c r="G19" s="2438"/>
      <c r="H19" s="2438"/>
      <c r="I19" s="2438"/>
      <c r="J19" s="2438"/>
      <c r="K19" s="2449"/>
      <c r="L19" s="2449"/>
      <c r="M19" s="2448"/>
      <c r="N19" s="2448">
        <f>2023-2005</f>
        <v>18</v>
      </c>
      <c r="O19" s="2448">
        <f>42/60</f>
        <v>0.7</v>
      </c>
      <c r="P19" s="2448"/>
      <c r="Q19" s="2448"/>
      <c r="R19" s="2448"/>
      <c r="S19" s="2448"/>
      <c r="T19" s="2448" t="s">
        <v>3445</v>
      </c>
      <c r="U19" s="2448">
        <v>4.5</v>
      </c>
      <c r="V19" s="2448">
        <v>1</v>
      </c>
      <c r="W19" s="2448">
        <f>'数据-汇总表'!F19</f>
        <v>378.45</v>
      </c>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2297</v>
      </c>
      <c r="D20" s="2451"/>
      <c r="E20" s="2438"/>
      <c r="F20" s="2438"/>
      <c r="G20" s="2438"/>
      <c r="H20" s="2438"/>
      <c r="I20" s="2438"/>
      <c r="J20" s="2438"/>
      <c r="K20" s="2449"/>
      <c r="L20" s="2449"/>
      <c r="M20" s="2448"/>
      <c r="N20" s="2448"/>
      <c r="O20" s="2448"/>
      <c r="P20" s="2448"/>
      <c r="Q20" s="2448"/>
      <c r="R20" s="2448"/>
      <c r="S20" s="2448"/>
      <c r="T20" s="2448" t="s">
        <v>3447</v>
      </c>
      <c r="U20" s="2448">
        <f>U19*V20</f>
        <v>2.25</v>
      </c>
      <c r="V20" s="2448">
        <v>0.5</v>
      </c>
      <c r="W20" s="2448">
        <f>'数据-汇总表'!G19</f>
        <v>341.68</v>
      </c>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f>(U19*W19+U20*W20)/'数据-汇总表'!E3</f>
        <v>3.4324427533917485</v>
      </c>
      <c r="V21" s="2448"/>
      <c r="W21" s="2448"/>
      <c r="X21" s="2448"/>
      <c r="Y21" s="2448"/>
      <c r="Z21" s="2448"/>
      <c r="AA21" s="2448"/>
      <c r="AB21" s="2448"/>
      <c r="AC21" s="2448"/>
      <c r="AD21" s="2448"/>
      <c r="AE21" s="2448"/>
      <c r="AF21" s="2448"/>
      <c r="AG21" s="2448"/>
      <c r="AH21" s="2448">
        <f ca="1">系统读取表!D14</f>
        <v>1758.0534</v>
      </c>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2301</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2288</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2293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2293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3388</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43" t="s">
        <v>2280</v>
      </c>
      <c r="B1" s="3244"/>
      <c r="C1" s="3244"/>
      <c r="D1" s="3244"/>
      <c r="E1" s="3244"/>
      <c r="F1" s="3244"/>
      <c r="G1" s="324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25.5">
      <c r="A3" s="2247" t="s">
        <v>2278</v>
      </c>
      <c r="B3" s="2264" t="s">
        <v>2250</v>
      </c>
      <c r="C3" s="2265"/>
      <c r="D3" s="2266"/>
      <c r="E3" s="2248" t="s">
        <v>2278</v>
      </c>
      <c r="F3" s="2267" t="s">
        <v>2251</v>
      </c>
      <c r="G3" s="2268" t="s">
        <v>2279</v>
      </c>
      <c r="H3" s="751"/>
      <c r="I3" s="751"/>
      <c r="J3" s="751"/>
      <c r="K3" s="751"/>
      <c r="L3" s="751"/>
      <c r="M3" s="751"/>
      <c r="N3" s="751"/>
      <c r="O3" s="751"/>
      <c r="P3" s="751"/>
      <c r="Q3" s="751"/>
    </row>
    <row r="4" spans="1:29" ht="36">
      <c r="A4" s="2248"/>
      <c r="B4" s="315" t="s">
        <v>2252</v>
      </c>
      <c r="C4" s="2269"/>
      <c r="D4" s="2266"/>
      <c r="E4" s="2270"/>
      <c r="F4" s="1281" t="s">
        <v>2253</v>
      </c>
      <c r="G4" s="2271" t="s">
        <v>2254</v>
      </c>
      <c r="H4" s="751"/>
      <c r="I4" s="751"/>
      <c r="J4" s="751"/>
      <c r="K4" s="751"/>
      <c r="L4" s="751"/>
      <c r="M4" s="751"/>
      <c r="N4" s="751"/>
      <c r="O4" s="751"/>
      <c r="P4" s="751"/>
      <c r="Q4" s="751"/>
    </row>
    <row r="5" spans="1:29" ht="24">
      <c r="A5" s="2248"/>
      <c r="B5" s="315" t="s">
        <v>2255</v>
      </c>
      <c r="C5" s="3144" t="s">
        <v>3385</v>
      </c>
      <c r="D5" s="2266"/>
      <c r="E5" s="2270"/>
      <c r="F5" s="315" t="s">
        <v>2256</v>
      </c>
      <c r="G5" s="2271" t="s">
        <v>2257</v>
      </c>
      <c r="H5" s="751"/>
      <c r="I5" s="751"/>
      <c r="J5" s="751"/>
      <c r="K5" s="751"/>
      <c r="L5" s="751"/>
      <c r="M5" s="751"/>
      <c r="N5" s="751"/>
      <c r="O5" s="751"/>
      <c r="P5" s="751"/>
      <c r="Q5" s="751"/>
    </row>
    <row r="6" spans="1:29">
      <c r="A6" s="2248"/>
      <c r="B6" s="315" t="s">
        <v>2258</v>
      </c>
      <c r="C6" s="3145" t="s">
        <v>3385</v>
      </c>
      <c r="D6" s="2266"/>
      <c r="E6" s="2270"/>
      <c r="F6" s="315" t="s">
        <v>2259</v>
      </c>
      <c r="G6" s="2271" t="s">
        <v>2260</v>
      </c>
      <c r="H6" s="751"/>
      <c r="I6" s="751"/>
      <c r="J6" s="751"/>
      <c r="K6" s="751"/>
      <c r="L6" s="751"/>
      <c r="M6" s="751"/>
      <c r="N6" s="751"/>
      <c r="O6" s="751"/>
      <c r="P6" s="751"/>
      <c r="Q6" s="751"/>
    </row>
    <row r="7" spans="1:29" ht="24.75" thickBot="1">
      <c r="A7" s="2248"/>
      <c r="B7" s="315" t="s">
        <v>2256</v>
      </c>
      <c r="C7" s="3145" t="s">
        <v>3385</v>
      </c>
      <c r="D7" s="2245"/>
      <c r="E7" s="2272"/>
      <c r="F7" s="2273" t="s">
        <v>2261</v>
      </c>
      <c r="G7" s="2274" t="s">
        <v>2262</v>
      </c>
      <c r="H7" s="751"/>
      <c r="I7" s="751"/>
      <c r="J7" s="751"/>
      <c r="K7" s="751"/>
      <c r="L7" s="751"/>
      <c r="M7" s="751"/>
      <c r="N7" s="751"/>
      <c r="O7" s="751"/>
      <c r="P7" s="751"/>
      <c r="Q7" s="751"/>
    </row>
    <row r="8" spans="1:29">
      <c r="A8" s="2248"/>
      <c r="B8" s="315" t="s">
        <v>2259</v>
      </c>
      <c r="C8" s="3145" t="s">
        <v>3386</v>
      </c>
      <c r="D8" s="2245"/>
      <c r="E8" s="2245"/>
      <c r="F8" s="121"/>
      <c r="G8" s="121"/>
      <c r="H8" s="751"/>
      <c r="I8" s="751"/>
      <c r="J8" s="751"/>
      <c r="K8" s="751"/>
      <c r="L8" s="751"/>
      <c r="M8" s="751"/>
      <c r="N8" s="751"/>
      <c r="O8" s="751"/>
      <c r="P8" s="751"/>
      <c r="Q8" s="751"/>
    </row>
    <row r="9" spans="1:29">
      <c r="A9" s="2248"/>
      <c r="B9" s="315" t="s">
        <v>2263</v>
      </c>
      <c r="C9" s="3144" t="s">
        <v>3387</v>
      </c>
      <c r="D9" s="2266"/>
      <c r="E9" s="2245"/>
      <c r="F9" s="121"/>
      <c r="G9" s="121"/>
      <c r="H9" s="751"/>
      <c r="I9" s="751"/>
      <c r="J9" s="751"/>
      <c r="K9" s="751"/>
      <c r="L9" s="751"/>
      <c r="M9" s="751"/>
      <c r="N9" s="751"/>
      <c r="O9" s="751"/>
      <c r="P9" s="751"/>
      <c r="Q9" s="751"/>
    </row>
    <row r="10" spans="1:29" ht="15" thickBot="1">
      <c r="A10" s="2249"/>
      <c r="B10" s="2275" t="s">
        <v>2264</v>
      </c>
      <c r="C10" s="3146" t="s">
        <v>3387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2281</v>
      </c>
      <c r="B13" s="2279"/>
      <c r="C13" s="2279"/>
      <c r="D13" s="2278"/>
      <c r="E13" s="2279"/>
      <c r="F13" s="2279"/>
      <c r="G13" s="2279"/>
    </row>
    <row r="14" spans="1:29" ht="15" thickBot="1">
      <c r="A14" s="2284"/>
      <c r="B14" s="2284"/>
      <c r="C14" s="2285" t="s">
        <v>2265</v>
      </c>
      <c r="D14" s="2266"/>
      <c r="E14" s="2286"/>
      <c r="F14" s="2286"/>
      <c r="G14" s="2262" t="s">
        <v>2266</v>
      </c>
    </row>
    <row r="15" spans="1:29" ht="25.5">
      <c r="A15" s="2250" t="s">
        <v>2267</v>
      </c>
      <c r="B15" s="2287" t="s">
        <v>2250</v>
      </c>
      <c r="C15" s="2288">
        <f>C3</f>
        <v>0</v>
      </c>
      <c r="D15" s="2266"/>
      <c r="E15" s="2251" t="s">
        <v>2268</v>
      </c>
      <c r="F15" s="2287" t="s">
        <v>2269</v>
      </c>
      <c r="G15" s="2289" t="str">
        <f>G3</f>
        <v>估价对象位于XX开发区，园区建设成熟度XX，产业集聚程度XX</v>
      </c>
    </row>
    <row r="16" spans="1:29" ht="38.25">
      <c r="A16" s="2252"/>
      <c r="B16" s="2290" t="s">
        <v>2252</v>
      </c>
      <c r="C16" s="2291">
        <f>C4</f>
        <v>0</v>
      </c>
      <c r="D16" s="2266"/>
      <c r="E16" s="2253"/>
      <c r="F16" s="2292" t="s">
        <v>2253</v>
      </c>
      <c r="G16" s="2293" t="str">
        <f>G4</f>
        <v>估价对象周边道路状况、公共交通通达情况、停车便捷程度，综合评价交通便捷度较好</v>
      </c>
    </row>
    <row r="17" spans="1:17">
      <c r="A17" s="2252"/>
      <c r="B17" s="2290" t="s">
        <v>2255</v>
      </c>
      <c r="C17" s="2291" t="str">
        <f>C5</f>
        <v>好</v>
      </c>
      <c r="D17" s="2245"/>
      <c r="E17" s="2253"/>
      <c r="F17" s="2292" t="s">
        <v>2270</v>
      </c>
      <c r="G17" s="2294"/>
    </row>
    <row r="18" spans="1:17" ht="25.5">
      <c r="A18" s="2252"/>
      <c r="B18" s="2292" t="s">
        <v>2258</v>
      </c>
      <c r="C18" s="2293" t="str">
        <f>C6</f>
        <v>好</v>
      </c>
      <c r="D18" s="2245"/>
      <c r="E18" s="2253"/>
      <c r="F18" s="2292" t="s">
        <v>2261</v>
      </c>
      <c r="G18" s="2293" t="str">
        <f>G7</f>
        <v>该园区内是否有污染型企业，绿化情况，卫生条件，整体环境状况判断</v>
      </c>
    </row>
    <row r="19" spans="1:17" ht="25.5">
      <c r="A19" s="2252"/>
      <c r="B19" s="2292" t="s">
        <v>2271</v>
      </c>
      <c r="C19" s="2294"/>
      <c r="D19" s="2266"/>
      <c r="E19" s="2253"/>
      <c r="F19" s="315" t="s">
        <v>2256</v>
      </c>
      <c r="G19" s="2293" t="str">
        <f>G5</f>
        <v>估价对象所在区域公共配套设施齐备情况</v>
      </c>
    </row>
    <row r="20" spans="1:17">
      <c r="A20" s="2252"/>
      <c r="B20" s="2292" t="s">
        <v>2272</v>
      </c>
      <c r="C20" s="2291" t="str">
        <f>C9</f>
        <v>较好</v>
      </c>
      <c r="D20" s="2245"/>
      <c r="E20" s="2253"/>
      <c r="F20" s="315" t="s">
        <v>2259</v>
      </c>
      <c r="G20" s="2293" t="str">
        <f>G6</f>
        <v>估价对象所在区域基础设施水平</v>
      </c>
    </row>
    <row r="21" spans="1:17">
      <c r="A21" s="2252"/>
      <c r="B21" s="315" t="s">
        <v>2256</v>
      </c>
      <c r="C21" s="2293" t="str">
        <f>C7</f>
        <v>好</v>
      </c>
      <c r="D21" s="2266"/>
      <c r="E21" s="2253"/>
      <c r="F21" s="2292" t="s">
        <v>2273</v>
      </c>
      <c r="G21" s="2295"/>
    </row>
    <row r="22" spans="1:17" ht="13.5" customHeight="1">
      <c r="A22" s="2252"/>
      <c r="B22" s="315" t="s">
        <v>2259</v>
      </c>
      <c r="C22" s="2293" t="str">
        <f>C8</f>
        <v>七通</v>
      </c>
      <c r="D22" s="2266"/>
      <c r="E22" s="2253"/>
      <c r="F22" s="2292" t="s">
        <v>2264</v>
      </c>
      <c r="G22" s="2294"/>
    </row>
    <row r="23" spans="1:17" s="751" customFormat="1" ht="15" thickBot="1">
      <c r="A23" s="2252"/>
      <c r="B23" s="2292" t="s">
        <v>2273</v>
      </c>
      <c r="C23" s="2295"/>
      <c r="D23" s="1614"/>
      <c r="E23" s="2254"/>
      <c r="F23" s="2296" t="s">
        <v>2274</v>
      </c>
      <c r="G23" s="2297"/>
      <c r="H23" s="2276"/>
      <c r="I23" s="2276"/>
      <c r="J23" s="2276"/>
      <c r="K23" s="2276"/>
      <c r="L23" s="2276"/>
      <c r="M23" s="2276"/>
      <c r="N23" s="2276"/>
      <c r="O23" s="2276"/>
      <c r="P23" s="2276"/>
      <c r="Q23" s="2276"/>
    </row>
    <row r="24" spans="1:17" s="751" customFormat="1" ht="15" thickBot="1">
      <c r="A24" s="2255"/>
      <c r="B24" s="2296" t="s">
        <v>2275</v>
      </c>
      <c r="C24" s="2298" t="str">
        <f>C10</f>
        <v>较好</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zoomScale="90" zoomScaleNormal="80" zoomScaleSheetLayoutView="90" workbookViewId="0">
      <selection activeCell="D22" sqref="D22"/>
    </sheetView>
  </sheetViews>
  <sheetFormatPr defaultColWidth="9" defaultRowHeight="13.5"/>
  <cols>
    <col min="1" max="1" width="25" style="2300" customWidth="1"/>
    <col min="2" max="3" width="15.75" style="2300" customWidth="1"/>
    <col min="4" max="4" width="19.25" style="2300" customWidth="1"/>
    <col min="5" max="9" width="15.75" style="2300" customWidth="1"/>
    <col min="10" max="16384" width="9" style="2300"/>
  </cols>
  <sheetData>
    <row r="1" spans="1:11" ht="16.5">
      <c r="A1" s="2299" t="s">
        <v>665</v>
      </c>
      <c r="B1" s="2299">
        <f>SUM(B14:B23)</f>
        <v>720.13</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45005</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1758.0534</v>
      </c>
      <c r="C5" s="2299">
        <f ca="1">IF(B5=D14,结果表!H102,ROUND(B5*10000/$B$1,0))</f>
        <v>24412</v>
      </c>
      <c r="D5" s="2299" t="e">
        <f ca="1">ROUND(B5*10000/$B$2,0)</f>
        <v>#DIV/0!</v>
      </c>
      <c r="E5" s="2461"/>
      <c r="F5" s="2462"/>
      <c r="G5" s="2462"/>
      <c r="H5" s="2462"/>
      <c r="I5" s="2462"/>
      <c r="J5" s="2462"/>
      <c r="K5" s="2462"/>
    </row>
    <row r="6" spans="1:11" ht="16.5">
      <c r="A6" s="2299" t="s">
        <v>656</v>
      </c>
      <c r="B6" s="2299">
        <f ca="1">SUM(G14:G23)</f>
        <v>1758.0534</v>
      </c>
      <c r="C6" s="2299">
        <f ca="1">IF(B6=G14,结果表!H108,ROUND(B6*10000/$B$1,0))</f>
        <v>24412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'数据-汇总表'!E19</f>
        <v>720.13</v>
      </c>
      <c r="C14" s="2305"/>
      <c r="D14" s="2305">
        <f ca="1">ROUND(E14*B14/10000,4)</f>
        <v>1758.0534</v>
      </c>
      <c r="E14" s="2305">
        <f ca="1">结果表!G20</f>
        <v>24413</v>
      </c>
      <c r="F14" s="2305" t="e">
        <f ca="1">ROUND(D14*10000/C14,0)</f>
        <v>#DIV/0!</v>
      </c>
      <c r="G14" s="2305">
        <f ca="1">D14</f>
        <v>1758.0534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3155"/>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row r="29" spans="1:11">
      <c r="D29" s="3154"/>
    </row>
    <row r="31" spans="1:11">
      <c r="D31" s="2300">
        <f>2023-2005</f>
        <v>18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L24" sqref="L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3383</v>
      </c>
      <c r="D4" s="1626" t="s">
        <v>3449</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7</v>
      </c>
      <c r="D14" s="3306">
        <v>3</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37" t="s">
        <v>2131</v>
      </c>
      <c r="F18" s="3338"/>
      <c r="G18" s="3338"/>
      <c r="H18" s="3338"/>
      <c r="I18" s="3338"/>
      <c r="K18" s="294" t="s">
        <v>1289</v>
      </c>
      <c r="L18" s="294">
        <f>IF(C1="",'数据-汇总表'!E3,SUMIF(项目类型,C1,'数据-汇总表'!E17:E26)+SUMIF(项目类型,C1,'数据-汇总表'!I17:I26))</f>
        <v>720.13</v>
      </c>
      <c r="M18" s="294">
        <f>IF(C1="",'数据-汇总表'!E3,SUMIF(项目类型,C1,'数据-汇总表'!E17:E26))</f>
        <v>720.13</v>
      </c>
    </row>
    <row r="19" spans="1:36" ht="15">
      <c r="A19" s="1630" t="s">
        <v>1290</v>
      </c>
      <c r="B19" s="1631" t="s">
        <v>1291</v>
      </c>
      <c r="C19" s="126">
        <f ca="1">SUMIF(INDIRECT("'"&amp;C4&amp;"'"&amp;"!A:A"),结果表!B19,INDIRECT("'"&amp;C4&amp;"'"&amp;"!B:B"))</f>
        <v>1499.3420000000001</v>
      </c>
      <c r="D19" s="127">
        <f ca="1">SUMIF(INDIRECT("'"&amp;D4&amp;"'"&amp;"!A:A"),结果表!B19,INDIRECT("'"&amp;D4&amp;"'"&amp;"!B:B"))</f>
        <v>2361.8652000000002</v>
      </c>
      <c r="E19" s="1630" t="s">
        <v>1292</v>
      </c>
      <c r="F19" s="1631" t="s">
        <v>1291</v>
      </c>
      <c r="G19" s="128">
        <f ca="1">ROUND(C19*$C$18+D19*$D$18,0)</f>
        <v>1758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20820</v>
      </c>
      <c r="D20" s="130">
        <f ca="1">SUMIF(INDIRECT("'"&amp;D4&amp;"'"&amp;"!A:A"),结果表!B20,INDIRECT("'"&amp;D4&amp;"'"&amp;"!B:B"))</f>
        <v>32798</v>
      </c>
      <c r="E20" s="1633"/>
      <c r="F20" s="43" t="s">
        <v>1295</v>
      </c>
      <c r="G20" s="131">
        <f ca="1">ROUND(C20*$C$18+D20*$D$18,0)</f>
        <v>24413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0.57526781748260247</v>
      </c>
      <c r="E22" s="121"/>
      <c r="F22" s="121"/>
      <c r="G22" s="121"/>
      <c r="H22" s="121"/>
      <c r="I22" s="121"/>
    </row>
    <row r="23" spans="1:36" ht="13.5" thickBot="1">
      <c r="A23" s="646"/>
      <c r="B23" s="646"/>
      <c r="C23" s="646"/>
      <c r="D23" s="646"/>
      <c r="E23" s="121"/>
      <c r="F23" s="121"/>
      <c r="G23" s="121">
        <f>2.4*'数据-汇总表'!E19</f>
        <v>1728.3119999999999</v>
      </c>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1758</v>
      </c>
      <c r="D32" s="1641" t="s">
        <v>3435</v>
      </c>
      <c r="E32" s="121"/>
      <c r="F32" s="121"/>
      <c r="G32" s="121"/>
      <c r="H32" s="121"/>
      <c r="I32" s="121"/>
    </row>
    <row r="33" spans="1:15" ht="15">
      <c r="A33" s="740" t="s">
        <v>1306</v>
      </c>
      <c r="B33" s="123"/>
      <c r="C33" s="1642" t="s">
        <v>3436</v>
      </c>
      <c r="D33" s="1643" t="s">
        <v>3383</v>
      </c>
      <c r="E33" s="1644" t="s">
        <v>1307</v>
      </c>
      <c r="F33" s="1645" t="str">
        <f>IF(D32="楼面单价","取值（单价）","取值（总价）")</f>
        <v>取值（总价）</v>
      </c>
      <c r="G33" s="121"/>
      <c r="H33" s="121"/>
      <c r="I33" s="121"/>
    </row>
    <row r="34" spans="1:15" ht="15">
      <c r="A34" s="1646"/>
      <c r="B34" s="1647" t="s">
        <v>1308</v>
      </c>
      <c r="C34" s="140">
        <f ca="1">IF(C33="自定义",F34,C32-C35)</f>
        <v>1215</v>
      </c>
      <c r="D34" s="808">
        <f ca="1">IF(C33="自定义",ROUND(C34/C32,3),IF(C33="收益比率",SUMIF(INDIRECT("'"&amp;D33&amp;"'"&amp;"!b:b"),"土地收益比率",INDIRECT("'"&amp;D33&amp;"'"&amp;"!c:c")),SUMIF(INDIRECT("'"&amp;D33&amp;"'"&amp;"!b:b"),"土地成本比率",INDIRECT("'"&amp;D33&amp;"'"&amp;"!c:c"))))</f>
        <v>0.69100000000000006</v>
      </c>
      <c r="E34" s="1648" t="s">
        <v>1309</v>
      </c>
      <c r="F34" s="1243"/>
      <c r="G34" s="121"/>
      <c r="H34" s="121"/>
      <c r="I34" s="121"/>
    </row>
    <row r="35" spans="1:15" ht="15.75" thickBot="1">
      <c r="A35" s="1649"/>
      <c r="B35" s="1650" t="s">
        <v>1310</v>
      </c>
      <c r="C35" s="1090">
        <f ca="1">IF(C33="自定义",F35,ROUND(C32*D35,0))</f>
        <v>543</v>
      </c>
      <c r="D35" s="1091">
        <f ca="1">IF(C33="自定义",ROUND(C35/C32,3),IF(C33="收益比率",SUMIF(INDIRECT("'"&amp;D33&amp;"'"&amp;"!b:b"),"建筑物收益比率",INDIRECT("'"&amp;D33&amp;"'"&amp;"!c:c")),SUMIF(INDIRECT("'"&amp;D33&amp;"'"&amp;"!b:b"),"建筑物成本比率",INDIRECT("'"&amp;D33&amp;"'"&amp;"!c:c"))))</f>
        <v>0.309</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1758</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45005</v>
      </c>
      <c r="N47" s="3250"/>
      <c r="O47" s="3250"/>
    </row>
    <row r="48" spans="1:15" ht="25.5">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8" t="s">
        <v>1340</v>
      </c>
      <c r="L48" s="3248"/>
      <c r="M48" s="3251">
        <f ca="1">H101</f>
        <v>1758</v>
      </c>
      <c r="N48" s="3251"/>
      <c r="O48" s="3251"/>
    </row>
    <row r="49" spans="1:35" ht="25.5" customHeight="1">
      <c r="A49" s="2152" t="s">
        <v>1341</v>
      </c>
      <c r="B49" s="3296" t="s">
        <v>1342</v>
      </c>
      <c r="C49" s="3296"/>
      <c r="D49" s="1478">
        <v>0</v>
      </c>
      <c r="E49" s="316" t="s">
        <v>1343</v>
      </c>
      <c r="F49" s="2233" t="s">
        <v>28</v>
      </c>
      <c r="G49" s="3279"/>
      <c r="H49" s="2134" t="s">
        <v>2134</v>
      </c>
      <c r="I49" s="2135"/>
      <c r="J49" s="2309">
        <v>4</v>
      </c>
      <c r="K49" s="3248" t="str">
        <f>IF(项目基本情况!E8="房地产抵押价值","房地产抵押价值","抵押担保权已注销时的房地产抵押价值")</f>
        <v>抵押担保权已注销时的房地产抵押价值</v>
      </c>
      <c r="L49" s="3248"/>
      <c r="M49" s="3251" t="str">
        <f>IF(项目基本情况!E8="房地产抵押价值",H107,H109)</f>
        <v>——</v>
      </c>
      <c r="N49" s="3251"/>
      <c r="O49" s="3251"/>
    </row>
    <row r="50" spans="1:35" ht="25.5" customHeight="1">
      <c r="A50" s="2337"/>
      <c r="B50" s="3296" t="s">
        <v>1344</v>
      </c>
      <c r="C50" s="3296"/>
      <c r="D50" s="2189"/>
      <c r="E50" s="323"/>
      <c r="F50" s="2233"/>
      <c r="G50" s="3280"/>
      <c r="H50" s="2136" t="s">
        <v>2135</v>
      </c>
      <c r="I50" s="2135"/>
      <c r="J50" s="3247" t="s">
        <v>1345</v>
      </c>
      <c r="K50" s="3247"/>
      <c r="L50" s="3247"/>
      <c r="M50" s="3247"/>
      <c r="N50" s="3247"/>
      <c r="O50" s="3247"/>
    </row>
    <row r="51" spans="1:35" ht="20.45" customHeight="1">
      <c r="A51" s="2338"/>
      <c r="B51" s="3296" t="s">
        <v>1346</v>
      </c>
      <c r="C51" s="3296"/>
      <c r="D51" s="1024"/>
      <c r="E51" s="319"/>
      <c r="F51" s="2233"/>
      <c r="G51" s="3281"/>
      <c r="H51" s="2136" t="s">
        <v>2136</v>
      </c>
      <c r="I51" s="2135"/>
      <c r="J51" s="2310" t="s">
        <v>1347</v>
      </c>
      <c r="K51" s="3248" t="s">
        <v>1348</v>
      </c>
      <c r="L51" s="3248"/>
      <c r="M51" s="2310" t="s">
        <v>1349</v>
      </c>
      <c r="N51" s="2310" t="s">
        <v>1350</v>
      </c>
      <c r="O51" s="2310" t="s">
        <v>1351</v>
      </c>
    </row>
    <row r="52" spans="1:35" ht="24" customHeight="1">
      <c r="A52" s="2153" t="s">
        <v>1352</v>
      </c>
      <c r="B52" s="3296" t="s">
        <v>1353</v>
      </c>
      <c r="C52" s="3296"/>
      <c r="D52" s="1024">
        <f ca="1">ROUND(D45*'数据-取费表'!B41/(1+'数据-取费表'!C42),0)</f>
        <v>94</v>
      </c>
      <c r="E52" s="1256" t="s">
        <v>1354</v>
      </c>
      <c r="F52" s="2339">
        <f>'数据-取费表'!B41</f>
        <v>5.6000000000000001E-2</v>
      </c>
      <c r="G52" s="2340"/>
      <c r="H52" s="2330"/>
      <c r="I52" s="1669"/>
      <c r="J52" s="2309">
        <v>1</v>
      </c>
      <c r="K52" s="3273" t="s">
        <v>1355</v>
      </c>
      <c r="L52" s="3273"/>
      <c r="M52" s="2311" t="b">
        <f>D48</f>
        <v>0</v>
      </c>
      <c r="N52" s="2309" t="str">
        <f>E48</f>
        <v>销售额×税（费）率</v>
      </c>
      <c r="O52" s="2312">
        <f>F48</f>
        <v>5.6000000000000001E-2</v>
      </c>
    </row>
    <row r="53" spans="1:35" ht="12" customHeight="1">
      <c r="A53" s="2153" t="s">
        <v>1356</v>
      </c>
      <c r="B53" s="3297" t="s">
        <v>2285</v>
      </c>
      <c r="C53" s="3298"/>
      <c r="D53" s="1024">
        <f ca="1">ROUND(D45*'数据-取费表'!B41/(1+'数据-取费表'!C42),0)</f>
        <v>94</v>
      </c>
      <c r="E53" s="1256" t="s">
        <v>1354</v>
      </c>
      <c r="F53" s="2339">
        <f>'数据-取费表'!B41</f>
        <v>5.6000000000000001E-2</v>
      </c>
      <c r="G53" s="2340"/>
      <c r="H53" s="2330"/>
      <c r="I53" s="1669"/>
      <c r="J53" s="2309">
        <v>2</v>
      </c>
      <c r="K53" s="3273" t="s">
        <v>1357</v>
      </c>
      <c r="L53" s="3273"/>
      <c r="M53" s="2311">
        <f t="shared" ref="M53:O54" ca="1" si="0">D55</f>
        <v>1</v>
      </c>
      <c r="N53" s="2309" t="str">
        <f t="shared" si="0"/>
        <v>销售额×税（费）率</v>
      </c>
      <c r="O53" s="2312" t="str">
        <f t="shared" si="0"/>
        <v>免征</v>
      </c>
    </row>
    <row r="54" spans="1:35" ht="12" customHeight="1">
      <c r="A54" s="2153" t="s">
        <v>1358</v>
      </c>
      <c r="B54" s="3297" t="s">
        <v>2286</v>
      </c>
      <c r="C54" s="3298"/>
      <c r="D54" s="1024">
        <f ca="1">C68</f>
        <v>94</v>
      </c>
      <c r="E54" s="319" t="s">
        <v>1359</v>
      </c>
      <c r="F54" s="2339">
        <f>'数据-取费表'!B41</f>
        <v>5.6000000000000001E-2</v>
      </c>
      <c r="G54" s="2340"/>
      <c r="H54" s="2341"/>
      <c r="I54" s="1669"/>
      <c r="J54" s="2309">
        <v>3</v>
      </c>
      <c r="K54" s="3273" t="s">
        <v>1360</v>
      </c>
      <c r="L54" s="3273"/>
      <c r="M54" s="2311">
        <f t="shared" ca="1" si="0"/>
        <v>995</v>
      </c>
      <c r="N54" s="2309" t="str">
        <f t="shared" si="0"/>
        <v>增值额×税（费）率</v>
      </c>
      <c r="O54" s="2313" t="str">
        <f t="shared" si="0"/>
        <v>免征</v>
      </c>
    </row>
    <row r="55" spans="1:35" ht="24" customHeight="1">
      <c r="A55" s="3333" t="s">
        <v>1361</v>
      </c>
      <c r="B55" s="3311"/>
      <c r="C55" s="3311"/>
      <c r="D55" s="12">
        <f ca="1">IF(H55="个人住宅",0,ROUND(D45*I55,0))</f>
        <v>1</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17</v>
      </c>
      <c r="N55" s="1883" t="str">
        <f>E59</f>
        <v>差额计税</v>
      </c>
      <c r="O55" s="2315">
        <f>F59</f>
        <v>0.01</v>
      </c>
    </row>
    <row r="56" spans="1:35" ht="24.75">
      <c r="A56" s="3333" t="s">
        <v>1363</v>
      </c>
      <c r="B56" s="3311"/>
      <c r="C56" s="3311"/>
      <c r="D56" s="12">
        <f ca="1">IF(H56="个人住宅",D57,D58)</f>
        <v>995</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2.75">
      <c r="A57" s="2153"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1013</v>
      </c>
      <c r="O57" s="2319"/>
      <c r="P57" s="2464" t="e">
        <f ca="1">N57/M49</f>
        <v>#VALUE!</v>
      </c>
    </row>
    <row r="58" spans="1:35" ht="24.75">
      <c r="A58" s="2153" t="s">
        <v>1352</v>
      </c>
      <c r="B58" s="3297" t="s">
        <v>1369</v>
      </c>
      <c r="C58" s="3296"/>
      <c r="D58" s="12">
        <f ca="1">IF(H58="转让取得",C81,C97)</f>
        <v>995</v>
      </c>
      <c r="E58" s="1256" t="s">
        <v>1364</v>
      </c>
      <c r="F58" s="294" t="s">
        <v>28</v>
      </c>
      <c r="G58" s="2340"/>
      <c r="H58" s="2343"/>
      <c r="I58" s="1670"/>
      <c r="J58" s="3273"/>
      <c r="K58" s="3273"/>
      <c r="L58" s="2316" t="s">
        <v>1370</v>
      </c>
      <c r="M58" s="2320"/>
      <c r="N58" s="2321" t="str">
        <f ca="1">NUMBERSTRING(INT(N57*10000),2)&amp;"元整"</f>
        <v>壹仟零壹拾叁万元整</v>
      </c>
      <c r="O58" s="2322"/>
    </row>
    <row r="59" spans="1:35" ht="24.75" thickBot="1">
      <c r="A59" s="3277" t="s">
        <v>1371</v>
      </c>
      <c r="B59" s="3278"/>
      <c r="C59" s="3278"/>
      <c r="D59" s="2345">
        <f ca="1">IF(H59="非个人房产","——",IF(H59="个人住宅（满五唯一有凭证）",0,IF(H59="个人其他（无凭证）",ROUND(D45*F59,0),ROUND(C67*F59,0))))</f>
        <v>17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5">
        <f>J57+1</f>
        <v>6</v>
      </c>
      <c r="K59" s="3273" t="s">
        <v>1372</v>
      </c>
      <c r="L59" s="2309" t="s">
        <v>1368</v>
      </c>
      <c r="M59" s="2323"/>
      <c r="N59" s="2324" t="e">
        <f ca="1">M49-N57</f>
        <v>#VALUE!</v>
      </c>
      <c r="O59" s="2325"/>
    </row>
    <row r="60" spans="1:35" ht="12" customHeight="1">
      <c r="A60" s="1671"/>
      <c r="B60" s="646"/>
      <c r="C60" s="646"/>
      <c r="D60" s="646"/>
      <c r="E60" s="1466"/>
      <c r="F60" s="1670"/>
      <c r="G60" s="1670"/>
      <c r="H60" s="151"/>
      <c r="I60" s="121"/>
      <c r="J60" s="3276"/>
      <c r="K60" s="3273"/>
      <c r="L60" s="2316" t="s">
        <v>1370</v>
      </c>
      <c r="M60" s="2320"/>
      <c r="N60" s="2321" t="e">
        <f ca="1">NUMBERSTRING(INT(N59*10000),2)&amp;"元整"</f>
        <v>#VALUE!</v>
      </c>
      <c r="O60" s="2322"/>
    </row>
    <row r="61" spans="1:35" ht="13.5" thickBot="1">
      <c r="A61" s="3332" t="s">
        <v>1373</v>
      </c>
      <c r="B61" s="3332"/>
      <c r="C61" s="3332"/>
      <c r="D61" s="3332"/>
      <c r="E61" s="3332"/>
      <c r="F61" s="1670"/>
      <c r="G61" s="1670"/>
      <c r="H61" s="151"/>
      <c r="I61" s="121"/>
      <c r="J61" s="2309">
        <f>J59+1</f>
        <v>7</v>
      </c>
      <c r="K61" s="3273" t="s">
        <v>1374</v>
      </c>
      <c r="L61" s="3273"/>
      <c r="M61" s="2326"/>
      <c r="N61" s="2327" t="e">
        <f ca="1">ROUND(N59*10000/'数据-汇总表'!E3,0)</f>
        <v>#VALUE!</v>
      </c>
      <c r="O61" s="2328"/>
    </row>
    <row r="62" spans="1:35" ht="12.75">
      <c r="A62" s="3292" t="s">
        <v>1375</v>
      </c>
      <c r="B62" s="3293"/>
      <c r="C62" s="1865"/>
      <c r="D62" s="1865" t="s">
        <v>1376</v>
      </c>
      <c r="E62" s="158" t="s">
        <v>1377</v>
      </c>
      <c r="F62" s="1670"/>
      <c r="G62" s="1670"/>
      <c r="H62" s="151"/>
      <c r="I62" s="121"/>
    </row>
    <row r="63" spans="1:35" ht="12.75">
      <c r="A63" s="165" t="s">
        <v>330</v>
      </c>
      <c r="B63" s="159" t="s">
        <v>1378</v>
      </c>
      <c r="C63" s="2349">
        <f ca="1">ROUND((C64+C65)/(1+'数据-取费表'!C42),0)</f>
        <v>1674</v>
      </c>
      <c r="D63" s="159"/>
      <c r="E63" s="160"/>
      <c r="F63" s="1670"/>
      <c r="G63" s="1670"/>
      <c r="H63" s="151"/>
      <c r="I63" s="121"/>
      <c r="J63" s="325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1758</v>
      </c>
      <c r="D64" s="162" t="s">
        <v>26</v>
      </c>
      <c r="E64" s="164"/>
      <c r="F64" s="1670"/>
      <c r="G64" s="1670"/>
      <c r="H64" s="151"/>
      <c r="I64" s="121"/>
      <c r="J64" s="32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t="e">
        <f>M49*0.5%</f>
        <v>#VALUE!</v>
      </c>
      <c r="M66" s="294" t="e">
        <f>IF(L66&gt;0.5,0.5,ROUND(L66,0))</f>
        <v>#VALUE!</v>
      </c>
      <c r="N66" s="2330" t="s">
        <v>1388</v>
      </c>
      <c r="Z66" s="1623"/>
      <c r="AI66" s="1561"/>
    </row>
    <row r="67" spans="1:35" ht="14.25" customHeight="1">
      <c r="A67" s="165" t="s">
        <v>328</v>
      </c>
      <c r="B67" s="166" t="s">
        <v>1389</v>
      </c>
      <c r="C67" s="2353">
        <f ca="1">C63-C66</f>
        <v>1674</v>
      </c>
      <c r="D67" s="162" t="s">
        <v>26</v>
      </c>
      <c r="E67" s="164"/>
      <c r="F67" s="1670"/>
      <c r="G67" s="1670"/>
      <c r="H67" s="151"/>
      <c r="I67" s="121"/>
      <c r="J67" s="32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94</v>
      </c>
      <c r="D68" s="2355">
        <f>'数据-取费表'!B41</f>
        <v>5.6000000000000001E-2</v>
      </c>
      <c r="E68" s="170"/>
      <c r="F68" s="1670"/>
      <c r="G68" s="1670"/>
      <c r="H68" s="151"/>
      <c r="I68" s="121"/>
      <c r="J68" s="325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6"/>
      <c r="K69" s="1245" t="s">
        <v>1393</v>
      </c>
      <c r="L69" s="1245"/>
      <c r="M69" s="294" t="e">
        <f>ROUND(SUM(M63:M68),0)</f>
        <v>#VALUE!</v>
      </c>
      <c r="N69" s="2331" t="e">
        <f>M69/M49</f>
        <v>#VALUE!</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1674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10</v>
      </c>
      <c r="D78" s="2362">
        <f>'数据-取费表'!B43</f>
        <v>6.000000000000001E-3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1664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995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1674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58" t="s">
        <v>2129</v>
      </c>
      <c r="H90" s="3259"/>
      <c r="I90" s="1681"/>
      <c r="J90" s="2307"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10</v>
      </c>
      <c r="D93" s="2362">
        <f>'数据-取费表'!B43</f>
        <v>6.000000000000001E-3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1664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995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收益法 (元)</v>
      </c>
      <c r="D101" s="2371" t="str">
        <f>D4</f>
        <v>成本法 (元)</v>
      </c>
      <c r="E101" s="3252" t="s">
        <v>1431</v>
      </c>
      <c r="F101" s="3253"/>
      <c r="G101" s="1687" t="s">
        <v>1432</v>
      </c>
      <c r="H101" s="2380">
        <f ca="1">H118</f>
        <v>1758</v>
      </c>
      <c r="I101" s="121"/>
    </row>
    <row r="102" spans="1:35" ht="18.75" customHeight="1">
      <c r="A102" s="3284" t="s">
        <v>1433</v>
      </c>
      <c r="B102" s="2369" t="s">
        <v>1432</v>
      </c>
      <c r="C102" s="2370">
        <f ca="1">IF(D32="楼面单价",ROUND(C19,0),C19)</f>
        <v>1499.3420000000001</v>
      </c>
      <c r="D102" s="2371">
        <f ca="1">IF(D32="楼面单价",ROUND(D19,0),D19)</f>
        <v>2361.8652000000002</v>
      </c>
      <c r="E102" s="3252"/>
      <c r="F102" s="3253"/>
      <c r="G102" s="1687" t="s">
        <v>1434</v>
      </c>
      <c r="H102" s="2340">
        <f ca="1">I118</f>
        <v>24412</v>
      </c>
      <c r="I102" s="121"/>
    </row>
    <row r="103" spans="1:35" ht="42.75" customHeight="1">
      <c r="A103" s="3284"/>
      <c r="B103" s="2369" t="s">
        <v>1434</v>
      </c>
      <c r="C103" s="2372">
        <f ca="1">C20</f>
        <v>20820</v>
      </c>
      <c r="D103" s="2373">
        <f ca="1">D20</f>
        <v>32798</v>
      </c>
      <c r="E103" s="3245" t="s">
        <v>1435</v>
      </c>
      <c r="F103" s="3246"/>
      <c r="G103" s="1688" t="s">
        <v>1436</v>
      </c>
      <c r="H103" s="2380">
        <f>IF(D36="正常操作",H104+H105+H106,H105+H106)</f>
        <v>0</v>
      </c>
      <c r="I103" s="121"/>
    </row>
    <row r="104" spans="1:35" ht="18.75" customHeight="1">
      <c r="A104" s="3284" t="s">
        <v>1437</v>
      </c>
      <c r="B104" s="2374" t="s">
        <v>1432</v>
      </c>
      <c r="C104" s="2375">
        <f ca="1">H118</f>
        <v>1758</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24412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1758</v>
      </c>
      <c r="I107" s="121"/>
    </row>
    <row r="108" spans="1:35" ht="18.75" customHeight="1">
      <c r="A108" s="121"/>
      <c r="B108" s="121"/>
      <c r="C108" s="121"/>
      <c r="D108" s="121"/>
      <c r="E108" s="3285"/>
      <c r="F108" s="3253"/>
      <c r="G108" s="1687" t="s">
        <v>1434</v>
      </c>
      <c r="H108" s="2340">
        <f ca="1">IF(H107=H101,H102,ROUND(H107*10000/'数据-汇总表'!E3,0))</f>
        <v>24412</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720.13</v>
      </c>
      <c r="C118" s="2150">
        <f>M19</f>
        <v>0</v>
      </c>
      <c r="D118" s="2150">
        <f ca="1">ROUND(IF(D32="总价",C34,E118*B118/10000),0)</f>
        <v>1215</v>
      </c>
      <c r="E118" s="2150">
        <f ca="1">ROUND(IF(C33="自定义",IF(D32="楼面单价",C34,D118*10000/B118),I118-G118),0)</f>
        <v>16872</v>
      </c>
      <c r="F118" s="2150">
        <f ca="1">ROUND(IF(D32="总价",C35,G118*B118/10000),0)</f>
        <v>543</v>
      </c>
      <c r="G118" s="2150">
        <f ca="1">ROUND(IF(D32="楼面单价",C35,F118*10000/B118),0)</f>
        <v>7540</v>
      </c>
      <c r="H118" s="2150">
        <f ca="1">ROUND(IF(D32="总价",C32,I118*B118/10000),0)</f>
        <v>1758</v>
      </c>
      <c r="I118" s="2150">
        <f ca="1">ROUND(IF(D32="楼面单价",C32,H118*10000/B118),0)</f>
        <v>24412</v>
      </c>
    </row>
    <row r="119" spans="1:27" ht="18.75" customHeight="1">
      <c r="A119" s="3260" t="s">
        <v>1452</v>
      </c>
      <c r="B119" s="3260"/>
      <c r="C119" s="3260"/>
      <c r="D119" s="3266" t="str">
        <f ca="1">NUMBERSTRING(INT(D118*10000),2)&amp;"元整"</f>
        <v>壹仟贰佰壹拾伍万元整</v>
      </c>
      <c r="E119" s="3267"/>
      <c r="F119" s="3266" t="str">
        <f ca="1">NUMBERSTRING(INT(F118*10000),2)&amp;"元整"</f>
        <v>伍佰肆拾叁万元整</v>
      </c>
      <c r="G119" s="3267"/>
      <c r="H119" s="3266" t="str">
        <f ca="1">NUMBERSTRING(INT(H118*10000),2)&amp;"元整"</f>
        <v>壹仟柒佰伍拾捌万元整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1758</v>
      </c>
      <c r="E122" s="3262"/>
      <c r="F122" s="3262"/>
      <c r="G122" s="3262"/>
      <c r="H122" s="3262"/>
      <c r="I122" s="3263"/>
      <c r="AA122" s="684"/>
    </row>
    <row r="123" spans="1:27" ht="18.75" customHeight="1">
      <c r="A123" s="3260" t="s">
        <v>1452</v>
      </c>
      <c r="B123" s="3260"/>
      <c r="C123" s="3260"/>
      <c r="D123" s="3266" t="str">
        <f ca="1">NUMBERSTRING(INT(D122*10000),2)&amp;"元整"</f>
        <v>壹仟柒佰伍拾捌万元整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E34" sqref="E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720.13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365" t="s">
        <v>1775</v>
      </c>
      <c r="Q4" s="3366"/>
      <c r="R4" s="3344" t="s">
        <v>1771</v>
      </c>
      <c r="S4" s="3345"/>
      <c r="T4" s="3344" t="s">
        <v>1772</v>
      </c>
      <c r="U4" s="3345"/>
      <c r="V4" s="3373" t="s">
        <v>1773</v>
      </c>
      <c r="W4" s="3373"/>
      <c r="X4" s="1809"/>
      <c r="Y4" s="3344" t="s">
        <v>1775</v>
      </c>
      <c r="Z4" s="3345"/>
      <c r="AA4" s="3339" t="s">
        <v>1771</v>
      </c>
      <c r="AB4" s="3339" t="s">
        <v>1772</v>
      </c>
      <c r="AC4" s="3358" t="s">
        <v>1773</v>
      </c>
    </row>
    <row r="5" spans="1:29" ht="15">
      <c r="A5" s="348"/>
      <c r="B5" s="349"/>
      <c r="C5" s="3350" t="s">
        <v>3421</v>
      </c>
      <c r="D5" s="3351"/>
      <c r="E5" s="3348" t="str">
        <f>C5</f>
        <v>富尔大厦</v>
      </c>
      <c r="F5" s="3349"/>
      <c r="G5" s="3354" t="str">
        <f>C5</f>
        <v>富尔大厦</v>
      </c>
      <c r="H5" s="3351"/>
      <c r="I5" s="3354" t="str">
        <f>C5</f>
        <v>富尔大厦</v>
      </c>
      <c r="J5" s="3351"/>
      <c r="K5" s="537"/>
      <c r="L5" s="2486"/>
      <c r="M5" s="2487"/>
      <c r="N5" s="2487"/>
      <c r="O5" s="2487"/>
      <c r="P5" s="3367"/>
      <c r="Q5" s="3368"/>
      <c r="R5" s="3346"/>
      <c r="S5" s="3347"/>
      <c r="T5" s="3346"/>
      <c r="U5" s="3347"/>
      <c r="V5" s="3374"/>
      <c r="W5" s="3374"/>
      <c r="X5" s="1265"/>
      <c r="Y5" s="3346"/>
      <c r="Z5" s="3347"/>
      <c r="AA5" s="3340"/>
      <c r="AB5" s="3340"/>
      <c r="AC5" s="3359"/>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369"/>
      <c r="Q6" s="3370"/>
      <c r="R6" s="3346"/>
      <c r="S6" s="3347"/>
      <c r="T6" s="3371"/>
      <c r="U6" s="3372"/>
      <c r="V6" s="3374"/>
      <c r="W6" s="3374"/>
      <c r="X6" s="1265"/>
      <c r="Y6" s="3371"/>
      <c r="Z6" s="3372"/>
      <c r="AA6" s="3341"/>
      <c r="AB6" s="3341"/>
      <c r="AC6" s="3360"/>
    </row>
    <row r="7" spans="1:29" s="102" customFormat="1" ht="15.75" thickBot="1">
      <c r="A7" s="352" t="s">
        <v>1679</v>
      </c>
      <c r="B7" s="353"/>
      <c r="C7" s="354">
        <f>'数据-取费表'!B2</f>
        <v>45005</v>
      </c>
      <c r="D7" s="355">
        <v>100</v>
      </c>
      <c r="E7" s="356">
        <f>C7</f>
        <v>45005</v>
      </c>
      <c r="F7" s="357">
        <f>SUMIF(59:59,YEAR(E7)&amp;"-"&amp;MONTH(E7),60:60)</f>
        <v>100</v>
      </c>
      <c r="G7" s="356">
        <f>C7</f>
        <v>45005</v>
      </c>
      <c r="H7" s="355">
        <f>SUMIF(59:59,YEAR(G7)&amp;"-"&amp;MONTH(G7),60:60)</f>
        <v>100</v>
      </c>
      <c r="I7" s="356">
        <f>C7</f>
        <v>45005</v>
      </c>
      <c r="J7" s="355">
        <f>SUMIF(59:59,YEAR(I7)&amp;"-"&amp;MONTH(I7),60:60)</f>
        <v>100</v>
      </c>
      <c r="K7" s="38"/>
      <c r="L7" s="2488"/>
      <c r="M7" s="2439"/>
      <c r="N7" s="2439"/>
      <c r="O7" s="2439"/>
      <c r="P7" s="3375" t="s">
        <v>1680</v>
      </c>
      <c r="Q7" s="3376"/>
      <c r="R7" s="664" t="s">
        <v>14</v>
      </c>
      <c r="S7" s="665">
        <f t="shared" ref="S7:S15" si="0">F7</f>
        <v>100</v>
      </c>
      <c r="T7" s="664" t="s">
        <v>14</v>
      </c>
      <c r="U7" s="665">
        <f t="shared" ref="U7:U15" si="1">H7</f>
        <v>100</v>
      </c>
      <c r="V7" s="664" t="s">
        <v>14</v>
      </c>
      <c r="W7" s="665">
        <f t="shared" ref="W7:W15" si="2">J7</f>
        <v>100</v>
      </c>
      <c r="X7" s="666"/>
      <c r="Y7" s="3342" t="s">
        <v>1680</v>
      </c>
      <c r="Z7" s="3343"/>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5" t="s">
        <v>1683</v>
      </c>
      <c r="Q8" s="3343"/>
      <c r="R8" s="664" t="s">
        <v>14</v>
      </c>
      <c r="S8" s="665">
        <f t="shared" si="0"/>
        <v>100</v>
      </c>
      <c r="T8" s="664" t="s">
        <v>14</v>
      </c>
      <c r="U8" s="665">
        <f t="shared" si="1"/>
        <v>100</v>
      </c>
      <c r="V8" s="664" t="s">
        <v>14</v>
      </c>
      <c r="W8" s="665">
        <f t="shared" si="2"/>
        <v>100</v>
      </c>
      <c r="X8" s="666"/>
      <c r="Y8" s="3342" t="s">
        <v>1683</v>
      </c>
      <c r="Z8" s="3343"/>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7"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57"/>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7"/>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7"/>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7"/>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7"/>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77"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78"/>
      <c r="Q16" s="1263"/>
      <c r="R16" s="667"/>
      <c r="S16" s="668"/>
      <c r="T16" s="667"/>
      <c r="U16" s="668"/>
      <c r="V16" s="667"/>
      <c r="W16" s="668"/>
      <c r="X16" s="1265"/>
      <c r="Y16" s="3380"/>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8"/>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78"/>
      <c r="Q18" s="1263"/>
      <c r="R18" s="667"/>
      <c r="S18" s="668"/>
      <c r="T18" s="667"/>
      <c r="U18" s="668"/>
      <c r="V18" s="667"/>
      <c r="W18" s="668"/>
      <c r="X18" s="1265"/>
      <c r="Y18" s="3380"/>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8"/>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78"/>
      <c r="Q20" s="1263"/>
      <c r="R20" s="667"/>
      <c r="S20" s="668"/>
      <c r="T20" s="667"/>
      <c r="U20" s="668"/>
      <c r="V20" s="667"/>
      <c r="W20" s="668"/>
      <c r="X20" s="1265"/>
      <c r="Y20" s="3380"/>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78"/>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1814" t="s">
        <v>3423</v>
      </c>
      <c r="F22" s="387"/>
      <c r="G22" s="1814" t="s">
        <v>3423</v>
      </c>
      <c r="H22" s="387"/>
      <c r="I22" s="1814" t="s">
        <v>3423</v>
      </c>
      <c r="J22" s="387"/>
      <c r="K22" s="1064"/>
      <c r="L22" s="2492"/>
      <c r="M22" s="2487"/>
      <c r="N22" s="2487"/>
      <c r="O22" s="2487"/>
      <c r="P22" s="3378"/>
      <c r="Q22" s="1263"/>
      <c r="R22" s="667"/>
      <c r="S22" s="668"/>
      <c r="T22" s="667"/>
      <c r="U22" s="668"/>
      <c r="V22" s="667"/>
      <c r="W22" s="668"/>
      <c r="X22" s="1265"/>
      <c r="Y22" s="3380"/>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8"/>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t="s">
        <v>3422</v>
      </c>
      <c r="D24" s="387"/>
      <c r="E24" s="1758" t="s">
        <v>3422</v>
      </c>
      <c r="F24" s="387"/>
      <c r="G24" s="1758" t="s">
        <v>3422</v>
      </c>
      <c r="H24" s="387"/>
      <c r="I24" s="1758" t="s">
        <v>3422</v>
      </c>
      <c r="J24" s="387"/>
      <c r="K24" s="541"/>
      <c r="L24" s="2492"/>
      <c r="M24" s="2487"/>
      <c r="N24" s="2487"/>
      <c r="O24" s="2487"/>
      <c r="P24" s="3378"/>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8"/>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8"/>
      <c r="Q26" s="1263"/>
      <c r="R26" s="667"/>
      <c r="S26" s="668"/>
      <c r="T26" s="667"/>
      <c r="U26" s="668"/>
      <c r="V26" s="667"/>
      <c r="W26" s="668"/>
      <c r="X26" s="1265"/>
      <c r="Y26" s="3380"/>
      <c r="Z26" s="1264"/>
      <c r="AA26" s="1264">
        <v>1</v>
      </c>
      <c r="AB26" s="1264">
        <v>1</v>
      </c>
      <c r="AC26" s="1812">
        <v>1</v>
      </c>
    </row>
    <row r="27" spans="1:29" ht="15">
      <c r="A27" s="367"/>
      <c r="B27" s="401" t="s">
        <v>1783</v>
      </c>
      <c r="C27" s="558" t="s">
        <v>3420</v>
      </c>
      <c r="D27" s="374">
        <v>100</v>
      </c>
      <c r="E27" s="542" t="s">
        <v>3419</v>
      </c>
      <c r="F27" s="374">
        <f>SUMIF(89:89,E27,90:90)-SUMIF(89:89,C27,90:90)+100</f>
        <v>103</v>
      </c>
      <c r="G27" s="558" t="s">
        <v>3420</v>
      </c>
      <c r="H27" s="374">
        <f>SUMIF(89:89,G27,90:90)-SUMIF(89:89,C27,90:90)+100</f>
        <v>100</v>
      </c>
      <c r="I27" s="542" t="s">
        <v>3420</v>
      </c>
      <c r="J27" s="374">
        <f>SUMIF(89:89,I27,90:90)-SUMIF(89:89,C27,90:90)+100</f>
        <v>100</v>
      </c>
      <c r="K27" s="538">
        <v>3</v>
      </c>
      <c r="L27" s="2492"/>
      <c r="M27" s="2487"/>
      <c r="N27" s="2487"/>
      <c r="O27" s="2487"/>
      <c r="P27" s="3378"/>
      <c r="Q27" s="1263" t="str">
        <f t="shared" ref="Q27:Q47" si="11">B27</f>
        <v>楼层</v>
      </c>
      <c r="R27" s="667" t="s">
        <v>14</v>
      </c>
      <c r="S27" s="668">
        <f>F27</f>
        <v>103</v>
      </c>
      <c r="T27" s="667" t="s">
        <v>14</v>
      </c>
      <c r="U27" s="668">
        <f>H27</f>
        <v>100</v>
      </c>
      <c r="V27" s="667" t="s">
        <v>14</v>
      </c>
      <c r="W27" s="668">
        <f>J27</f>
        <v>100</v>
      </c>
      <c r="X27" s="1265"/>
      <c r="Y27" s="3380"/>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78"/>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8"/>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8"/>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8"/>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t="s">
        <v>3424</v>
      </c>
      <c r="D33" s="405">
        <v>100</v>
      </c>
      <c r="E33" s="1764" t="s">
        <v>3424</v>
      </c>
      <c r="F33" s="400">
        <f>SUMIF(101:101,E33,102:102)-SUMIF(101:101,C33,102:102)+100</f>
        <v>100</v>
      </c>
      <c r="G33" s="1764" t="s">
        <v>3424</v>
      </c>
      <c r="H33" s="374">
        <f>SUMIF(101:101,G33,102:102)-SUMIF(101:101,C33,102:102)+100</f>
        <v>100</v>
      </c>
      <c r="I33" s="1764" t="s">
        <v>3424</v>
      </c>
      <c r="J33" s="405">
        <f>SUMIF(101:101,I33,102:102)-SUMIF(101:101,C33,102:102)+100</f>
        <v>100</v>
      </c>
      <c r="K33" s="538">
        <v>2</v>
      </c>
      <c r="L33" s="2492"/>
      <c r="M33" s="2487"/>
      <c r="N33" s="2487"/>
      <c r="O33" s="2487"/>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378.45</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91"/>
      <c r="M34" s="2493"/>
      <c r="N34" s="2493"/>
      <c r="O34" s="2493"/>
      <c r="P34" s="3382"/>
      <c r="Q34" s="531" t="str">
        <f t="shared" si="11"/>
        <v>项目建筑规模</v>
      </c>
      <c r="R34" s="669" t="s">
        <v>14</v>
      </c>
      <c r="S34" s="670" t="e">
        <f t="shared" si="12"/>
        <v>#REF!</v>
      </c>
      <c r="T34" s="669" t="s">
        <v>14</v>
      </c>
      <c r="U34" s="670" t="e">
        <f t="shared" si="13"/>
        <v>#REF!</v>
      </c>
      <c r="V34" s="669" t="s">
        <v>14</v>
      </c>
      <c r="W34" s="670" t="e">
        <f t="shared" si="14"/>
        <v>#REF!</v>
      </c>
      <c r="X34" s="671"/>
      <c r="Y34" s="3384"/>
      <c r="Z34" s="672" t="str">
        <f t="shared" si="15"/>
        <v>项目建筑规模</v>
      </c>
      <c r="AA34" s="1264" t="e">
        <f t="shared" si="3"/>
        <v>#REF!</v>
      </c>
      <c r="AB34" s="1264" t="e">
        <f t="shared" si="4"/>
        <v>#REF!</v>
      </c>
      <c r="AC34" s="1812" t="e">
        <f t="shared" si="5"/>
        <v>#REF!</v>
      </c>
    </row>
    <row r="35" spans="1:29" ht="15">
      <c r="A35" s="409"/>
      <c r="B35" s="364" t="s">
        <v>1698</v>
      </c>
      <c r="C35" s="399" t="s">
        <v>3426</v>
      </c>
      <c r="D35" s="374">
        <v>100</v>
      </c>
      <c r="E35" s="399" t="s">
        <v>3426</v>
      </c>
      <c r="F35" s="400">
        <f>SUMIF(106:106,E35,107:107)-SUMIF(106:106,C35,107:107)+100</f>
        <v>100</v>
      </c>
      <c r="G35" s="399" t="s">
        <v>3426</v>
      </c>
      <c r="H35" s="374">
        <f>SUMIF(106:106,G35,107:107)-SUMIF(106:106,C35,107:107)+100</f>
        <v>100</v>
      </c>
      <c r="I35" s="399" t="s">
        <v>3426</v>
      </c>
      <c r="J35" s="374">
        <f>SUMIF(106:106,I35,107:107)-SUMIF(106:106,C35,107:107)+100</f>
        <v>100</v>
      </c>
      <c r="K35" s="538">
        <v>2</v>
      </c>
      <c r="L35" s="2492"/>
      <c r="M35" s="2487"/>
      <c r="N35" s="2487"/>
      <c r="O35" s="2487"/>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t="s">
        <v>3425</v>
      </c>
      <c r="D36" s="374">
        <v>100</v>
      </c>
      <c r="E36" s="399" t="s">
        <v>3425</v>
      </c>
      <c r="F36" s="400">
        <f>SUMIF(108:108,E36,109:109)-SUMIF(108:108,C36,109:109)+100</f>
        <v>100</v>
      </c>
      <c r="G36" s="399" t="s">
        <v>3425</v>
      </c>
      <c r="H36" s="374">
        <f>SUMIF(108:108,G36,109:109)-SUMIF(108:108,C36,109:109)+100</f>
        <v>100</v>
      </c>
      <c r="I36" s="399" t="s">
        <v>3425</v>
      </c>
      <c r="J36" s="374">
        <f>SUMIF(108:108,I36,109:109)-SUMIF(108:108,C36,109:109)+100</f>
        <v>100</v>
      </c>
      <c r="K36" s="538">
        <v>2</v>
      </c>
      <c r="L36" s="2492"/>
      <c r="M36" s="2487"/>
      <c r="N36" s="2487"/>
      <c r="O36" s="2487"/>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82"/>
      <c r="Q37" s="1263" t="str">
        <f t="shared" si="11"/>
        <v>成新度</v>
      </c>
      <c r="R37" s="667" t="s">
        <v>14</v>
      </c>
      <c r="S37" s="668">
        <f t="shared" si="12"/>
        <v>100</v>
      </c>
      <c r="T37" s="667" t="s">
        <v>14</v>
      </c>
      <c r="U37" s="668">
        <f t="shared" si="13"/>
        <v>100</v>
      </c>
      <c r="V37" s="667" t="s">
        <v>14</v>
      </c>
      <c r="W37" s="668">
        <f t="shared" si="14"/>
        <v>100</v>
      </c>
      <c r="X37" s="1265"/>
      <c r="Y37" s="3384"/>
      <c r="Z37" s="1264" t="str">
        <f t="shared" si="15"/>
        <v>成新度</v>
      </c>
      <c r="AA37" s="1264">
        <f t="shared" si="3"/>
        <v>1</v>
      </c>
      <c r="AB37" s="1264">
        <f t="shared" si="4"/>
        <v>1</v>
      </c>
      <c r="AC37" s="1812">
        <f t="shared" si="5"/>
        <v>1</v>
      </c>
    </row>
    <row r="38" spans="1:29" s="102" customFormat="1" ht="15">
      <c r="A38" s="410"/>
      <c r="B38" s="364" t="s">
        <v>1818</v>
      </c>
      <c r="C38" s="399" t="s">
        <v>3428</v>
      </c>
      <c r="D38" s="119">
        <v>100</v>
      </c>
      <c r="E38" s="399" t="s">
        <v>3428</v>
      </c>
      <c r="F38" s="400">
        <f>SUMIF(113:113,E38,114:114)-SUMIF(113:113,C38,114:114)+100</f>
        <v>100</v>
      </c>
      <c r="G38" s="399" t="s">
        <v>3428</v>
      </c>
      <c r="H38" s="374">
        <f>SUMIF(113:113,G38,114:114)-SUMIF(113:113,C38,114:114)+100</f>
        <v>100</v>
      </c>
      <c r="I38" s="399" t="s">
        <v>3428</v>
      </c>
      <c r="J38" s="374">
        <f>SUMIF(113:113,I38,114:114)-SUMIF(113:113,C38,114:114)+100</f>
        <v>100</v>
      </c>
      <c r="K38" s="538">
        <v>2</v>
      </c>
      <c r="L38" s="2488"/>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t="s">
        <v>3429</v>
      </c>
      <c r="D39" s="374">
        <v>100</v>
      </c>
      <c r="E39" s="399" t="s">
        <v>3429</v>
      </c>
      <c r="F39" s="400">
        <f>SUMIF(115:115,E39,116:116)-SUMIF(115:115,C39,116:116)+100</f>
        <v>100</v>
      </c>
      <c r="G39" s="399" t="s">
        <v>3429</v>
      </c>
      <c r="H39" s="374">
        <f>SUMIF(115:115,G39,116:116)-SUMIF(115:115,C39,116:116)+100</f>
        <v>100</v>
      </c>
      <c r="I39" s="399" t="s">
        <v>3429</v>
      </c>
      <c r="J39" s="374">
        <f>SUMIF(115:115,I39,116:116)-SUMIF(115:115,C39,116:116)+100</f>
        <v>100</v>
      </c>
      <c r="K39" s="538">
        <v>2</v>
      </c>
      <c r="L39" s="2492"/>
      <c r="M39" s="2487"/>
      <c r="N39" s="2487"/>
      <c r="O39" s="2487"/>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t="s">
        <v>3430</v>
      </c>
      <c r="D40" s="374">
        <v>100</v>
      </c>
      <c r="E40" s="399" t="s">
        <v>3430</v>
      </c>
      <c r="F40" s="400">
        <f>SUMIF(117:117,E40,118:118)-SUMIF(117:117,C40,118:118)+100</f>
        <v>100</v>
      </c>
      <c r="G40" s="399" t="s">
        <v>3430</v>
      </c>
      <c r="H40" s="374">
        <f>SUMIF(117:117,G40,118:118)-SUMIF(117:117,C40,118:118)+100</f>
        <v>100</v>
      </c>
      <c r="I40" s="399" t="s">
        <v>3430</v>
      </c>
      <c r="J40" s="374">
        <f>SUMIF(117:117,I40,118:118)-SUMIF(117:117,C40,118:118)+100</f>
        <v>100</v>
      </c>
      <c r="K40" s="538">
        <v>2</v>
      </c>
      <c r="L40" s="2492"/>
      <c r="M40" s="2487"/>
      <c r="N40" s="2487"/>
      <c r="O40" s="2487"/>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t="s">
        <v>3431</v>
      </c>
      <c r="D41" s="374">
        <v>100</v>
      </c>
      <c r="E41" s="542" t="s">
        <v>3431</v>
      </c>
      <c r="F41" s="400">
        <f>SUMIF(119:119,E41,120:120)-SUMIF(119:119,C41,120:120)+100</f>
        <v>100</v>
      </c>
      <c r="G41" s="542" t="s">
        <v>3431</v>
      </c>
      <c r="H41" s="374">
        <f>SUMIF(119:119,G41,120:120)-SUMIF(119:119,C41,120:120)+100</f>
        <v>100</v>
      </c>
      <c r="I41" s="542" t="s">
        <v>3431</v>
      </c>
      <c r="J41" s="374">
        <f>SUMIF(119:119,I41,120:120)-SUMIF(119:119,C41,120:120)+100</f>
        <v>100</v>
      </c>
      <c r="K41" s="538">
        <v>2</v>
      </c>
      <c r="L41" s="2492"/>
      <c r="M41" s="2487"/>
      <c r="N41" s="2487"/>
      <c r="O41" s="2487"/>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t="s">
        <v>3425</v>
      </c>
      <c r="D43" s="374">
        <v>100</v>
      </c>
      <c r="E43" s="399" t="s">
        <v>3432</v>
      </c>
      <c r="F43" s="400">
        <f>SUMIF(123:123,E43,124:124)-SUMIF(123:123,C43,124:124)+100</f>
        <v>99</v>
      </c>
      <c r="G43" s="399" t="s">
        <v>3432</v>
      </c>
      <c r="H43" s="374">
        <f>SUMIF(123:123,G43,124:124)-SUMIF(123:123,C43,124:124)+100</f>
        <v>99</v>
      </c>
      <c r="I43" s="399" t="s">
        <v>3432</v>
      </c>
      <c r="J43" s="374">
        <f>SUMIF(123:123,I43,124:124)-SUMIF(123:123,C43,124:124)+100</f>
        <v>99</v>
      </c>
      <c r="K43" s="538">
        <v>1</v>
      </c>
      <c r="L43" s="2492"/>
      <c r="M43" s="2487"/>
      <c r="N43" s="2487"/>
      <c r="O43" s="2487"/>
      <c r="P43" s="3382"/>
      <c r="Q43" s="1263" t="str">
        <f t="shared" si="11"/>
        <v>内部装修</v>
      </c>
      <c r="R43" s="667" t="s">
        <v>14</v>
      </c>
      <c r="S43" s="668">
        <f t="shared" si="12"/>
        <v>99</v>
      </c>
      <c r="T43" s="667" t="s">
        <v>14</v>
      </c>
      <c r="U43" s="668">
        <f t="shared" si="13"/>
        <v>99</v>
      </c>
      <c r="V43" s="667" t="s">
        <v>14</v>
      </c>
      <c r="W43" s="668">
        <f t="shared" si="14"/>
        <v>99</v>
      </c>
      <c r="X43" s="1265"/>
      <c r="Y43" s="3384"/>
      <c r="Z43" s="1264" t="str">
        <f t="shared" si="15"/>
        <v>内部装修</v>
      </c>
      <c r="AA43" s="1264">
        <f t="shared" si="3"/>
        <v>1.0101010101010102</v>
      </c>
      <c r="AB43" s="1264">
        <f t="shared" si="4"/>
        <v>1.0101010101010102</v>
      </c>
      <c r="AC43" s="1812">
        <f t="shared" si="5"/>
        <v>1.0101010101010102</v>
      </c>
    </row>
    <row r="44" spans="1:29" ht="15">
      <c r="A44" s="409"/>
      <c r="B44" s="364" t="s">
        <v>1707</v>
      </c>
      <c r="C44" s="399" t="s">
        <v>3422</v>
      </c>
      <c r="D44" s="374">
        <v>100</v>
      </c>
      <c r="E44" s="399" t="s">
        <v>3422</v>
      </c>
      <c r="F44" s="400">
        <f>SUMIF(125:125,E44,126:126)-SUMIF(125:125,C44,126:126)+100</f>
        <v>100</v>
      </c>
      <c r="G44" s="399" t="s">
        <v>3422</v>
      </c>
      <c r="H44" s="374">
        <f>SUMIF(125:125,G44,126:126)-SUMIF(125:125,C44,126:126)+100</f>
        <v>100</v>
      </c>
      <c r="I44" s="399" t="s">
        <v>3422</v>
      </c>
      <c r="J44" s="374">
        <f>SUMIF(125:125,I44,126:126)-SUMIF(125:125,C44,126:126)+100</f>
        <v>100</v>
      </c>
      <c r="K44" s="538">
        <v>2</v>
      </c>
      <c r="L44" s="2492"/>
      <c r="M44" s="2487"/>
      <c r="N44" s="2487"/>
      <c r="O44" s="2487"/>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4"/>
      <c r="M48" s="2487"/>
      <c r="N48" s="2487"/>
      <c r="O48" s="2487"/>
      <c r="P48" s="3357" t="str">
        <f>A48</f>
        <v>成交单价（元/平方米）</v>
      </c>
      <c r="Q48" s="3386"/>
      <c r="R48" s="3374" t="e">
        <f>E48</f>
        <v>#REF!</v>
      </c>
      <c r="S48" s="3374"/>
      <c r="T48" s="3374" t="e">
        <f>G48</f>
        <v>#REF!</v>
      </c>
      <c r="U48" s="3374"/>
      <c r="V48" s="3374" t="e">
        <f>I48</f>
        <v>#REF!</v>
      </c>
      <c r="W48" s="3374"/>
      <c r="X48" s="385"/>
      <c r="Y48" s="673"/>
      <c r="Z48" s="385"/>
      <c r="AA48" s="385"/>
      <c r="AB48" s="385"/>
      <c r="AC48" s="555"/>
    </row>
    <row r="49" spans="1:29" ht="15.75" thickBot="1">
      <c r="A49" s="423" t="s">
        <v>1793</v>
      </c>
      <c r="B49" s="424"/>
      <c r="C49" s="1082" t="e">
        <f>R50</f>
        <v>#REF!</v>
      </c>
      <c r="D49" s="2141" t="s">
        <v>2138</v>
      </c>
      <c r="E49" s="1083" t="e">
        <f>R49</f>
        <v>#REF!</v>
      </c>
      <c r="F49" s="2142"/>
      <c r="G49" s="1082" t="e">
        <f>T49</f>
        <v>#REF!</v>
      </c>
      <c r="H49" s="2142"/>
      <c r="I49" s="1083" t="e">
        <f>V49</f>
        <v>#REF!</v>
      </c>
      <c r="J49" s="2142"/>
      <c r="K49" s="2144">
        <f>F49+H49+J49</f>
        <v>0</v>
      </c>
      <c r="L49" s="2494"/>
      <c r="M49" s="2487"/>
      <c r="N49" s="2487"/>
      <c r="O49" s="2487"/>
      <c r="P49" s="3357" t="str">
        <f>A49</f>
        <v>比较价值（元/平方米）</v>
      </c>
      <c r="Q49" s="3386"/>
      <c r="R49" s="3374" t="e">
        <f>IF(F1="售价",ROUND(PRODUCT(R48,AA7:AA47),0),ROUND(PRODUCT(R48,AA7:AA47),1))</f>
        <v>#REF!</v>
      </c>
      <c r="S49" s="3374"/>
      <c r="T49" s="3374" t="e">
        <f>IF(F1="售价",ROUND(PRODUCT(T48,AB7:AB47),0),ROUND(PRODUCT(T48,AB7:AB47),1))</f>
        <v>#REF!</v>
      </c>
      <c r="U49" s="3374"/>
      <c r="V49" s="3374" t="e">
        <f>IF(F1="售价",ROUND(PRODUCT(V48,AC7:AC47),0),ROUND(PRODUCT(V48,AC7:AC47),1))</f>
        <v>#REF!</v>
      </c>
      <c r="W49" s="3374"/>
      <c r="X49" s="385"/>
      <c r="Y49" s="385"/>
      <c r="Z49" s="385"/>
      <c r="AA49" s="385"/>
      <c r="AB49" s="385"/>
      <c r="AC49" s="555"/>
    </row>
    <row r="50" spans="1:29" ht="15.75" thickBot="1">
      <c r="A50" s="427" t="s">
        <v>1794</v>
      </c>
      <c r="B50" s="428"/>
      <c r="C50" s="351" t="e">
        <f>R50</f>
        <v>#REF!</v>
      </c>
      <c r="D50" s="351"/>
      <c r="E50" s="351"/>
      <c r="F50" s="351"/>
      <c r="G50" s="351"/>
      <c r="H50" s="351"/>
      <c r="I50" s="351"/>
      <c r="J50" s="429"/>
      <c r="K50" s="675"/>
      <c r="L50" s="2494"/>
      <c r="M50" s="2487"/>
      <c r="N50" s="2487"/>
      <c r="O50" s="2487"/>
      <c r="P50" s="3387" t="str">
        <f>A50</f>
        <v>估价对象XX用房的比较价值（楼面单价，元/平方米）</v>
      </c>
      <c r="Q50" s="3388"/>
      <c r="R50" s="3389" t="e">
        <f>IF(F1="售价",ROUND(IF(D49="简单平均",AVERAGE(R49:V49),R49*F49+T49*H49+V49*J49),0),ROUND(IF(D49="简单平均",AVERAGE(R49:V49),R49*F49+T49*H49+V49*J49),1))</f>
        <v>#REF!</v>
      </c>
      <c r="S50" s="3389"/>
      <c r="T50" s="3389"/>
      <c r="U50" s="3389"/>
      <c r="V50" s="3389"/>
      <c r="W50" s="338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3427</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3380</v>
      </c>
      <c r="D1" s="1271" t="s">
        <v>43</v>
      </c>
      <c r="E1" s="1272" t="s">
        <v>678</v>
      </c>
      <c r="F1" s="999">
        <f ca="1">J53</f>
        <v>31.46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1499.3420000000001</v>
      </c>
      <c r="C2" s="1289" t="s">
        <v>879</v>
      </c>
      <c r="D2" s="1375">
        <f ca="1">C40+J29+L46</f>
        <v>14993420</v>
      </c>
      <c r="E2" s="1295" t="s">
        <v>880</v>
      </c>
      <c r="F2" s="1296"/>
      <c r="G2" s="2478"/>
      <c r="H2" s="2468"/>
      <c r="I2" s="2468"/>
      <c r="J2" s="2468"/>
      <c r="K2" s="2469"/>
      <c r="L2" s="2468"/>
      <c r="M2" s="2468"/>
    </row>
    <row r="3" spans="1:37" ht="18" customHeight="1" thickBot="1">
      <c r="A3" s="1297" t="s">
        <v>881</v>
      </c>
      <c r="B3" s="1298">
        <f ca="1">IF(ISERROR(D2/F43),0,ROUND(D2/F43,0))</f>
        <v>20820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813003</v>
      </c>
      <c r="D5" s="1273" t="s">
        <v>889</v>
      </c>
      <c r="E5" s="1008"/>
      <c r="F5" s="1009"/>
      <c r="G5" s="1292"/>
      <c r="H5" s="291">
        <v>1</v>
      </c>
      <c r="I5" s="292" t="s">
        <v>888</v>
      </c>
      <c r="J5" s="1007">
        <f ca="1">J6+J10+J12</f>
        <v>0</v>
      </c>
      <c r="K5" s="1273" t="s">
        <v>889</v>
      </c>
      <c r="L5" s="1008"/>
      <c r="M5" s="1009"/>
    </row>
    <row r="6" spans="1:37" ht="18" customHeight="1">
      <c r="A6" s="1006" t="s">
        <v>398</v>
      </c>
      <c r="B6" s="3390" t="s">
        <v>694</v>
      </c>
      <c r="C6" s="1011">
        <f ca="1">ROUND(F6*F8*F7*(1-F9),0)</f>
        <v>811988</v>
      </c>
      <c r="D6" s="147" t="s">
        <v>2106</v>
      </c>
      <c r="E6" s="294" t="s">
        <v>696</v>
      </c>
      <c r="F6" s="295">
        <f ca="1">INDIRECT("'数据-取费表'!u"&amp;$G$1)</f>
        <v>3.4324427533917485</v>
      </c>
      <c r="G6" s="1292"/>
      <c r="H6" s="1006" t="s">
        <v>398</v>
      </c>
      <c r="I6" s="3390" t="s">
        <v>694</v>
      </c>
      <c r="J6" s="293">
        <f ca="1">ROUND(M6*M8*M7*(1-M9),0)</f>
        <v>0</v>
      </c>
      <c r="K6" s="1284"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720.13</v>
      </c>
      <c r="G7" s="1292"/>
      <c r="H7" s="296"/>
      <c r="I7" s="3391"/>
      <c r="J7" s="298"/>
      <c r="K7" s="299"/>
      <c r="L7" s="294" t="s">
        <v>697</v>
      </c>
      <c r="M7" s="295">
        <f ca="1">F7</f>
        <v>720.13</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1015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2733985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2520455</v>
      </c>
      <c r="D14" s="1257" t="s">
        <v>708</v>
      </c>
      <c r="E14" s="1255"/>
      <c r="F14" s="311"/>
      <c r="G14" s="1292"/>
      <c r="H14" s="928" t="s">
        <v>398</v>
      </c>
      <c r="I14" s="294" t="s">
        <v>709</v>
      </c>
      <c r="J14" s="21">
        <f ca="1">C29</f>
        <v>3905693</v>
      </c>
      <c r="K14" s="12"/>
      <c r="L14" s="759"/>
      <c r="M14" s="760"/>
    </row>
    <row r="15" spans="1:37" s="1304" customFormat="1" ht="18" customHeight="1" thickBot="1">
      <c r="A15" s="928" t="s">
        <v>399</v>
      </c>
      <c r="B15" s="294" t="s">
        <v>710</v>
      </c>
      <c r="C15" s="21">
        <f ca="1">ROUND(C14*F15,0)</f>
        <v>75614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39057</v>
      </c>
      <c r="K16" s="1024" t="s">
        <v>715</v>
      </c>
      <c r="L16" s="1025"/>
      <c r="M16" s="1009"/>
    </row>
    <row r="17" spans="1:37" s="1304" customFormat="1" ht="18" customHeight="1">
      <c r="A17" s="928" t="s">
        <v>681</v>
      </c>
      <c r="B17" s="294" t="s">
        <v>716</v>
      </c>
      <c r="C17" s="21">
        <f ca="1">ROUND(F17*(F43+INDIRECT("'数据-取费表'!S"&amp;$G$1)),0)</f>
        <v>144026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37807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2777902</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83337</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39057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118741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-39057</v>
      </c>
      <c r="K25" s="1032" t="s">
        <v>753</v>
      </c>
      <c r="L25" s="1033"/>
      <c r="M25" s="1034"/>
    </row>
    <row r="26" spans="1:37" ht="18" customHeight="1">
      <c r="A26" s="928" t="s">
        <v>397</v>
      </c>
      <c r="B26" s="294" t="s">
        <v>754</v>
      </c>
      <c r="C26" s="21">
        <f ca="1">ROUND((C19+C20)*F26,0)</f>
        <v>572248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3905693</v>
      </c>
      <c r="D29" s="1029"/>
      <c r="E29" s="1027"/>
      <c r="F29" s="1030"/>
      <c r="G29" s="1303"/>
      <c r="H29" s="325" t="s">
        <v>396</v>
      </c>
      <c r="I29" s="326" t="s">
        <v>768</v>
      </c>
      <c r="J29" s="327">
        <f ca="1">ROUND(J26/(1+F40)^F41,0)</f>
        <v>0</v>
      </c>
      <c r="K29" s="328" t="s">
        <v>769</v>
      </c>
      <c r="L29" s="329"/>
      <c r="M29" s="330">
        <f ca="1">INDIRECT("'数据-取费表'!k"&amp;$G$1)</f>
        <v>720.13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105421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54133</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39057</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4101</v>
      </c>
      <c r="D37" s="1256" t="s">
        <v>743</v>
      </c>
      <c r="E37" s="294" t="s">
        <v>744</v>
      </c>
      <c r="F37" s="321">
        <f ca="1">INDIRECT("'数据-取费表'!Al"&amp;$G$1)</f>
        <v>1.5E-3</v>
      </c>
      <c r="G37" s="1292"/>
      <c r="H37" s="2473"/>
      <c r="I37" s="1305"/>
      <c r="J37" s="1306"/>
      <c r="K37" s="2330"/>
      <c r="L37" s="2473"/>
      <c r="M37" s="2473"/>
    </row>
    <row r="38" spans="1:18" ht="18" customHeight="1" thickBot="1">
      <c r="A38" s="1026" t="s">
        <v>684</v>
      </c>
      <c r="B38" s="1027" t="s">
        <v>728</v>
      </c>
      <c r="C38" s="1028">
        <f ca="1">ROUND(C5*F38,0)</f>
        <v>8130</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707582</v>
      </c>
      <c r="D39" s="1032" t="s">
        <v>773</v>
      </c>
      <c r="E39" s="1033"/>
      <c r="F39" s="1034"/>
      <c r="G39" s="1292"/>
      <c r="H39" s="2473"/>
      <c r="I39" s="1305"/>
      <c r="J39" s="1306"/>
      <c r="K39" s="2471"/>
      <c r="L39" s="2473"/>
      <c r="M39" s="2473"/>
    </row>
    <row r="40" spans="1:18" ht="18" customHeight="1">
      <c r="A40" s="291" t="s">
        <v>395</v>
      </c>
      <c r="B40" s="292" t="s">
        <v>774</v>
      </c>
      <c r="C40" s="293">
        <f ca="1">ROUND(C39*(1-((1+F42)/(1+F40))^F41)/(F40-F42),0)</f>
        <v>14993420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31.46</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20820</v>
      </c>
      <c r="D43" s="328" t="s">
        <v>777</v>
      </c>
      <c r="E43" s="329" t="s">
        <v>778</v>
      </c>
      <c r="F43" s="330">
        <f ca="1">INDIRECT("'数据-取费表'!k"&amp;$G$1)</f>
        <v>720.13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-1563.2506000000001</v>
      </c>
      <c r="D45" s="3130" t="s">
        <v>3354</v>
      </c>
      <c r="E45" s="1307"/>
      <c r="F45" s="1307"/>
      <c r="O45" s="1310" t="s">
        <v>808</v>
      </c>
      <c r="P45" s="1366"/>
      <c r="Q45" s="1366"/>
      <c r="R45" s="1366"/>
    </row>
    <row r="46" spans="1:18" s="1292" customFormat="1" ht="13.5" thickBot="1">
      <c r="A46" s="1311" t="s">
        <v>809</v>
      </c>
      <c r="C46" s="1312">
        <f ca="1">ROUND(C45,0)</f>
        <v>-1563</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3448</v>
      </c>
      <c r="K47" s="1323" t="s">
        <v>816</v>
      </c>
      <c r="L47" s="1324">
        <f ca="1">INDIRECT("'数据-取费表'!d"&amp;$G$1)</f>
        <v>50</v>
      </c>
      <c r="M47" s="1288" t="str">
        <f>IF(ISNUMBER(FIND("住宅",C1)),"住宅","非住宅")</f>
        <v>非住宅</v>
      </c>
      <c r="O47" s="1325" t="s">
        <v>403</v>
      </c>
      <c r="P47" s="1326" t="s">
        <v>817</v>
      </c>
      <c r="Q47" s="1327">
        <f ca="1">C40+J29</f>
        <v>14993420</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31.46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1992</v>
      </c>
      <c r="K49" s="1330" t="s">
        <v>824</v>
      </c>
      <c r="L49" s="1333"/>
      <c r="O49" s="1334" t="s">
        <v>405</v>
      </c>
      <c r="P49" s="1326" t="s">
        <v>825</v>
      </c>
      <c r="Q49" s="1327">
        <f ca="1">C29</f>
        <v>3905693</v>
      </c>
      <c r="R49" s="1327" t="s">
        <v>818</v>
      </c>
    </row>
    <row r="50" spans="1:18" s="1292" customFormat="1" ht="13.5" thickBot="1">
      <c r="A50" s="922"/>
      <c r="B50" s="925"/>
      <c r="C50" s="926"/>
      <c r="D50" s="899"/>
      <c r="E50" s="993" t="s">
        <v>697</v>
      </c>
      <c r="F50" s="994">
        <f ca="1">F7</f>
        <v>720.13</v>
      </c>
      <c r="H50" s="682"/>
      <c r="I50" s="1328" t="s">
        <v>826</v>
      </c>
      <c r="J50" s="1335">
        <f>SUMPRODUCT((I63:I65=J47)*(J62:L62=J48)*(J63:L65))</f>
        <v>80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8882019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31.46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31.46</v>
      </c>
      <c r="K53" s="3393" t="s">
        <v>837</v>
      </c>
      <c r="L53" s="3394"/>
      <c r="O53" s="1325" t="s">
        <v>409</v>
      </c>
      <c r="P53" s="1326" t="s">
        <v>838</v>
      </c>
      <c r="Q53" s="1327">
        <f ca="1">Q47+Q48</f>
        <v>14993420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2733985</v>
      </c>
      <c r="D56" s="1352"/>
      <c r="E56" s="1353"/>
      <c r="F56" s="1345"/>
      <c r="I56" s="1354" t="s">
        <v>842</v>
      </c>
      <c r="J56" s="1355" t="s">
        <v>3378</v>
      </c>
      <c r="K56" s="1328" t="s">
        <v>843</v>
      </c>
      <c r="L56" s="1331" t="str">
        <f ca="1">IF(L48&lt;J51,"——",L48-J51)</f>
        <v>——</v>
      </c>
      <c r="O56" s="1325" t="s">
        <v>403</v>
      </c>
      <c r="P56" s="1326" t="s">
        <v>817</v>
      </c>
      <c r="Q56" s="1327">
        <f ca="1">C40+J29</f>
        <v>14993420</v>
      </c>
      <c r="R56" s="1327" t="s">
        <v>818</v>
      </c>
    </row>
    <row r="57" spans="1:18" s="1292" customFormat="1" ht="24.75" thickBot="1">
      <c r="A57" s="1356"/>
      <c r="B57" s="896" t="s">
        <v>767</v>
      </c>
      <c r="C57" s="230">
        <f ca="1">C29</f>
        <v>3905693</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43158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14993420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39057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4101</v>
      </c>
      <c r="D65" s="910" t="s">
        <v>743</v>
      </c>
      <c r="E65" s="896" t="s">
        <v>744</v>
      </c>
      <c r="F65" s="321">
        <f t="shared" ca="1" si="0"/>
        <v>1.5E-3</v>
      </c>
      <c r="I65" s="1367" t="s">
        <v>867</v>
      </c>
      <c r="J65" s="610">
        <v>40</v>
      </c>
      <c r="K65" s="610">
        <v>30</v>
      </c>
      <c r="L65" s="610">
        <v>50</v>
      </c>
      <c r="M65" s="1369">
        <v>0.02</v>
      </c>
      <c r="O65" s="1325" t="s">
        <v>403</v>
      </c>
      <c r="P65" s="1326" t="s">
        <v>868</v>
      </c>
      <c r="Q65" s="1327">
        <f ca="1">C40+J29</f>
        <v>14993420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-43158</v>
      </c>
      <c r="D67" s="909" t="s">
        <v>753</v>
      </c>
      <c r="E67" s="914"/>
      <c r="F67" s="915"/>
      <c r="O67" s="1334" t="s">
        <v>405</v>
      </c>
      <c r="P67" s="1326" t="s">
        <v>850</v>
      </c>
      <c r="Q67" s="1370">
        <f ca="1">L51</f>
        <v>8882019</v>
      </c>
      <c r="R67" s="1327" t="s">
        <v>870</v>
      </c>
    </row>
    <row r="68" spans="1:18" s="1292" customFormat="1" ht="16.5" thickBot="1">
      <c r="A68" s="893" t="s">
        <v>395</v>
      </c>
      <c r="B68" s="894" t="s">
        <v>774</v>
      </c>
      <c r="C68" s="293">
        <f ca="1">ROUND(C67*(1-((1+F70)/(1+F68))^F69)/(F68-F70),0)</f>
        <v>-639086</v>
      </c>
      <c r="D68" s="911" t="s">
        <v>758</v>
      </c>
      <c r="E68" s="896" t="s">
        <v>759</v>
      </c>
      <c r="F68" s="304">
        <f ca="1">F40</f>
        <v>5.5E-2</v>
      </c>
      <c r="O68" s="1334" t="s">
        <v>406</v>
      </c>
      <c r="P68" s="1371" t="s">
        <v>871</v>
      </c>
      <c r="Q68" s="1327">
        <f ca="1">ROUND(Q69-Q70*Q71,0)</f>
        <v>488863</v>
      </c>
      <c r="R68" s="1327" t="s">
        <v>414</v>
      </c>
    </row>
    <row r="69" spans="1:18" s="1292" customFormat="1" ht="13.5" thickBot="1">
      <c r="A69" s="897"/>
      <c r="B69" s="898"/>
      <c r="C69" s="298"/>
      <c r="D69" s="916" t="s">
        <v>762</v>
      </c>
      <c r="E69" s="896" t="s">
        <v>763</v>
      </c>
      <c r="F69" s="324">
        <f ca="1">F41</f>
        <v>31.46</v>
      </c>
      <c r="O69" s="1334" t="s">
        <v>411</v>
      </c>
      <c r="P69" s="1371" t="s">
        <v>872</v>
      </c>
      <c r="Q69" s="1327">
        <f ca="1">C39</f>
        <v>707582</v>
      </c>
      <c r="R69" s="1327" t="s">
        <v>818</v>
      </c>
    </row>
    <row r="70" spans="1:18" s="1292" customFormat="1" ht="13.5" thickBot="1">
      <c r="A70" s="900"/>
      <c r="B70" s="901"/>
      <c r="C70" s="302"/>
      <c r="D70" s="912"/>
      <c r="E70" s="896" t="s">
        <v>766</v>
      </c>
      <c r="F70" s="991"/>
      <c r="O70" s="1334" t="s">
        <v>412</v>
      </c>
      <c r="P70" s="1371" t="s">
        <v>873</v>
      </c>
      <c r="Q70" s="1327">
        <f ca="1">C13</f>
        <v>2733985</v>
      </c>
      <c r="R70" s="1327" t="s">
        <v>818</v>
      </c>
    </row>
    <row r="71" spans="1:18" s="1292" customFormat="1" ht="13.5" thickBot="1">
      <c r="A71" s="917" t="s">
        <v>396</v>
      </c>
      <c r="B71" s="918" t="s">
        <v>776</v>
      </c>
      <c r="C71" s="327">
        <f ca="1">ROUND(C68/F71,0)</f>
        <v>-887</v>
      </c>
      <c r="D71" s="919" t="s">
        <v>777</v>
      </c>
      <c r="E71" s="920" t="s">
        <v>778</v>
      </c>
      <c r="F71" s="330">
        <f ca="1">F43</f>
        <v>720.13</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218719</v>
      </c>
      <c r="D75" s="1292"/>
      <c r="E75" s="1292"/>
      <c r="F75" s="1292"/>
      <c r="K75" s="1309"/>
      <c r="L75" s="1292"/>
      <c r="O75" s="1325" t="s">
        <v>409</v>
      </c>
      <c r="P75" s="1326" t="s">
        <v>838</v>
      </c>
      <c r="Q75" s="1327">
        <f ca="1">Q65+Q66</f>
        <v>14993420</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0.69100000000000006</v>
      </c>
    </row>
    <row r="80" spans="1:18">
      <c r="B80" s="331" t="s">
        <v>800</v>
      </c>
      <c r="C80" s="266">
        <f ca="1">ROUND(C75/C39,3)</f>
        <v>0.309</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3" zoomScale="80" zoomScaleNormal="70" zoomScaleSheetLayoutView="80" workbookViewId="0">
      <selection activeCell="E34" sqref="E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3437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720.13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61" t="s">
        <v>1667</v>
      </c>
      <c r="D4" s="3362"/>
      <c r="E4" s="3363" t="s">
        <v>1668</v>
      </c>
      <c r="F4" s="3364"/>
      <c r="G4" s="3361" t="s">
        <v>1669</v>
      </c>
      <c r="H4" s="3362"/>
      <c r="I4" s="3361" t="s">
        <v>1670</v>
      </c>
      <c r="J4" s="3362"/>
      <c r="K4" s="537" t="s">
        <v>1671</v>
      </c>
      <c r="L4" s="2486"/>
      <c r="M4" s="2487"/>
      <c r="N4" s="2487"/>
      <c r="O4" s="2487"/>
      <c r="P4" s="3365" t="s">
        <v>1672</v>
      </c>
      <c r="Q4" s="3366"/>
      <c r="R4" s="3344" t="s">
        <v>1668</v>
      </c>
      <c r="S4" s="3345"/>
      <c r="T4" s="3344" t="s">
        <v>1669</v>
      </c>
      <c r="U4" s="3345"/>
      <c r="V4" s="3373" t="s">
        <v>1670</v>
      </c>
      <c r="W4" s="3373"/>
      <c r="X4" s="1809"/>
      <c r="Y4" s="3344" t="s">
        <v>1672</v>
      </c>
      <c r="Z4" s="3345"/>
      <c r="AA4" s="3339" t="s">
        <v>1668</v>
      </c>
      <c r="AB4" s="3339" t="s">
        <v>1669</v>
      </c>
      <c r="AC4" s="3358" t="s">
        <v>1670</v>
      </c>
    </row>
    <row r="5" spans="1:29" ht="15">
      <c r="A5" s="348"/>
      <c r="B5" s="349"/>
      <c r="C5" s="3350" t="s">
        <v>3421</v>
      </c>
      <c r="D5" s="3351"/>
      <c r="E5" s="3348" t="str">
        <f>C5</f>
        <v>富尔大厦</v>
      </c>
      <c r="F5" s="3349"/>
      <c r="G5" s="3354" t="str">
        <f>C5</f>
        <v>富尔大厦</v>
      </c>
      <c r="H5" s="3351"/>
      <c r="I5" s="3354" t="str">
        <f>C5</f>
        <v>富尔大厦</v>
      </c>
      <c r="J5" s="3351"/>
      <c r="K5" s="537"/>
      <c r="L5" s="2486"/>
      <c r="M5" s="2487"/>
      <c r="N5" s="2487"/>
      <c r="O5" s="2487"/>
      <c r="P5" s="3367"/>
      <c r="Q5" s="3368"/>
      <c r="R5" s="3346"/>
      <c r="S5" s="3347"/>
      <c r="T5" s="3346"/>
      <c r="U5" s="3347"/>
      <c r="V5" s="3374"/>
      <c r="W5" s="3374"/>
      <c r="X5" s="1265"/>
      <c r="Y5" s="3346"/>
      <c r="Z5" s="3347"/>
      <c r="AA5" s="3340"/>
      <c r="AB5" s="3340"/>
      <c r="AC5" s="3359"/>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369"/>
      <c r="Q6" s="3370"/>
      <c r="R6" s="3346"/>
      <c r="S6" s="3347"/>
      <c r="T6" s="3371"/>
      <c r="U6" s="3372"/>
      <c r="V6" s="3374"/>
      <c r="W6" s="3374"/>
      <c r="X6" s="1265"/>
      <c r="Y6" s="3371"/>
      <c r="Z6" s="3372"/>
      <c r="AA6" s="3341"/>
      <c r="AB6" s="3341"/>
      <c r="AC6" s="3360"/>
    </row>
    <row r="7" spans="1:29" s="102" customFormat="1" ht="15.75" thickBot="1">
      <c r="A7" s="352" t="s">
        <v>1679</v>
      </c>
      <c r="B7" s="353"/>
      <c r="C7" s="354">
        <f>'数据-取费表'!B2</f>
        <v>45005</v>
      </c>
      <c r="D7" s="355">
        <v>100</v>
      </c>
      <c r="E7" s="356">
        <f>C7</f>
        <v>45005</v>
      </c>
      <c r="F7" s="357">
        <f>SUMIF(59:59,YEAR(E7)&amp;"-"&amp;MONTH(E7),60:60)</f>
        <v>100</v>
      </c>
      <c r="G7" s="356">
        <f>C7</f>
        <v>45005</v>
      </c>
      <c r="H7" s="355">
        <f>SUMIF(59:59,YEAR(G7)&amp;"-"&amp;MONTH(G7),60:60)</f>
        <v>100</v>
      </c>
      <c r="I7" s="356">
        <f>C7</f>
        <v>45005</v>
      </c>
      <c r="J7" s="355">
        <f>SUMIF(59:59,YEAR(I7)&amp;"-"&amp;MONTH(I7),60:60)</f>
        <v>100</v>
      </c>
      <c r="K7" s="38"/>
      <c r="L7" s="2488"/>
      <c r="M7" s="2439"/>
      <c r="N7" s="2439"/>
      <c r="O7" s="2439"/>
      <c r="P7" s="3375" t="s">
        <v>1680</v>
      </c>
      <c r="Q7" s="3376"/>
      <c r="R7" s="664" t="s">
        <v>14</v>
      </c>
      <c r="S7" s="665">
        <f t="shared" ref="S7:S15" si="0">F7</f>
        <v>100</v>
      </c>
      <c r="T7" s="664" t="s">
        <v>14</v>
      </c>
      <c r="U7" s="665">
        <f t="shared" ref="U7:U15" si="1">H7</f>
        <v>100</v>
      </c>
      <c r="V7" s="664" t="s">
        <v>14</v>
      </c>
      <c r="W7" s="665">
        <f t="shared" ref="W7:W15" si="2">J7</f>
        <v>100</v>
      </c>
      <c r="X7" s="666"/>
      <c r="Y7" s="3342" t="s">
        <v>1680</v>
      </c>
      <c r="Z7" s="3343"/>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5" t="s">
        <v>1683</v>
      </c>
      <c r="Q8" s="3343"/>
      <c r="R8" s="664" t="s">
        <v>14</v>
      </c>
      <c r="S8" s="665">
        <f t="shared" si="0"/>
        <v>100</v>
      </c>
      <c r="T8" s="664" t="s">
        <v>14</v>
      </c>
      <c r="U8" s="665">
        <f t="shared" si="1"/>
        <v>100</v>
      </c>
      <c r="V8" s="664" t="s">
        <v>14</v>
      </c>
      <c r="W8" s="665">
        <f t="shared" si="2"/>
        <v>100</v>
      </c>
      <c r="X8" s="666"/>
      <c r="Y8" s="3342" t="s">
        <v>1683</v>
      </c>
      <c r="Z8" s="3343"/>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7"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57"/>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7"/>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7"/>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7"/>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7"/>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77"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78"/>
      <c r="Q16" s="1263"/>
      <c r="R16" s="667"/>
      <c r="S16" s="668"/>
      <c r="T16" s="667"/>
      <c r="U16" s="668"/>
      <c r="V16" s="667"/>
      <c r="W16" s="668"/>
      <c r="X16" s="1265"/>
      <c r="Y16" s="3380"/>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8"/>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78"/>
      <c r="Q18" s="1263"/>
      <c r="R18" s="667"/>
      <c r="S18" s="668"/>
      <c r="T18" s="667"/>
      <c r="U18" s="668"/>
      <c r="V18" s="667"/>
      <c r="W18" s="668"/>
      <c r="X18" s="1265"/>
      <c r="Y18" s="3380"/>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8"/>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78"/>
      <c r="Q20" s="1263"/>
      <c r="R20" s="667"/>
      <c r="S20" s="668"/>
      <c r="T20" s="667"/>
      <c r="U20" s="668"/>
      <c r="V20" s="667"/>
      <c r="W20" s="668"/>
      <c r="X20" s="1265"/>
      <c r="Y20" s="3380"/>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78"/>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1814" t="s">
        <v>3423</v>
      </c>
      <c r="F22" s="387"/>
      <c r="G22" s="1814" t="s">
        <v>3423</v>
      </c>
      <c r="H22" s="387"/>
      <c r="I22" s="1814" t="s">
        <v>3423</v>
      </c>
      <c r="J22" s="387"/>
      <c r="K22" s="1064"/>
      <c r="L22" s="2492"/>
      <c r="M22" s="2487"/>
      <c r="N22" s="2487"/>
      <c r="O22" s="2487"/>
      <c r="P22" s="3378"/>
      <c r="Q22" s="1263"/>
      <c r="R22" s="667"/>
      <c r="S22" s="668"/>
      <c r="T22" s="667"/>
      <c r="U22" s="668"/>
      <c r="V22" s="667"/>
      <c r="W22" s="668"/>
      <c r="X22" s="1265"/>
      <c r="Y22" s="3380"/>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8"/>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t="s">
        <v>3422</v>
      </c>
      <c r="D24" s="387"/>
      <c r="E24" s="1758" t="s">
        <v>3422</v>
      </c>
      <c r="F24" s="387"/>
      <c r="G24" s="1758" t="s">
        <v>3422</v>
      </c>
      <c r="H24" s="387"/>
      <c r="I24" s="1758" t="s">
        <v>3422</v>
      </c>
      <c r="J24" s="387"/>
      <c r="K24" s="541"/>
      <c r="L24" s="2492"/>
      <c r="M24" s="2487"/>
      <c r="N24" s="2487"/>
      <c r="O24" s="2487"/>
      <c r="P24" s="3378"/>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8"/>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8"/>
      <c r="Q26" s="1263"/>
      <c r="R26" s="667"/>
      <c r="S26" s="668"/>
      <c r="T26" s="667"/>
      <c r="U26" s="668"/>
      <c r="V26" s="667"/>
      <c r="W26" s="668"/>
      <c r="X26" s="1265"/>
      <c r="Y26" s="3380"/>
      <c r="Z26" s="1264"/>
      <c r="AA26" s="1264">
        <v>1</v>
      </c>
      <c r="AB26" s="1264">
        <v>1</v>
      </c>
      <c r="AC26" s="1812">
        <v>1</v>
      </c>
    </row>
    <row r="27" spans="1:29" ht="15">
      <c r="A27" s="367"/>
      <c r="B27" s="401" t="s">
        <v>1783</v>
      </c>
      <c r="C27" s="558" t="s">
        <v>3420</v>
      </c>
      <c r="D27" s="374">
        <v>100</v>
      </c>
      <c r="E27" s="542" t="s">
        <v>3419</v>
      </c>
      <c r="F27" s="374">
        <f>SUMIF(89:89,E27,90:90)-SUMIF(89:89,C27,90:90)+100</f>
        <v>103</v>
      </c>
      <c r="G27" s="558" t="s">
        <v>3420</v>
      </c>
      <c r="H27" s="374">
        <f>SUMIF(89:89,G27,90:90)-SUMIF(89:89,C27,90:90)+100</f>
        <v>100</v>
      </c>
      <c r="I27" s="542" t="s">
        <v>3438</v>
      </c>
      <c r="J27" s="374">
        <f>SUMIF(89:89,I27,90:90)-SUMIF(89:89,C27,90:90)+100</f>
        <v>97</v>
      </c>
      <c r="K27" s="538">
        <v>3</v>
      </c>
      <c r="L27" s="2492"/>
      <c r="M27" s="2487"/>
      <c r="N27" s="2487"/>
      <c r="O27" s="2487"/>
      <c r="P27" s="3378"/>
      <c r="Q27" s="1263" t="str">
        <f t="shared" ref="Q27:Q47" si="11">B27</f>
        <v>楼层</v>
      </c>
      <c r="R27" s="667" t="s">
        <v>14</v>
      </c>
      <c r="S27" s="668">
        <f>F27</f>
        <v>103</v>
      </c>
      <c r="T27" s="667" t="s">
        <v>14</v>
      </c>
      <c r="U27" s="668">
        <f>H27</f>
        <v>100</v>
      </c>
      <c r="V27" s="667" t="s">
        <v>14</v>
      </c>
      <c r="W27" s="668">
        <f>J27</f>
        <v>97</v>
      </c>
      <c r="X27" s="1265"/>
      <c r="Y27" s="3380"/>
      <c r="Z27" s="1264" t="str">
        <f>Q27</f>
        <v>楼层</v>
      </c>
      <c r="AA27" s="1264">
        <f t="shared" si="3"/>
        <v>0.970873786407767</v>
      </c>
      <c r="AB27" s="1264">
        <f t="shared" si="4"/>
        <v>1</v>
      </c>
      <c r="AC27" s="1812">
        <f t="shared" si="5"/>
        <v>1.0309278350515463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78"/>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8"/>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8"/>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8"/>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t="s">
        <v>3424</v>
      </c>
      <c r="D33" s="405">
        <v>100</v>
      </c>
      <c r="E33" s="1764" t="s">
        <v>3424</v>
      </c>
      <c r="F33" s="400">
        <f>SUMIF(101:101,E33,102:102)-SUMIF(101:101,C33,102:102)+100</f>
        <v>100</v>
      </c>
      <c r="G33" s="1764" t="s">
        <v>3424</v>
      </c>
      <c r="H33" s="374">
        <f>SUMIF(101:101,G33,102:102)-SUMIF(101:101,C33,102:102)+100</f>
        <v>100</v>
      </c>
      <c r="I33" s="1764" t="s">
        <v>3424</v>
      </c>
      <c r="J33" s="405">
        <f>SUMIF(101:101,I33,102:102)-SUMIF(101:101,C33,102:102)+100</f>
        <v>100</v>
      </c>
      <c r="K33" s="538">
        <v>2</v>
      </c>
      <c r="L33" s="2492"/>
      <c r="M33" s="2487"/>
      <c r="N33" s="2487"/>
      <c r="O33" s="2487"/>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378.45</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91"/>
      <c r="M34" s="2493"/>
      <c r="N34" s="2493"/>
      <c r="O34" s="2493"/>
      <c r="P34" s="3382"/>
      <c r="Q34" s="531" t="str">
        <f t="shared" si="11"/>
        <v>项目建筑规模</v>
      </c>
      <c r="R34" s="669" t="s">
        <v>14</v>
      </c>
      <c r="S34" s="670" t="e">
        <f t="shared" si="12"/>
        <v>#REF!</v>
      </c>
      <c r="T34" s="669" t="s">
        <v>14</v>
      </c>
      <c r="U34" s="670" t="e">
        <f t="shared" si="13"/>
        <v>#REF!</v>
      </c>
      <c r="V34" s="669" t="s">
        <v>14</v>
      </c>
      <c r="W34" s="670" t="e">
        <f t="shared" si="14"/>
        <v>#REF!</v>
      </c>
      <c r="X34" s="671"/>
      <c r="Y34" s="3384"/>
      <c r="Z34" s="672" t="str">
        <f t="shared" si="15"/>
        <v>项目建筑规模</v>
      </c>
      <c r="AA34" s="1264" t="e">
        <f t="shared" si="3"/>
        <v>#REF!</v>
      </c>
      <c r="AB34" s="1264" t="e">
        <f t="shared" si="4"/>
        <v>#REF!</v>
      </c>
      <c r="AC34" s="1812" t="e">
        <f t="shared" si="5"/>
        <v>#REF!</v>
      </c>
    </row>
    <row r="35" spans="1:29" ht="15">
      <c r="A35" s="409"/>
      <c r="B35" s="364" t="s">
        <v>1698</v>
      </c>
      <c r="C35" s="399" t="s">
        <v>3426</v>
      </c>
      <c r="D35" s="374">
        <v>100</v>
      </c>
      <c r="E35" s="399" t="s">
        <v>3426</v>
      </c>
      <c r="F35" s="400">
        <f>SUMIF(106:106,E35,107:107)-SUMIF(106:106,C35,107:107)+100</f>
        <v>100</v>
      </c>
      <c r="G35" s="399" t="s">
        <v>3426</v>
      </c>
      <c r="H35" s="374">
        <f>SUMIF(106:106,G35,107:107)-SUMIF(106:106,C35,107:107)+100</f>
        <v>100</v>
      </c>
      <c r="I35" s="399" t="s">
        <v>3426</v>
      </c>
      <c r="J35" s="374">
        <f>SUMIF(106:106,I35,107:107)-SUMIF(106:106,C35,107:107)+100</f>
        <v>100</v>
      </c>
      <c r="K35" s="538">
        <v>2</v>
      </c>
      <c r="L35" s="2492"/>
      <c r="M35" s="2487"/>
      <c r="N35" s="2487"/>
      <c r="O35" s="2487"/>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t="s">
        <v>3425</v>
      </c>
      <c r="D36" s="374">
        <v>100</v>
      </c>
      <c r="E36" s="399" t="s">
        <v>3425</v>
      </c>
      <c r="F36" s="400">
        <f>SUMIF(108:108,E36,109:109)-SUMIF(108:108,C36,109:109)+100</f>
        <v>100</v>
      </c>
      <c r="G36" s="399" t="s">
        <v>3425</v>
      </c>
      <c r="H36" s="374">
        <f>SUMIF(108:108,G36,109:109)-SUMIF(108:108,C36,109:109)+100</f>
        <v>100</v>
      </c>
      <c r="I36" s="399" t="s">
        <v>3425</v>
      </c>
      <c r="J36" s="374">
        <f>SUMIF(108:108,I36,109:109)-SUMIF(108:108,C36,109:109)+100</f>
        <v>100</v>
      </c>
      <c r="K36" s="538">
        <v>2</v>
      </c>
      <c r="L36" s="2492"/>
      <c r="M36" s="2487"/>
      <c r="N36" s="2487"/>
      <c r="O36" s="2487"/>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82"/>
      <c r="Q37" s="1263" t="str">
        <f t="shared" si="11"/>
        <v>成新度</v>
      </c>
      <c r="R37" s="667" t="s">
        <v>14</v>
      </c>
      <c r="S37" s="668">
        <f t="shared" si="12"/>
        <v>100</v>
      </c>
      <c r="T37" s="667" t="s">
        <v>14</v>
      </c>
      <c r="U37" s="668">
        <f t="shared" si="13"/>
        <v>100</v>
      </c>
      <c r="V37" s="667" t="s">
        <v>14</v>
      </c>
      <c r="W37" s="668">
        <f t="shared" si="14"/>
        <v>100</v>
      </c>
      <c r="X37" s="1265"/>
      <c r="Y37" s="3384"/>
      <c r="Z37" s="1264" t="str">
        <f t="shared" si="15"/>
        <v>成新度</v>
      </c>
      <c r="AA37" s="1264">
        <f t="shared" si="3"/>
        <v>1</v>
      </c>
      <c r="AB37" s="1264">
        <f t="shared" si="4"/>
        <v>1</v>
      </c>
      <c r="AC37" s="1812">
        <f t="shared" si="5"/>
        <v>1</v>
      </c>
    </row>
    <row r="38" spans="1:29" s="102" customFormat="1" ht="15">
      <c r="A38" s="410"/>
      <c r="B38" s="364" t="s">
        <v>1818</v>
      </c>
      <c r="C38" s="399" t="s">
        <v>3428</v>
      </c>
      <c r="D38" s="119">
        <v>100</v>
      </c>
      <c r="E38" s="399" t="s">
        <v>3428</v>
      </c>
      <c r="F38" s="400">
        <f>SUMIF(113:113,E38,114:114)-SUMIF(113:113,C38,114:114)+100</f>
        <v>100</v>
      </c>
      <c r="G38" s="399" t="s">
        <v>3428</v>
      </c>
      <c r="H38" s="374">
        <f>SUMIF(113:113,G38,114:114)-SUMIF(113:113,C38,114:114)+100</f>
        <v>100</v>
      </c>
      <c r="I38" s="399" t="s">
        <v>3428</v>
      </c>
      <c r="J38" s="374">
        <f>SUMIF(113:113,I38,114:114)-SUMIF(113:113,C38,114:114)+100</f>
        <v>100</v>
      </c>
      <c r="K38" s="538">
        <v>2</v>
      </c>
      <c r="L38" s="2488"/>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t="s">
        <v>3429</v>
      </c>
      <c r="D39" s="374">
        <v>100</v>
      </c>
      <c r="E39" s="399" t="s">
        <v>3429</v>
      </c>
      <c r="F39" s="400">
        <f>SUMIF(115:115,E39,116:116)-SUMIF(115:115,C39,116:116)+100</f>
        <v>100</v>
      </c>
      <c r="G39" s="399" t="s">
        <v>3429</v>
      </c>
      <c r="H39" s="374">
        <f>SUMIF(115:115,G39,116:116)-SUMIF(115:115,C39,116:116)+100</f>
        <v>100</v>
      </c>
      <c r="I39" s="399" t="s">
        <v>3429</v>
      </c>
      <c r="J39" s="374">
        <f>SUMIF(115:115,I39,116:116)-SUMIF(115:115,C39,116:116)+100</f>
        <v>100</v>
      </c>
      <c r="K39" s="538">
        <v>2</v>
      </c>
      <c r="L39" s="2492"/>
      <c r="M39" s="2487"/>
      <c r="N39" s="2487"/>
      <c r="O39" s="2487"/>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t="s">
        <v>3430</v>
      </c>
      <c r="D40" s="374">
        <v>100</v>
      </c>
      <c r="E40" s="399" t="s">
        <v>3430</v>
      </c>
      <c r="F40" s="400">
        <f>SUMIF(117:117,E40,118:118)-SUMIF(117:117,C40,118:118)+100</f>
        <v>100</v>
      </c>
      <c r="G40" s="399" t="s">
        <v>3430</v>
      </c>
      <c r="H40" s="374">
        <f>SUMIF(117:117,G40,118:118)-SUMIF(117:117,C40,118:118)+100</f>
        <v>100</v>
      </c>
      <c r="I40" s="399" t="s">
        <v>3430</v>
      </c>
      <c r="J40" s="374">
        <f>SUMIF(117:117,I40,118:118)-SUMIF(117:117,C40,118:118)+100</f>
        <v>100</v>
      </c>
      <c r="K40" s="538">
        <v>2</v>
      </c>
      <c r="L40" s="2492"/>
      <c r="M40" s="2487"/>
      <c r="N40" s="2487"/>
      <c r="O40" s="2487"/>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t="s">
        <v>3431</v>
      </c>
      <c r="D41" s="374">
        <v>100</v>
      </c>
      <c r="E41" s="542" t="s">
        <v>3431</v>
      </c>
      <c r="F41" s="400">
        <f>SUMIF(119:119,E41,120:120)-SUMIF(119:119,C41,120:120)+100</f>
        <v>100</v>
      </c>
      <c r="G41" s="542" t="s">
        <v>3431</v>
      </c>
      <c r="H41" s="374">
        <f>SUMIF(119:119,G41,120:120)-SUMIF(119:119,C41,120:120)+100</f>
        <v>100</v>
      </c>
      <c r="I41" s="542" t="s">
        <v>3431</v>
      </c>
      <c r="J41" s="374">
        <f>SUMIF(119:119,I41,120:120)-SUMIF(119:119,C41,120:120)+100</f>
        <v>100</v>
      </c>
      <c r="K41" s="538">
        <v>2</v>
      </c>
      <c r="L41" s="2492"/>
      <c r="M41" s="2487"/>
      <c r="N41" s="2487"/>
      <c r="O41" s="2487"/>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t="s">
        <v>3425</v>
      </c>
      <c r="D43" s="374">
        <v>100</v>
      </c>
      <c r="E43" s="399" t="s">
        <v>3425</v>
      </c>
      <c r="F43" s="400">
        <f>SUMIF(123:123,E43,124:124)-SUMIF(123:123,C43,124:124)+100</f>
        <v>100</v>
      </c>
      <c r="G43" s="399" t="s">
        <v>3425</v>
      </c>
      <c r="H43" s="374">
        <f>SUMIF(123:123,G43,124:124)-SUMIF(123:123,C43,124:124)+100</f>
        <v>100</v>
      </c>
      <c r="I43" s="399" t="s">
        <v>3425</v>
      </c>
      <c r="J43" s="374">
        <f>SUMIF(123:123,I43,124:124)-SUMIF(123:123,C43,124:124)+100</f>
        <v>100</v>
      </c>
      <c r="K43" s="538">
        <v>1</v>
      </c>
      <c r="L43" s="2492"/>
      <c r="M43" s="2487"/>
      <c r="N43" s="2487"/>
      <c r="O43" s="2487"/>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t="s">
        <v>3422</v>
      </c>
      <c r="D44" s="374">
        <v>100</v>
      </c>
      <c r="E44" s="399" t="s">
        <v>3422</v>
      </c>
      <c r="F44" s="400">
        <f>SUMIF(125:125,E44,126:126)-SUMIF(125:125,C44,126:126)+100</f>
        <v>100</v>
      </c>
      <c r="G44" s="399" t="s">
        <v>3422</v>
      </c>
      <c r="H44" s="374">
        <f>SUMIF(125:125,G44,126:126)-SUMIF(125:125,C44,126:126)+100</f>
        <v>100</v>
      </c>
      <c r="I44" s="399" t="s">
        <v>3422</v>
      </c>
      <c r="J44" s="374">
        <f>SUMIF(125:125,I44,126:126)-SUMIF(125:125,C44,126:126)+100</f>
        <v>100</v>
      </c>
      <c r="K44" s="538">
        <v>2</v>
      </c>
      <c r="L44" s="2492"/>
      <c r="M44" s="2487"/>
      <c r="N44" s="2487"/>
      <c r="O44" s="2487"/>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4"/>
      <c r="M48" s="2487"/>
      <c r="N48" s="2487"/>
      <c r="O48" s="2487"/>
      <c r="P48" s="3357" t="str">
        <f>A48</f>
        <v>成交单价（元/平方米）</v>
      </c>
      <c r="Q48" s="3386"/>
      <c r="R48" s="3374" t="e">
        <f>E48</f>
        <v>#REF!</v>
      </c>
      <c r="S48" s="3374"/>
      <c r="T48" s="3374" t="e">
        <f>G48</f>
        <v>#REF!</v>
      </c>
      <c r="U48" s="3374"/>
      <c r="V48" s="3374" t="e">
        <f>I48</f>
        <v>#REF!</v>
      </c>
      <c r="W48" s="3374"/>
      <c r="X48" s="385"/>
      <c r="Y48" s="673"/>
      <c r="Z48" s="385"/>
      <c r="AA48" s="385"/>
      <c r="AB48" s="385"/>
      <c r="AC48" s="555"/>
    </row>
    <row r="49" spans="1:29" ht="15.75" thickBot="1">
      <c r="A49" s="423" t="s">
        <v>1709</v>
      </c>
      <c r="B49" s="424"/>
      <c r="C49" s="1082" t="e">
        <f>R50</f>
        <v>#REF!</v>
      </c>
      <c r="D49" s="2141" t="s">
        <v>2138</v>
      </c>
      <c r="E49" s="1083" t="e">
        <f>R49</f>
        <v>#REF!</v>
      </c>
      <c r="F49" s="2142"/>
      <c r="G49" s="1082" t="e">
        <f>T49</f>
        <v>#REF!</v>
      </c>
      <c r="H49" s="2142"/>
      <c r="I49" s="1083" t="e">
        <f>V49</f>
        <v>#REF!</v>
      </c>
      <c r="J49" s="2142"/>
      <c r="K49" s="2144">
        <f>F49+H49+J49</f>
        <v>0</v>
      </c>
      <c r="L49" s="2494"/>
      <c r="M49" s="2487"/>
      <c r="N49" s="2487"/>
      <c r="O49" s="2487"/>
      <c r="P49" s="3357" t="str">
        <f>A49</f>
        <v>比较价值（元/平方米）</v>
      </c>
      <c r="Q49" s="3386"/>
      <c r="R49" s="3374" t="e">
        <f>IF(F1="售价",ROUND(PRODUCT(R48,AA7:AA47),0),ROUND(PRODUCT(R48,AA7:AA47),1))</f>
        <v>#REF!</v>
      </c>
      <c r="S49" s="3374"/>
      <c r="T49" s="3374" t="e">
        <f>IF(F1="售价",ROUND(PRODUCT(T48,AB7:AB47),0),ROUND(PRODUCT(T48,AB7:AB47),1))</f>
        <v>#REF!</v>
      </c>
      <c r="U49" s="3374"/>
      <c r="V49" s="3374" t="e">
        <f>IF(F1="售价",ROUND(PRODUCT(V48,AC7:AC47),0),ROUND(PRODUCT(V48,AC7:AC47),1))</f>
        <v>#REF!</v>
      </c>
      <c r="W49" s="3374"/>
      <c r="X49" s="385"/>
      <c r="Y49" s="385"/>
      <c r="Z49" s="385"/>
      <c r="AA49" s="385"/>
      <c r="AB49" s="385"/>
      <c r="AC49" s="555"/>
    </row>
    <row r="50" spans="1:29" ht="15.75" thickBot="1">
      <c r="A50" s="427" t="s">
        <v>1710</v>
      </c>
      <c r="B50" s="428"/>
      <c r="C50" s="351" t="e">
        <f>R50</f>
        <v>#REF!</v>
      </c>
      <c r="D50" s="351"/>
      <c r="E50" s="351"/>
      <c r="F50" s="351"/>
      <c r="G50" s="351"/>
      <c r="H50" s="351"/>
      <c r="I50" s="351"/>
      <c r="J50" s="429"/>
      <c r="K50" s="675"/>
      <c r="L50" s="2494"/>
      <c r="M50" s="2487"/>
      <c r="N50" s="2487"/>
      <c r="O50" s="2487"/>
      <c r="P50" s="3387" t="str">
        <f>A50</f>
        <v>估价对象XX用房的比较价值（楼面单价，元/平方米）</v>
      </c>
      <c r="Q50" s="3388"/>
      <c r="R50" s="3389" t="e">
        <f>IF(F1="售价",ROUND(IF(D49="简单平均",AVERAGE(R49:V49),R49*F49+T49*H49+V49*J49),0),ROUND(IF(D49="简单平均",AVERAGE(R49:V49),R49*F49+T49*H49+V49*J49),1))</f>
        <v>#REF!</v>
      </c>
      <c r="S50" s="3389"/>
      <c r="T50" s="3389"/>
      <c r="U50" s="3389"/>
      <c r="V50" s="3389"/>
      <c r="W50" s="338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3427</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3" sqref="J32:J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2360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32772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1422</v>
      </c>
      <c r="D5" s="203" t="s">
        <v>1469</v>
      </c>
      <c r="E5" s="204" t="s">
        <v>1470</v>
      </c>
      <c r="F5" s="204" t="s">
        <v>1471</v>
      </c>
      <c r="G5" s="205"/>
    </row>
    <row r="6" spans="1:9" s="206" customFormat="1" ht="13.5" customHeight="1">
      <c r="A6" s="732" t="s">
        <v>1472</v>
      </c>
      <c r="B6" s="207" t="s">
        <v>1473</v>
      </c>
      <c r="C6" s="208">
        <f>基准地价修正!E33+基准地价修正!E40</f>
        <v>1380</v>
      </c>
      <c r="D6" s="209"/>
      <c r="E6" s="210"/>
      <c r="F6" s="210"/>
      <c r="G6" s="211"/>
    </row>
    <row r="7" spans="1:9" s="206" customFormat="1" ht="13.5" customHeight="1">
      <c r="A7" s="732" t="s">
        <v>1474</v>
      </c>
      <c r="B7" s="207" t="s">
        <v>1475</v>
      </c>
      <c r="C7" s="212">
        <f>ROUND(C6*F7,0)</f>
        <v>42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14</v>
      </c>
      <c r="D10" s="795">
        <f ca="1">IF(B1="",'数据-汇总表'!E6,IF(INDIRECT("'数据-取费表'!c"&amp;$G$1)="住宅",INDIRECT("'数据-取费表'!s"&amp;$G$1),INDIRECT("'数据-取费表'!k"&amp;$G$1)+INDIRECT("'数据-取费表'!s"&amp;$G$1)))</f>
        <v>720.13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14</v>
      </c>
      <c r="D19" s="204">
        <f ca="1">D9+D10</f>
        <v>720.13</v>
      </c>
      <c r="E19" s="203">
        <f>'数据-取费表'!B31</f>
        <v>200</v>
      </c>
      <c r="F19" s="223"/>
      <c r="G19" s="1714"/>
    </row>
    <row r="20" spans="1:7" s="206" customFormat="1" ht="13.5" customHeight="1">
      <c r="A20" s="247" t="s">
        <v>1493</v>
      </c>
      <c r="B20" s="202" t="s">
        <v>1494</v>
      </c>
      <c r="C20" s="224">
        <f ca="1">ROUND((C5+C19)*F20,0)</f>
        <v>43</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123</v>
      </c>
      <c r="D22" s="227">
        <f ca="1">C26</f>
        <v>1.1999999999999999E-3</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296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296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2087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278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252</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v>
      </c>
      <c r="D37" s="209">
        <f ca="1">D19</f>
        <v>720.13</v>
      </c>
      <c r="E37" s="241">
        <f>'数据-取费表'!B35</f>
        <v>200</v>
      </c>
      <c r="F37" s="251"/>
      <c r="G37" s="253" t="s">
        <v>1532</v>
      </c>
    </row>
    <row r="38" spans="1:7" ht="13.5" customHeight="1">
      <c r="A38" s="734"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95" t="s">
        <v>1544</v>
      </c>
    </row>
    <row r="43" spans="1:7" ht="13.5" customHeight="1">
      <c r="A43" s="734" t="s">
        <v>347</v>
      </c>
      <c r="B43" s="207" t="s">
        <v>1545</v>
      </c>
      <c r="C43" s="230">
        <f ca="1">ROUND(IF('数据-取费表'!B22&lt;=1,C39*F22*'数据-取费表'!B21/2,C39*(POWER((1+F22),'数据-取费表'!B21/2)-1)),0)</f>
        <v>0</v>
      </c>
      <c r="D43" s="230"/>
      <c r="E43" s="230"/>
      <c r="F43" s="231"/>
      <c r="G43" s="3396"/>
    </row>
    <row r="44" spans="1:7" ht="13.5" customHeight="1">
      <c r="A44" s="734" t="s">
        <v>348</v>
      </c>
      <c r="B44" s="207" t="s">
        <v>1546</v>
      </c>
      <c r="C44" s="230">
        <f ca="1">ROUND(IF('数据-取费表'!B22&lt;=1,C40*F22*'数据-取费表'!B21/2,C40*(POWER((1+F22),'数据-取费表'!B21/2)-1)),4)</f>
        <v>1.1999999999999999E-3</v>
      </c>
      <c r="D44" s="230"/>
      <c r="E44" s="230"/>
      <c r="F44" s="231"/>
      <c r="G44" s="3397"/>
    </row>
    <row r="45" spans="1:7" s="206" customFormat="1" ht="13.5" customHeight="1">
      <c r="A45" s="247" t="s">
        <v>1547</v>
      </c>
      <c r="B45" s="236" t="s">
        <v>1513</v>
      </c>
      <c r="C45" s="237">
        <f ca="1">C46</f>
        <v>57</v>
      </c>
      <c r="D45" s="227">
        <f ca="1">C47</f>
        <v>6.0000000000000001E-3</v>
      </c>
      <c r="E45" s="228" t="s">
        <v>1539</v>
      </c>
      <c r="F45" s="238">
        <f ca="1">F27</f>
        <v>0.2</v>
      </c>
      <c r="G45" s="239" t="s">
        <v>1548</v>
      </c>
    </row>
    <row r="46" spans="1:7" s="206" customFormat="1" ht="13.5" customHeight="1">
      <c r="A46" s="734" t="s">
        <v>346</v>
      </c>
      <c r="B46" s="240" t="s">
        <v>1549</v>
      </c>
      <c r="C46" s="241">
        <f ca="1">ROUND((C33+C39)*F27,0)</f>
        <v>57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273</v>
      </c>
      <c r="D51" s="224"/>
      <c r="E51" s="224"/>
      <c r="F51" s="256"/>
      <c r="G51" s="226" t="s">
        <v>1560</v>
      </c>
    </row>
    <row r="52" spans="1:7" s="200" customFormat="1" ht="16.5" thickBot="1">
      <c r="A52" s="257" t="s">
        <v>1561</v>
      </c>
      <c r="B52" s="258"/>
      <c r="C52" s="259">
        <f ca="1">C31+C51</f>
        <v>2360</v>
      </c>
      <c r="D52" s="258"/>
      <c r="E52" s="258"/>
      <c r="F52" s="258"/>
      <c r="G52" s="260"/>
    </row>
    <row r="55" spans="1:7" ht="15">
      <c r="B55" s="262" t="s">
        <v>1562</v>
      </c>
      <c r="C55" s="263"/>
    </row>
    <row r="56" spans="1:7">
      <c r="B56" s="265" t="s">
        <v>802</v>
      </c>
      <c r="C56" s="267">
        <f ca="1">1-C57</f>
        <v>0.88400000000000001</v>
      </c>
    </row>
    <row r="57" spans="1:7">
      <c r="B57" s="265" t="s">
        <v>803</v>
      </c>
      <c r="C57" s="266">
        <f ca="1">ROUND(C51/C52,3)</f>
        <v>0.11600000000000001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Normal="70" zoomScaleSheetLayoutView="100" workbookViewId="0">
      <selection activeCell="F34" sqref="F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2361.8652000000002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32798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14368438.51</v>
      </c>
      <c r="D5" s="203" t="s">
        <v>1469</v>
      </c>
      <c r="E5" s="204" t="s">
        <v>1470</v>
      </c>
      <c r="F5" s="204" t="s">
        <v>1471</v>
      </c>
      <c r="G5" s="205"/>
    </row>
    <row r="6" spans="1:8" s="206" customFormat="1" ht="13.5" customHeight="1">
      <c r="A6" s="732" t="s">
        <v>1472</v>
      </c>
      <c r="B6" s="207" t="s">
        <v>1473</v>
      </c>
      <c r="C6" s="208">
        <f>基准地价修正!C33*基准地价修正!D33+基准地价修正!C40*基准地价修正!D40</f>
        <v>13803408.51</v>
      </c>
      <c r="D6" s="209"/>
      <c r="E6" s="210"/>
      <c r="F6" s="210"/>
      <c r="G6" s="211"/>
    </row>
    <row r="7" spans="1:8" s="206" customFormat="1" ht="13.5" customHeight="1">
      <c r="A7" s="732" t="s">
        <v>1474</v>
      </c>
      <c r="B7" s="207" t="s">
        <v>1475</v>
      </c>
      <c r="C7" s="212">
        <f>ROUND(C6*F7,0)</f>
        <v>421004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144026</v>
      </c>
      <c r="D8" s="214"/>
      <c r="E8" s="212"/>
      <c r="F8" s="213"/>
      <c r="G8" s="1714" t="s">
        <v>3443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144026</v>
      </c>
      <c r="D10" s="795">
        <f ca="1">IF(B1="",'数据-汇总表'!E6,IF(INDIRECT("'数据-取费表'!c"&amp;$G$1)="住宅",INDIRECT("'数据-取费表'!s"&amp;$G$1),INDIRECT("'数据-取费表'!k"&amp;$G$1)+INDIRECT("'数据-取费表'!s"&amp;$G$1)))</f>
        <v>720.13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720.13</v>
      </c>
      <c r="E19" s="203">
        <f>'数据-取费表'!B31</f>
        <v>200</v>
      </c>
      <c r="F19" s="223"/>
      <c r="G19" s="1714" t="s">
        <v>3444</v>
      </c>
    </row>
    <row r="20" spans="1:7" s="206" customFormat="1" ht="13.5" customHeight="1">
      <c r="A20" s="247" t="s">
        <v>1574</v>
      </c>
      <c r="B20" s="202" t="s">
        <v>1575</v>
      </c>
      <c r="C20" s="224">
        <f ca="1">ROUND((C5+C19)*F20,0)</f>
        <v>431053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1235215</v>
      </c>
      <c r="D22" s="227">
        <f ca="1">C26</f>
        <v>1.1999999999999999E-3</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1217326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17889</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2959898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2959898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20884667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2777902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2520455</v>
      </c>
      <c r="D34" s="209"/>
      <c r="E34" s="212"/>
      <c r="F34" s="249"/>
      <c r="G34" s="211"/>
    </row>
    <row r="35" spans="1:7" ht="13.5" customHeight="1">
      <c r="A35" s="734" t="s">
        <v>351</v>
      </c>
      <c r="B35" s="207" t="s">
        <v>1527</v>
      </c>
      <c r="C35" s="212">
        <f ca="1">ROUND(C34*F35,0)</f>
        <v>75614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144026</v>
      </c>
      <c r="D37" s="209">
        <f ca="1">D19</f>
        <v>720.13</v>
      </c>
      <c r="E37" s="241">
        <f>'数据-取费表'!B35</f>
        <v>200</v>
      </c>
      <c r="F37" s="251"/>
      <c r="G37" s="253"/>
    </row>
    <row r="38" spans="1:7" ht="13.5" customHeight="1">
      <c r="A38" s="734" t="s">
        <v>354</v>
      </c>
      <c r="B38" s="207" t="s">
        <v>1533</v>
      </c>
      <c r="C38" s="212">
        <f ca="1">ROUND(C34*F38,0)</f>
        <v>37807</v>
      </c>
      <c r="D38" s="212"/>
      <c r="E38" s="212"/>
      <c r="F38" s="251">
        <f>'数据-取费表'!B36</f>
        <v>1.4999999999999999E-2</v>
      </c>
      <c r="G38" s="211" t="s">
        <v>1528</v>
      </c>
    </row>
    <row r="39" spans="1:7" s="206" customFormat="1" ht="13.5" customHeight="1">
      <c r="A39" s="247" t="s">
        <v>1534</v>
      </c>
      <c r="B39" s="202" t="s">
        <v>1535</v>
      </c>
      <c r="C39" s="224">
        <f ca="1">ROUND(C33*F20,0)</f>
        <v>83337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118741</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115283</v>
      </c>
      <c r="D42" s="230"/>
      <c r="E42" s="230"/>
      <c r="F42" s="231"/>
      <c r="G42" s="3395" t="s">
        <v>1591</v>
      </c>
    </row>
    <row r="43" spans="1:7" ht="13.5" customHeight="1">
      <c r="A43" s="734" t="s">
        <v>347</v>
      </c>
      <c r="B43" s="207" t="s">
        <v>1545</v>
      </c>
      <c r="C43" s="230">
        <f ca="1">ROUND(IF('数据-取费表'!B22&lt;=1,C39*F22*'数据-取费表'!B20/2,C39*(POWER((1+F22),'数据-取费表'!B20/2)-1)),0)</f>
        <v>3458</v>
      </c>
      <c r="D43" s="230"/>
      <c r="E43" s="230"/>
      <c r="F43" s="231"/>
      <c r="G43" s="3396"/>
    </row>
    <row r="44" spans="1:7" ht="13.5" customHeight="1">
      <c r="A44" s="734" t="s">
        <v>348</v>
      </c>
      <c r="B44" s="207" t="s">
        <v>1546</v>
      </c>
      <c r="C44" s="230">
        <f ca="1">ROUND(IF('数据-取费表'!B22&lt;=1,C40*F22*'数据-取费表'!B20/2,C40*(POWER((1+F22),'数据-取费表'!B20/2)-1)),4)</f>
        <v>1.1999999999999999E-3</v>
      </c>
      <c r="D44" s="230"/>
      <c r="E44" s="230"/>
      <c r="F44" s="231"/>
      <c r="G44" s="3397"/>
    </row>
    <row r="45" spans="1:7" s="206" customFormat="1" ht="13.5" customHeight="1">
      <c r="A45" s="247" t="s">
        <v>1547</v>
      </c>
      <c r="B45" s="236" t="s">
        <v>1513</v>
      </c>
      <c r="C45" s="237">
        <f ca="1">C46</f>
        <v>572248</v>
      </c>
      <c r="D45" s="227">
        <f ca="1">C47</f>
        <v>6.0000000000000001E-3</v>
      </c>
      <c r="E45" s="228" t="s">
        <v>1539</v>
      </c>
      <c r="F45" s="238">
        <f ca="1">F27</f>
        <v>0.2</v>
      </c>
      <c r="G45" s="239" t="s">
        <v>1548</v>
      </c>
    </row>
    <row r="46" spans="1:7" s="206" customFormat="1" ht="13.5" customHeight="1">
      <c r="A46" s="734" t="s">
        <v>346</v>
      </c>
      <c r="B46" s="240" t="s">
        <v>1549</v>
      </c>
      <c r="C46" s="241">
        <f ca="1">ROUND((C33+C39)*F27,0)</f>
        <v>572248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3905693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2733985</v>
      </c>
      <c r="D51" s="224"/>
      <c r="E51" s="224"/>
      <c r="F51" s="256"/>
      <c r="G51" s="226" t="s">
        <v>1560</v>
      </c>
    </row>
    <row r="52" spans="1:7" s="200" customFormat="1" ht="16.5" thickBot="1">
      <c r="A52" s="257" t="s">
        <v>1561</v>
      </c>
      <c r="B52" s="258"/>
      <c r="C52" s="259">
        <f ca="1">C31+C51</f>
        <v>23618652</v>
      </c>
      <c r="D52" s="258"/>
      <c r="E52" s="258"/>
      <c r="F52" s="258"/>
      <c r="G52" s="260"/>
    </row>
    <row r="55" spans="1:7" ht="15">
      <c r="B55" s="262" t="s">
        <v>1562</v>
      </c>
      <c r="C55" s="263"/>
    </row>
    <row r="56" spans="1:7">
      <c r="B56" s="265" t="s">
        <v>802</v>
      </c>
      <c r="C56" s="267">
        <f ca="1">1-C57</f>
        <v>0.88400000000000001</v>
      </c>
    </row>
    <row r="57" spans="1:7">
      <c r="B57" s="265" t="s">
        <v>803</v>
      </c>
      <c r="C57" s="266">
        <f ca="1">ROUND(C51/C52,3)</f>
        <v>0.11600000000000001</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-17</v>
      </c>
      <c r="C2" s="268" t="s">
        <v>1595</v>
      </c>
      <c r="D2" s="268"/>
      <c r="E2" s="2567"/>
      <c r="F2" s="2567"/>
      <c r="G2" s="2567"/>
      <c r="H2" s="2567"/>
      <c r="I2" s="2567"/>
      <c r="J2" s="2567"/>
      <c r="K2" s="2567"/>
    </row>
    <row r="3" spans="1:33" ht="18" customHeight="1" thickBot="1">
      <c r="A3" s="195" t="s">
        <v>1464</v>
      </c>
      <c r="B3" s="196">
        <f ca="1">ROUND(B2*10000/IF(C1="",'数据-汇总表'!E3,INDIRECT("'数据-取费表'!K"&amp;$K$1)),0)</f>
        <v>-236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720.13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720.13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14</v>
      </c>
      <c r="D20" s="796">
        <f ca="1">IF(C1="",'数据-汇总表'!E6,IF(INDIRECT("'数据-取费表'!c"&amp;$K$1)="住宅",INDIRECT("'数据-取费表'!s"&amp;$K$1),INDIRECT("'数据-取费表'!k"&amp;$K$1)+INDIRECT("'数据-取费表'!s"&amp;$K$1)))</f>
        <v>720.13</v>
      </c>
      <c r="E20" s="21">
        <f>'数据-取费表'!B28</f>
        <v>200</v>
      </c>
      <c r="F20" s="756"/>
      <c r="G20" s="12"/>
      <c r="H20" s="761"/>
      <c r="I20" s="761"/>
      <c r="J20" s="761"/>
      <c r="K20" s="762"/>
    </row>
    <row r="21" spans="1:33" s="755" customFormat="1" ht="13.5" customHeight="1">
      <c r="A21" s="744" t="s">
        <v>357</v>
      </c>
      <c r="B21" s="765" t="s">
        <v>1628</v>
      </c>
      <c r="C21" s="766">
        <f ca="1">C16+C17+C18</f>
        <v>14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0</v>
      </c>
      <c r="D6" s="147" t="s">
        <v>2109</v>
      </c>
      <c r="E6" s="294" t="s">
        <v>696</v>
      </c>
      <c r="F6" s="295">
        <f ca="1">INDIRECT("'数据-取费表'!u"&amp;$G$1)</f>
        <v>0</v>
      </c>
      <c r="G6" s="1292"/>
      <c r="H6" s="1006" t="s">
        <v>398</v>
      </c>
      <c r="I6" s="3390" t="s">
        <v>694</v>
      </c>
      <c r="J6" s="293">
        <f ca="1">ROUND(M6*M8*M7*(1-M9)/10000,0)</f>
        <v>0</v>
      </c>
      <c r="K6" s="147" t="s">
        <v>2108</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0</v>
      </c>
      <c r="G7" s="1292"/>
      <c r="H7" s="296"/>
      <c r="I7" s="3391"/>
      <c r="J7" s="298"/>
      <c r="K7" s="299"/>
      <c r="L7" s="294" t="s">
        <v>697</v>
      </c>
      <c r="M7" s="295">
        <f ca="1">F7</f>
        <v>0</v>
      </c>
    </row>
    <row r="8" spans="1:37" ht="18" customHeight="1">
      <c r="A8" s="296"/>
      <c r="B8" s="3391"/>
      <c r="C8" s="298"/>
      <c r="D8" s="299"/>
      <c r="E8" s="294" t="s">
        <v>698</v>
      </c>
      <c r="F8" s="295">
        <f ca="1">INDIRECT("'数据-取费表'!ai"&amp;$G$1)</f>
        <v>0</v>
      </c>
      <c r="G8" s="1292"/>
      <c r="H8" s="296"/>
      <c r="I8" s="3391"/>
      <c r="J8" s="298"/>
      <c r="K8" s="299"/>
      <c r="L8" s="294" t="s">
        <v>698</v>
      </c>
      <c r="M8" s="295">
        <f ca="1">INDIRECT("'数据-取费表'!ai"&amp;$G$1)</f>
        <v>0</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3" t="s">
        <v>837</v>
      </c>
      <c r="L53" s="339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37" sqref="L37"/>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3360</v>
      </c>
      <c r="E2" s="3139"/>
      <c r="F2" s="2597"/>
      <c r="G2" s="2598"/>
      <c r="H2" s="2599"/>
      <c r="I2" s="2600"/>
      <c r="J2" s="3398" t="s">
        <v>2314</v>
      </c>
      <c r="K2" s="3399"/>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400" t="s">
        <v>2324</v>
      </c>
      <c r="K3" s="3401"/>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400" t="s">
        <v>2326</v>
      </c>
      <c r="K4" s="3401"/>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402" t="s">
        <v>2330</v>
      </c>
      <c r="B6" s="3403"/>
      <c r="C6" s="3404"/>
      <c r="D6" s="2621"/>
      <c r="E6" s="2622"/>
      <c r="F6" s="2623"/>
      <c r="G6" s="2624"/>
      <c r="H6" s="2599"/>
      <c r="I6" s="2600"/>
      <c r="J6" s="3405">
        <v>1</v>
      </c>
      <c r="K6" s="3406"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405"/>
      <c r="K7" s="3407"/>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09" t="s">
        <v>2344</v>
      </c>
      <c r="C8" s="3410"/>
      <c r="D8" s="2640" t="s">
        <v>2345</v>
      </c>
      <c r="E8" s="2641" t="s">
        <v>2346</v>
      </c>
      <c r="F8" s="2642" t="s">
        <v>2347</v>
      </c>
      <c r="G8" s="2643"/>
      <c r="H8" s="2599"/>
      <c r="I8" s="2600"/>
      <c r="J8" s="3405"/>
      <c r="K8" s="3407"/>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09" t="s">
        <v>2350</v>
      </c>
      <c r="C9" s="3410"/>
      <c r="D9" s="2640">
        <f>ROUND(D6*E9,0)</f>
        <v>0</v>
      </c>
      <c r="E9" s="2644"/>
      <c r="F9" s="2645" t="s">
        <v>2351</v>
      </c>
      <c r="G9" s="2624"/>
      <c r="H9" s="2599"/>
      <c r="I9" s="2600"/>
      <c r="J9" s="3405"/>
      <c r="K9" s="3407"/>
      <c r="L9" s="2634" t="s">
        <v>2352</v>
      </c>
      <c r="M9" s="2635"/>
      <c r="N9" s="2611"/>
      <c r="O9" s="2636"/>
      <c r="P9" s="2636"/>
      <c r="Q9" s="2637">
        <v>365</v>
      </c>
      <c r="R9" s="2638">
        <f t="shared" si="0"/>
        <v>0</v>
      </c>
      <c r="S9" s="2592"/>
      <c r="T9" s="2592"/>
      <c r="U9" s="2592"/>
      <c r="V9" s="2600"/>
    </row>
    <row r="10" spans="1:22" s="2604" customFormat="1" ht="13.15" customHeight="1">
      <c r="A10" s="2639">
        <v>2</v>
      </c>
      <c r="B10" s="3409" t="s">
        <v>2353</v>
      </c>
      <c r="C10" s="3410"/>
      <c r="D10" s="2640">
        <f>ROUND(D6*E10,0)</f>
        <v>0</v>
      </c>
      <c r="E10" s="2644"/>
      <c r="F10" s="2645" t="s">
        <v>2354</v>
      </c>
      <c r="G10" s="2624"/>
      <c r="H10" s="2599"/>
      <c r="I10" s="2600"/>
      <c r="J10" s="3405"/>
      <c r="K10" s="3407"/>
      <c r="L10" s="2634" t="s">
        <v>2355</v>
      </c>
      <c r="M10" s="2635"/>
      <c r="N10" s="2611"/>
      <c r="O10" s="2636"/>
      <c r="P10" s="2636"/>
      <c r="Q10" s="2637">
        <v>365</v>
      </c>
      <c r="R10" s="2638">
        <f t="shared" si="0"/>
        <v>0</v>
      </c>
      <c r="S10" s="2592"/>
      <c r="T10" s="2592"/>
      <c r="U10" s="2592"/>
      <c r="V10" s="2600"/>
    </row>
    <row r="11" spans="1:22" s="2604" customFormat="1" ht="13.15" customHeight="1">
      <c r="A11" s="2639">
        <v>3</v>
      </c>
      <c r="B11" s="3409" t="s">
        <v>2356</v>
      </c>
      <c r="C11" s="3410"/>
      <c r="D11" s="2640">
        <f>D12+D14+D15+D16</f>
        <v>0</v>
      </c>
      <c r="E11" s="2646" t="e">
        <f>D11/D6</f>
        <v>#DIV/0!</v>
      </c>
      <c r="F11" s="2642"/>
      <c r="G11" s="2643"/>
      <c r="H11" s="2599"/>
      <c r="I11" s="2600"/>
      <c r="J11" s="3405"/>
      <c r="K11" s="3407"/>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11" t="s">
        <v>2359</v>
      </c>
      <c r="C12" s="3412"/>
      <c r="D12" s="2648">
        <f>ROUND(D13*1.2%*(1-30%),0)</f>
        <v>0</v>
      </c>
      <c r="E12" s="2649">
        <v>1.2E-2</v>
      </c>
      <c r="F12" s="2642" t="s">
        <v>2360</v>
      </c>
      <c r="G12" s="2643"/>
      <c r="H12" s="2599"/>
      <c r="I12" s="2600"/>
      <c r="J12" s="3405"/>
      <c r="K12" s="3407"/>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405"/>
      <c r="K13" s="3407"/>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11" t="s">
        <v>2365</v>
      </c>
      <c r="C14" s="3412"/>
      <c r="D14" s="2648">
        <f>ROUND(E14*B5/10000,0)</f>
        <v>0</v>
      </c>
      <c r="E14" s="2637"/>
      <c r="F14" s="2642" t="s">
        <v>2366</v>
      </c>
      <c r="G14" s="2643"/>
      <c r="H14" s="2599"/>
      <c r="I14" s="2600"/>
      <c r="J14" s="3405"/>
      <c r="K14" s="3408"/>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11" t="s">
        <v>2369</v>
      </c>
      <c r="C15" s="3412"/>
      <c r="D15" s="2648">
        <f>ROUND(D6*E15,0)</f>
        <v>0</v>
      </c>
      <c r="E15" s="2649">
        <v>5.5E-2</v>
      </c>
      <c r="F15" s="2642" t="s">
        <v>2370</v>
      </c>
      <c r="G15" s="2624"/>
      <c r="H15" s="2599"/>
      <c r="I15" s="2600"/>
      <c r="J15" s="3405">
        <v>2</v>
      </c>
      <c r="K15" s="3406"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11" t="s">
        <v>2378</v>
      </c>
      <c r="C16" s="3412"/>
      <c r="D16" s="2659">
        <f>D6*E16</f>
        <v>0</v>
      </c>
      <c r="E16" s="2660"/>
      <c r="F16" s="2645" t="s">
        <v>2379</v>
      </c>
      <c r="G16" s="2624"/>
      <c r="H16" s="2599"/>
      <c r="I16" s="2600"/>
      <c r="J16" s="3405"/>
      <c r="K16" s="3407"/>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13" t="s">
        <v>2381</v>
      </c>
      <c r="C17" s="3414"/>
      <c r="D17" s="2662">
        <f>ROUND(D6*E17,0)</f>
        <v>0</v>
      </c>
      <c r="E17" s="2663"/>
      <c r="F17" s="2664" t="s">
        <v>2382</v>
      </c>
      <c r="G17" s="2624"/>
      <c r="H17" s="2599"/>
      <c r="I17" s="2600"/>
      <c r="J17" s="3405"/>
      <c r="K17" s="3407"/>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405"/>
      <c r="K18" s="3407"/>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405"/>
      <c r="K19" s="3408"/>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5">
        <v>3</v>
      </c>
      <c r="K20" s="3406"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405"/>
      <c r="K21" s="3407"/>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405"/>
      <c r="K22" s="3407"/>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405"/>
      <c r="K23" s="3407"/>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405"/>
      <c r="K24" s="3408"/>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415">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41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98" t="s">
        <v>2314</v>
      </c>
      <c r="K32" s="3399"/>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400" t="s">
        <v>2324</v>
      </c>
      <c r="K33" s="3401"/>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400" t="s">
        <v>2326</v>
      </c>
      <c r="K34" s="340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405">
        <v>1</v>
      </c>
      <c r="K36" s="3406"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405"/>
      <c r="K37" s="3407"/>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5"/>
      <c r="K38" s="3407"/>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405"/>
      <c r="K39" s="3407"/>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405"/>
      <c r="K40" s="3408"/>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5">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41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1499.3420000000001</v>
      </c>
      <c r="C2" s="1729" t="s">
        <v>1651</v>
      </c>
      <c r="D2" s="1730" t="s">
        <v>1652</v>
      </c>
      <c r="E2" s="2392">
        <f>SUM(E6:E13)</f>
        <v>720.13</v>
      </c>
      <c r="F2" s="2479"/>
      <c r="G2" s="459"/>
      <c r="H2" s="459"/>
      <c r="I2" s="459"/>
      <c r="J2" s="459"/>
      <c r="K2" s="459"/>
      <c r="L2" s="459"/>
      <c r="M2" s="459"/>
      <c r="N2" s="459"/>
      <c r="O2" s="459"/>
      <c r="P2" s="459"/>
      <c r="Q2" s="459"/>
      <c r="R2" s="459"/>
      <c r="S2" s="459"/>
    </row>
    <row r="3" spans="1:22" ht="15.75">
      <c r="A3" s="1728" t="s">
        <v>686</v>
      </c>
      <c r="B3" s="2386">
        <f ca="1">ROUND(B2*10000/E2,0)</f>
        <v>20820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7" t="s">
        <v>1654</v>
      </c>
      <c r="C5" s="3418"/>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1499.3420000000001</v>
      </c>
      <c r="C6" s="1729" t="s">
        <v>1651</v>
      </c>
      <c r="D6" s="2479"/>
      <c r="E6" s="2391">
        <f>IF(OR(A6=0,F6="否"),0,'数据-取费表'!K6+'数据-取费表'!S6)</f>
        <v>720.13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720.13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61" t="s">
        <v>1667</v>
      </c>
      <c r="D4" s="3362"/>
      <c r="E4" s="3363" t="s">
        <v>1668</v>
      </c>
      <c r="F4" s="3364"/>
      <c r="G4" s="3361" t="s">
        <v>1669</v>
      </c>
      <c r="H4" s="3362"/>
      <c r="I4" s="3361" t="s">
        <v>1670</v>
      </c>
      <c r="J4" s="3362"/>
      <c r="K4" s="1744" t="s">
        <v>1671</v>
      </c>
      <c r="L4" s="2486"/>
      <c r="M4" s="2487"/>
      <c r="N4" s="2487"/>
      <c r="O4" s="2487"/>
      <c r="P4" s="3422" t="s">
        <v>1672</v>
      </c>
      <c r="Q4" s="3423"/>
      <c r="R4" s="3420" t="s">
        <v>1668</v>
      </c>
      <c r="S4" s="3421"/>
      <c r="T4" s="3420" t="s">
        <v>1669</v>
      </c>
      <c r="U4" s="3421"/>
      <c r="V4" s="3374" t="s">
        <v>1670</v>
      </c>
      <c r="W4" s="3374"/>
      <c r="X4" s="1265"/>
      <c r="Y4" s="3420" t="s">
        <v>1672</v>
      </c>
      <c r="Z4" s="3421"/>
      <c r="AA4" s="3419" t="s">
        <v>1668</v>
      </c>
      <c r="AB4" s="3419" t="s">
        <v>1669</v>
      </c>
      <c r="AC4" s="3419" t="s">
        <v>1670</v>
      </c>
    </row>
    <row r="5" spans="1:29" ht="15">
      <c r="A5" s="348"/>
      <c r="B5" s="349"/>
      <c r="C5" s="3354" t="s">
        <v>1673</v>
      </c>
      <c r="D5" s="3351"/>
      <c r="E5" s="3348" t="s">
        <v>1674</v>
      </c>
      <c r="F5" s="3349"/>
      <c r="G5" s="3354" t="s">
        <v>1675</v>
      </c>
      <c r="H5" s="3351"/>
      <c r="I5" s="3354" t="s">
        <v>1676</v>
      </c>
      <c r="J5" s="3351"/>
      <c r="K5" s="1745"/>
      <c r="L5" s="2486"/>
      <c r="M5" s="2487"/>
      <c r="N5" s="2487"/>
      <c r="O5" s="2487"/>
      <c r="P5" s="3424"/>
      <c r="Q5" s="3368"/>
      <c r="R5" s="3346"/>
      <c r="S5" s="3347"/>
      <c r="T5" s="3346"/>
      <c r="U5" s="3347"/>
      <c r="V5" s="3374"/>
      <c r="W5" s="3374"/>
      <c r="X5" s="1265"/>
      <c r="Y5" s="3346"/>
      <c r="Z5" s="3347"/>
      <c r="AA5" s="3340"/>
      <c r="AB5" s="3340"/>
      <c r="AC5" s="3340"/>
    </row>
    <row r="6" spans="1:29" ht="15.75" thickBot="1">
      <c r="A6" s="350"/>
      <c r="B6" s="351"/>
      <c r="C6" s="3352" t="s">
        <v>1677</v>
      </c>
      <c r="D6" s="3353"/>
      <c r="E6" s="3355" t="s">
        <v>1677</v>
      </c>
      <c r="F6" s="3356"/>
      <c r="G6" s="3352" t="s">
        <v>1677</v>
      </c>
      <c r="H6" s="3353"/>
      <c r="I6" s="3352" t="s">
        <v>1677</v>
      </c>
      <c r="J6" s="3353"/>
      <c r="K6" s="1745" t="s">
        <v>1678</v>
      </c>
      <c r="L6" s="2486"/>
      <c r="M6" s="2487"/>
      <c r="N6" s="2487"/>
      <c r="O6" s="2487"/>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42" t="s">
        <v>1680</v>
      </c>
      <c r="Q7" s="3376"/>
      <c r="R7" s="664" t="s">
        <v>20</v>
      </c>
      <c r="S7" s="665">
        <f t="shared" ref="S7:S15" si="0">F7</f>
        <v>0</v>
      </c>
      <c r="T7" s="664" t="s">
        <v>20</v>
      </c>
      <c r="U7" s="665">
        <f t="shared" ref="U7:U15" si="1">H7</f>
        <v>0</v>
      </c>
      <c r="V7" s="664" t="s">
        <v>20</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42" t="s">
        <v>1683</v>
      </c>
      <c r="Q8" s="3343"/>
      <c r="R8" s="664" t="s">
        <v>20</v>
      </c>
      <c r="S8" s="665">
        <f t="shared" si="0"/>
        <v>100</v>
      </c>
      <c r="T8" s="664" t="s">
        <v>20</v>
      </c>
      <c r="U8" s="665">
        <f t="shared" si="1"/>
        <v>100</v>
      </c>
      <c r="V8" s="664" t="s">
        <v>20</v>
      </c>
      <c r="W8" s="665">
        <f t="shared" si="2"/>
        <v>100</v>
      </c>
      <c r="X8" s="666"/>
      <c r="Y8" s="3342" t="s">
        <v>1683</v>
      </c>
      <c r="Z8" s="334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57"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57"/>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7"/>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57"/>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57"/>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57"/>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7"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8"/>
      <c r="Q16" s="1263"/>
      <c r="R16" s="667"/>
      <c r="S16" s="668"/>
      <c r="T16" s="667"/>
      <c r="U16" s="668"/>
      <c r="V16" s="667"/>
      <c r="W16" s="668"/>
      <c r="X16" s="1265"/>
      <c r="Y16" s="3380"/>
      <c r="Z16" s="1264"/>
      <c r="AA16" s="1264">
        <v>1</v>
      </c>
      <c r="AB16" s="1264">
        <v>1</v>
      </c>
      <c r="AC16" s="1264">
        <v>1</v>
      </c>
    </row>
    <row r="17" spans="1:29" ht="15">
      <c r="A17" s="367"/>
      <c r="B17" s="390" t="s">
        <v>1259</v>
      </c>
      <c r="C17" s="1754" t="str">
        <f>估价对象房地状况!C6</f>
        <v>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8"/>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8"/>
      <c r="Q18" s="1263"/>
      <c r="R18" s="667"/>
      <c r="S18" s="668"/>
      <c r="T18" s="667"/>
      <c r="U18" s="668"/>
      <c r="V18" s="667"/>
      <c r="W18" s="668"/>
      <c r="X18" s="1265"/>
      <c r="Y18" s="3380"/>
      <c r="Z18" s="1264"/>
      <c r="AA18" s="1264">
        <v>1</v>
      </c>
      <c r="AB18" s="1264">
        <v>1</v>
      </c>
      <c r="AC18" s="1264">
        <v>1</v>
      </c>
    </row>
    <row r="19" spans="1:29" ht="15">
      <c r="A19" s="367"/>
      <c r="B19" s="390" t="s">
        <v>1258</v>
      </c>
      <c r="C19" s="1754" t="str">
        <f>估价对象房地状况!C7</f>
        <v>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8"/>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8"/>
      <c r="Q20" s="1263"/>
      <c r="R20" s="667"/>
      <c r="S20" s="668"/>
      <c r="T20" s="667"/>
      <c r="U20" s="668"/>
      <c r="V20" s="667"/>
      <c r="W20" s="668"/>
      <c r="X20" s="1265"/>
      <c r="Y20" s="3380"/>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8"/>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8"/>
      <c r="Q22" s="1263"/>
      <c r="R22" s="667"/>
      <c r="S22" s="668"/>
      <c r="T22" s="667"/>
      <c r="U22" s="668"/>
      <c r="V22" s="667"/>
      <c r="W22" s="668"/>
      <c r="X22" s="1265"/>
      <c r="Y22" s="3380"/>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8"/>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8"/>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8"/>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8"/>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8"/>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8"/>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8"/>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8"/>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86" t="str">
        <f>A47</f>
        <v>成交单价（元/平方米）</v>
      </c>
      <c r="Q47" s="3386"/>
      <c r="R47" s="3374">
        <f>E47</f>
        <v>0</v>
      </c>
      <c r="S47" s="3374"/>
      <c r="T47" s="3374">
        <f>G47</f>
        <v>0</v>
      </c>
      <c r="U47" s="3374"/>
      <c r="V47" s="3374">
        <f>I47</f>
        <v>0</v>
      </c>
      <c r="W47" s="337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6" t="str">
        <f>A48</f>
        <v>比较价值（元/平方米）</v>
      </c>
      <c r="Q48" s="3386"/>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720.13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422" t="s">
        <v>1775</v>
      </c>
      <c r="Q4" s="3423"/>
      <c r="R4" s="3420" t="s">
        <v>1771</v>
      </c>
      <c r="S4" s="3421"/>
      <c r="T4" s="3420" t="s">
        <v>1772</v>
      </c>
      <c r="U4" s="3421"/>
      <c r="V4" s="3374" t="s">
        <v>1773</v>
      </c>
      <c r="W4" s="3374"/>
      <c r="X4" s="1265"/>
      <c r="Y4" s="3420" t="s">
        <v>1775</v>
      </c>
      <c r="Z4" s="3421"/>
      <c r="AA4" s="3419" t="s">
        <v>1771</v>
      </c>
      <c r="AB4" s="3374" t="s">
        <v>1772</v>
      </c>
      <c r="AC4" s="3419" t="s">
        <v>1773</v>
      </c>
    </row>
    <row r="5" spans="1:29" ht="15">
      <c r="A5" s="348"/>
      <c r="B5" s="349"/>
      <c r="C5" s="3354" t="s">
        <v>1673</v>
      </c>
      <c r="D5" s="3351"/>
      <c r="E5" s="3348" t="s">
        <v>1674</v>
      </c>
      <c r="F5" s="3349"/>
      <c r="G5" s="3354" t="s">
        <v>1675</v>
      </c>
      <c r="H5" s="3351"/>
      <c r="I5" s="3354" t="s">
        <v>1676</v>
      </c>
      <c r="J5" s="3351"/>
      <c r="K5" s="537"/>
      <c r="L5" s="2486"/>
      <c r="M5" s="2487"/>
      <c r="N5" s="2487"/>
      <c r="O5" s="2487"/>
      <c r="P5" s="3424"/>
      <c r="Q5" s="3368"/>
      <c r="R5" s="3346"/>
      <c r="S5" s="3347"/>
      <c r="T5" s="3346"/>
      <c r="U5" s="3347"/>
      <c r="V5" s="3374"/>
      <c r="W5" s="3374"/>
      <c r="X5" s="1265"/>
      <c r="Y5" s="3346"/>
      <c r="Z5" s="3347"/>
      <c r="AA5" s="3340"/>
      <c r="AB5" s="3374"/>
      <c r="AC5" s="3340"/>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425"/>
      <c r="Q6" s="3370"/>
      <c r="R6" s="3346"/>
      <c r="S6" s="3347"/>
      <c r="T6" s="3371"/>
      <c r="U6" s="3372"/>
      <c r="V6" s="3374"/>
      <c r="W6" s="3374"/>
      <c r="X6" s="1265"/>
      <c r="Y6" s="3371"/>
      <c r="Z6" s="3372"/>
      <c r="AA6" s="3341"/>
      <c r="AB6" s="3374"/>
      <c r="AC6" s="3341"/>
    </row>
    <row r="7" spans="1:29" s="102" customFormat="1" ht="15.75" thickBot="1">
      <c r="A7" s="352" t="s">
        <v>1679</v>
      </c>
      <c r="B7" s="353"/>
      <c r="C7" s="354">
        <f>'数据-取费表'!B2</f>
        <v>45005</v>
      </c>
      <c r="D7" s="355">
        <v>100</v>
      </c>
      <c r="E7" s="356"/>
      <c r="F7" s="357">
        <f>SUMIF(58:58,YEAR(E7)&amp;"-"&amp;MONTH(E7),59:59)</f>
        <v>0</v>
      </c>
      <c r="G7" s="356"/>
      <c r="H7" s="355">
        <f>SUMIF(58:58,YEAR(G7)&amp;"-"&amp;MONTH(G7),59:59)</f>
        <v>0</v>
      </c>
      <c r="I7" s="356"/>
      <c r="J7" s="355">
        <f>SUMIF(58:58,YEAR(I7)&amp;"-"&amp;MONTH(I7),59:59)</f>
        <v>0</v>
      </c>
      <c r="K7" s="38"/>
      <c r="L7" s="2488"/>
      <c r="M7" s="2439"/>
      <c r="N7" s="2439"/>
      <c r="O7" s="2439"/>
      <c r="P7" s="3342" t="s">
        <v>1680</v>
      </c>
      <c r="Q7" s="3376"/>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42" t="s">
        <v>1683</v>
      </c>
      <c r="Q8" s="3343"/>
      <c r="R8" s="664" t="s">
        <v>14</v>
      </c>
      <c r="S8" s="665">
        <f t="shared" si="0"/>
        <v>100</v>
      </c>
      <c r="T8" s="664" t="s">
        <v>14</v>
      </c>
      <c r="U8" s="665">
        <f t="shared" si="1"/>
        <v>100</v>
      </c>
      <c r="V8" s="664" t="s">
        <v>14</v>
      </c>
      <c r="W8" s="665">
        <f t="shared" si="2"/>
        <v>100</v>
      </c>
      <c r="X8" s="666"/>
      <c r="Y8" s="3342" t="s">
        <v>1683</v>
      </c>
      <c r="Z8" s="334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57"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57"/>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57"/>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7"/>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7"/>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7"/>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7"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8"/>
      <c r="Q16" s="1263"/>
      <c r="R16" s="667"/>
      <c r="S16" s="668"/>
      <c r="T16" s="667"/>
      <c r="U16" s="668"/>
      <c r="V16" s="667"/>
      <c r="W16" s="668"/>
      <c r="X16" s="1265"/>
      <c r="Y16" s="3380"/>
      <c r="Z16" s="1264"/>
      <c r="AA16" s="1264">
        <v>1</v>
      </c>
      <c r="AB16" s="1264">
        <v>1</v>
      </c>
      <c r="AC16" s="1264">
        <v>1</v>
      </c>
    </row>
    <row r="17" spans="1:29" ht="15">
      <c r="A17" s="367"/>
      <c r="B17" s="390" t="s">
        <v>1259</v>
      </c>
      <c r="C17" s="1754" t="str">
        <f>估价对象房地状况!C6</f>
        <v>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8"/>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8"/>
      <c r="Q18" s="1263"/>
      <c r="R18" s="667"/>
      <c r="S18" s="668"/>
      <c r="T18" s="667"/>
      <c r="U18" s="668"/>
      <c r="V18" s="667"/>
      <c r="W18" s="668"/>
      <c r="X18" s="1265"/>
      <c r="Y18" s="3380"/>
      <c r="Z18" s="1264"/>
      <c r="AA18" s="1264">
        <v>1</v>
      </c>
      <c r="AB18" s="1264">
        <v>1</v>
      </c>
      <c r="AC18" s="1264">
        <v>1</v>
      </c>
    </row>
    <row r="19" spans="1:29" ht="15">
      <c r="A19" s="367"/>
      <c r="B19" s="390" t="s">
        <v>1778</v>
      </c>
      <c r="C19" s="1754" t="str">
        <f>估价对象房地状况!C7</f>
        <v>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8"/>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8"/>
      <c r="Q20" s="1263"/>
      <c r="R20" s="667"/>
      <c r="S20" s="668"/>
      <c r="T20" s="667"/>
      <c r="U20" s="668"/>
      <c r="V20" s="667"/>
      <c r="W20" s="668"/>
      <c r="X20" s="1265"/>
      <c r="Y20" s="3380"/>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8"/>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8"/>
      <c r="Q22" s="1263"/>
      <c r="R22" s="667"/>
      <c r="S22" s="668"/>
      <c r="T22" s="667"/>
      <c r="U22" s="668"/>
      <c r="V22" s="667"/>
      <c r="W22" s="668"/>
      <c r="X22" s="1265"/>
      <c r="Y22" s="3380"/>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8"/>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8"/>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8"/>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8"/>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78"/>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8"/>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8"/>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8"/>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6" t="str">
        <f>A47</f>
        <v>成交单价（元/平方米）</v>
      </c>
      <c r="Q47" s="3386"/>
      <c r="R47" s="3374">
        <f>E47</f>
        <v>0</v>
      </c>
      <c r="S47" s="3374"/>
      <c r="T47" s="3374">
        <f>G47</f>
        <v>0</v>
      </c>
      <c r="U47" s="3374"/>
      <c r="V47" s="3374">
        <f>I47</f>
        <v>0</v>
      </c>
      <c r="W47" s="337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6" t="str">
        <f>A48</f>
        <v>比较价值（元/平方米）</v>
      </c>
      <c r="Q48" s="3386"/>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估价对象为北京市房地产，为所有。根据，估价对象（分摊）出让国有建设用地使用权面积为0平方米，建筑面积为720.13平方米。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估价对象为北京市房地产,属开发建设的，该项目尚在开发建设中。根据，估价对象（分摊）出让国有建设用地使用权面积为0平方米，规划建筑面积为720.13平方米。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720.13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1" t="s">
        <v>1770</v>
      </c>
      <c r="D4" s="3362"/>
      <c r="E4" s="3363" t="s">
        <v>1771</v>
      </c>
      <c r="F4" s="3364"/>
      <c r="G4" s="3361" t="s">
        <v>1772</v>
      </c>
      <c r="H4" s="3362"/>
      <c r="I4" s="3361" t="s">
        <v>1773</v>
      </c>
      <c r="J4" s="3362"/>
      <c r="K4" s="537" t="s">
        <v>1774</v>
      </c>
      <c r="L4" s="860"/>
      <c r="M4" s="861"/>
      <c r="N4" s="861"/>
      <c r="O4" s="861"/>
      <c r="P4" s="3422" t="s">
        <v>1775</v>
      </c>
      <c r="Q4" s="3423"/>
      <c r="R4" s="3420" t="s">
        <v>1771</v>
      </c>
      <c r="S4" s="3421"/>
      <c r="T4" s="3420" t="s">
        <v>1772</v>
      </c>
      <c r="U4" s="3421"/>
      <c r="V4" s="3374" t="s">
        <v>1773</v>
      </c>
      <c r="W4" s="3374"/>
      <c r="X4" s="1265"/>
      <c r="Y4" s="3420" t="s">
        <v>1775</v>
      </c>
      <c r="Z4" s="3421"/>
      <c r="AA4" s="3419" t="s">
        <v>1771</v>
      </c>
      <c r="AB4" s="3340" t="s">
        <v>1772</v>
      </c>
      <c r="AC4" s="3419" t="s">
        <v>1773</v>
      </c>
    </row>
    <row r="5" spans="1:29" ht="15">
      <c r="A5" s="348"/>
      <c r="B5" s="349"/>
      <c r="C5" s="3354" t="s">
        <v>1673</v>
      </c>
      <c r="D5" s="3351"/>
      <c r="E5" s="3348" t="s">
        <v>1674</v>
      </c>
      <c r="F5" s="3349"/>
      <c r="G5" s="3354" t="s">
        <v>1675</v>
      </c>
      <c r="H5" s="3351"/>
      <c r="I5" s="3354" t="s">
        <v>1676</v>
      </c>
      <c r="J5" s="3351"/>
      <c r="K5" s="537"/>
      <c r="L5" s="860"/>
      <c r="M5" s="861"/>
      <c r="N5" s="861"/>
      <c r="O5" s="861"/>
      <c r="P5" s="3424"/>
      <c r="Q5" s="3368"/>
      <c r="R5" s="3346"/>
      <c r="S5" s="3347"/>
      <c r="T5" s="3346"/>
      <c r="U5" s="3347"/>
      <c r="V5" s="3374"/>
      <c r="W5" s="3374"/>
      <c r="X5" s="1265"/>
      <c r="Y5" s="3346"/>
      <c r="Z5" s="3347"/>
      <c r="AA5" s="3340"/>
      <c r="AB5" s="3340"/>
      <c r="AC5" s="3340"/>
    </row>
    <row r="6" spans="1:29" ht="15.75" thickBot="1">
      <c r="A6" s="350"/>
      <c r="B6" s="351"/>
      <c r="C6" s="3352" t="s">
        <v>1677</v>
      </c>
      <c r="D6" s="3353"/>
      <c r="E6" s="3355" t="s">
        <v>1677</v>
      </c>
      <c r="F6" s="3356"/>
      <c r="G6" s="3352" t="s">
        <v>1677</v>
      </c>
      <c r="H6" s="3353"/>
      <c r="I6" s="3352" t="s">
        <v>1677</v>
      </c>
      <c r="J6" s="3353"/>
      <c r="K6" s="537" t="s">
        <v>1678</v>
      </c>
      <c r="L6" s="860"/>
      <c r="M6" s="861"/>
      <c r="N6" s="861"/>
      <c r="O6" s="861"/>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SUMIF(52:52,YEAR(E7)&amp;"-"&amp;MONTH(E7),53:53)</f>
        <v>0</v>
      </c>
      <c r="G7" s="356"/>
      <c r="H7" s="355">
        <f>SUMIF(52:52,YEAR(G7)&amp;"-"&amp;MONTH(G7),53:53)</f>
        <v>0</v>
      </c>
      <c r="I7" s="356"/>
      <c r="J7" s="355">
        <f>SUMIF(52:52,YEAR(I7)&amp;"-"&amp;MONTH(I7),53:53)</f>
        <v>0</v>
      </c>
      <c r="K7" s="38"/>
      <c r="L7" s="862"/>
      <c r="M7" s="863"/>
      <c r="N7" s="863"/>
      <c r="O7" s="863"/>
      <c r="P7" s="3342" t="s">
        <v>1680</v>
      </c>
      <c r="Q7" s="3376"/>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2" t="s">
        <v>1683</v>
      </c>
      <c r="Q8" s="3343"/>
      <c r="R8" s="664" t="s">
        <v>14</v>
      </c>
      <c r="S8" s="665">
        <f t="shared" si="0"/>
        <v>100</v>
      </c>
      <c r="T8" s="664" t="s">
        <v>14</v>
      </c>
      <c r="U8" s="665">
        <f t="shared" si="1"/>
        <v>100</v>
      </c>
      <c r="V8" s="664" t="s">
        <v>14</v>
      </c>
      <c r="W8" s="665">
        <f t="shared" si="2"/>
        <v>100</v>
      </c>
      <c r="X8" s="666"/>
      <c r="Y8" s="3342" t="s">
        <v>1683</v>
      </c>
      <c r="Z8" s="334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74">
        <f>E41</f>
        <v>0</v>
      </c>
      <c r="S41" s="3374"/>
      <c r="T41" s="3374">
        <f>G41</f>
        <v>0</v>
      </c>
      <c r="U41" s="3374"/>
      <c r="V41" s="3374">
        <f>I41</f>
        <v>0</v>
      </c>
      <c r="W41" s="337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422" t="s">
        <v>1775</v>
      </c>
      <c r="Q4" s="3423"/>
      <c r="R4" s="3420" t="s">
        <v>1771</v>
      </c>
      <c r="S4" s="3421"/>
      <c r="T4" s="3420" t="s">
        <v>1772</v>
      </c>
      <c r="U4" s="3421"/>
      <c r="V4" s="3374" t="s">
        <v>1773</v>
      </c>
      <c r="W4" s="3374"/>
      <c r="X4" s="1265"/>
      <c r="Y4" s="3420" t="s">
        <v>1775</v>
      </c>
      <c r="Z4" s="3421"/>
      <c r="AA4" s="3419" t="s">
        <v>1771</v>
      </c>
      <c r="AB4" s="3340" t="s">
        <v>1772</v>
      </c>
      <c r="AC4" s="3419" t="s">
        <v>1773</v>
      </c>
    </row>
    <row r="5" spans="1:29" ht="15">
      <c r="A5" s="348"/>
      <c r="B5" s="349"/>
      <c r="C5" s="3354" t="s">
        <v>1673</v>
      </c>
      <c r="D5" s="3351"/>
      <c r="E5" s="3348" t="s">
        <v>1674</v>
      </c>
      <c r="F5" s="3349"/>
      <c r="G5" s="3354" t="s">
        <v>1675</v>
      </c>
      <c r="H5" s="3351"/>
      <c r="I5" s="3354" t="s">
        <v>1676</v>
      </c>
      <c r="J5" s="3351"/>
      <c r="K5" s="537"/>
      <c r="L5" s="2486"/>
      <c r="M5" s="2487"/>
      <c r="N5" s="2487"/>
      <c r="O5" s="2487"/>
      <c r="P5" s="3424"/>
      <c r="Q5" s="3368"/>
      <c r="R5" s="3346"/>
      <c r="S5" s="3347"/>
      <c r="T5" s="3346"/>
      <c r="U5" s="3347"/>
      <c r="V5" s="3374"/>
      <c r="W5" s="3374"/>
      <c r="X5" s="1265"/>
      <c r="Y5" s="3346"/>
      <c r="Z5" s="3347"/>
      <c r="AA5" s="3340"/>
      <c r="AB5" s="3340"/>
      <c r="AC5" s="3340"/>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SUMIF(48:48,YEAR(E7)&amp;"-"&amp;MONTH(E7),49:49)</f>
        <v>0</v>
      </c>
      <c r="G7" s="356"/>
      <c r="H7" s="355">
        <f>SUMIF(48:48,YEAR(G7)&amp;"-"&amp;MONTH(G7),49:49)</f>
        <v>0</v>
      </c>
      <c r="I7" s="356"/>
      <c r="J7" s="355">
        <f>SUMIF(48:48,YEAR(I7)&amp;"-"&amp;MONTH(I7),49:49)</f>
        <v>0</v>
      </c>
      <c r="K7" s="38"/>
      <c r="L7" s="2488"/>
      <c r="M7" s="2439"/>
      <c r="N7" s="2439"/>
      <c r="O7" s="2439"/>
      <c r="P7" s="3342" t="s">
        <v>1680</v>
      </c>
      <c r="Q7" s="3376"/>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42" t="s">
        <v>1683</v>
      </c>
      <c r="Q8" s="3343"/>
      <c r="R8" s="664" t="s">
        <v>14</v>
      </c>
      <c r="S8" s="665">
        <f t="shared" si="0"/>
        <v>100</v>
      </c>
      <c r="T8" s="664" t="s">
        <v>14</v>
      </c>
      <c r="U8" s="665">
        <f t="shared" si="1"/>
        <v>100</v>
      </c>
      <c r="V8" s="664" t="s">
        <v>14</v>
      </c>
      <c r="W8" s="665">
        <f t="shared" si="2"/>
        <v>100</v>
      </c>
      <c r="X8" s="666"/>
      <c r="Y8" s="3342" t="s">
        <v>1683</v>
      </c>
      <c r="Z8" s="334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6"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6"/>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0"/>
      <c r="Q15" s="1263"/>
      <c r="R15" s="667"/>
      <c r="S15" s="668"/>
      <c r="T15" s="667"/>
      <c r="U15" s="668"/>
      <c r="V15" s="667"/>
      <c r="W15" s="668"/>
      <c r="X15" s="1265"/>
      <c r="Y15" s="3380"/>
      <c r="Z15" s="1264"/>
      <c r="AA15" s="1264">
        <v>1</v>
      </c>
      <c r="AB15" s="1264">
        <v>1</v>
      </c>
      <c r="AC15" s="1264">
        <v>1</v>
      </c>
    </row>
    <row r="16" spans="1:29" ht="15">
      <c r="A16" s="348"/>
      <c r="B16" s="556" t="s">
        <v>1812</v>
      </c>
      <c r="C16" s="1754" t="str">
        <f>IF(B1="工业",估价对象房地状况!G5,估价对象房地状况!C7)</f>
        <v>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0"/>
      <c r="Q17" s="1263"/>
      <c r="R17" s="667"/>
      <c r="S17" s="668"/>
      <c r="T17" s="667"/>
      <c r="U17" s="668"/>
      <c r="V17" s="667"/>
      <c r="W17" s="668"/>
      <c r="X17" s="1265"/>
      <c r="Y17" s="3380"/>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0"/>
      <c r="Q19" s="1263"/>
      <c r="R19" s="667"/>
      <c r="S19" s="668"/>
      <c r="T19" s="667"/>
      <c r="U19" s="668"/>
      <c r="V19" s="667"/>
      <c r="W19" s="668"/>
      <c r="X19" s="1265"/>
      <c r="Y19" s="3380"/>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386" t="str">
        <f>A37</f>
        <v>成交单价</v>
      </c>
      <c r="Q37" s="3386"/>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6" t="str">
        <f>A38</f>
        <v>比较价值（元/平方米）</v>
      </c>
      <c r="Q38" s="3386"/>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6" t="str">
        <f>A39</f>
        <v>估价对象XX用房的比较价值（楼面单价，元/平方米）</v>
      </c>
      <c r="Q39" s="3427"/>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422" t="s">
        <v>1775</v>
      </c>
      <c r="Q4" s="3423"/>
      <c r="R4" s="3420" t="s">
        <v>1771</v>
      </c>
      <c r="S4" s="3421"/>
      <c r="T4" s="3420" t="s">
        <v>1772</v>
      </c>
      <c r="U4" s="3421"/>
      <c r="V4" s="3374" t="s">
        <v>1773</v>
      </c>
      <c r="W4" s="3374"/>
      <c r="X4" s="1265"/>
      <c r="Y4" s="3420" t="s">
        <v>1775</v>
      </c>
      <c r="Z4" s="3421"/>
      <c r="AA4" s="3419" t="s">
        <v>1771</v>
      </c>
      <c r="AB4" s="3340" t="s">
        <v>1772</v>
      </c>
      <c r="AC4" s="3419" t="s">
        <v>1773</v>
      </c>
    </row>
    <row r="5" spans="1:29" ht="15">
      <c r="A5" s="348"/>
      <c r="B5" s="349"/>
      <c r="C5" s="3354" t="s">
        <v>1673</v>
      </c>
      <c r="D5" s="3351"/>
      <c r="E5" s="3348" t="s">
        <v>1674</v>
      </c>
      <c r="F5" s="3349"/>
      <c r="G5" s="3354" t="s">
        <v>1675</v>
      </c>
      <c r="H5" s="3351"/>
      <c r="I5" s="3354" t="s">
        <v>1676</v>
      </c>
      <c r="J5" s="3351"/>
      <c r="K5" s="537"/>
      <c r="L5" s="2486"/>
      <c r="M5" s="2487"/>
      <c r="N5" s="2487"/>
      <c r="O5" s="2487"/>
      <c r="P5" s="3424"/>
      <c r="Q5" s="3368"/>
      <c r="R5" s="3346"/>
      <c r="S5" s="3347"/>
      <c r="T5" s="3346"/>
      <c r="U5" s="3347"/>
      <c r="V5" s="3374"/>
      <c r="W5" s="3374"/>
      <c r="X5" s="1265"/>
      <c r="Y5" s="3346"/>
      <c r="Z5" s="3347"/>
      <c r="AA5" s="3340"/>
      <c r="AB5" s="3340"/>
      <c r="AC5" s="3340"/>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42" t="s">
        <v>1680</v>
      </c>
      <c r="Q7" s="3376"/>
      <c r="R7" s="664" t="s">
        <v>14</v>
      </c>
      <c r="S7" s="665">
        <f t="shared" ref="S7:S14" si="0">F7</f>
        <v>0</v>
      </c>
      <c r="T7" s="664" t="s">
        <v>14</v>
      </c>
      <c r="U7" s="665">
        <f t="shared" ref="U7:U14" si="1">H7</f>
        <v>0</v>
      </c>
      <c r="V7" s="664" t="s">
        <v>14</v>
      </c>
      <c r="W7" s="665">
        <f t="shared" ref="W7:W14" si="2">J7</f>
        <v>0</v>
      </c>
      <c r="X7" s="666"/>
      <c r="Y7" s="3342" t="s">
        <v>1680</v>
      </c>
      <c r="Z7" s="334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42" t="s">
        <v>1683</v>
      </c>
      <c r="Q8" s="3343"/>
      <c r="R8" s="664" t="s">
        <v>14</v>
      </c>
      <c r="S8" s="665">
        <f t="shared" si="0"/>
        <v>100</v>
      </c>
      <c r="T8" s="664" t="s">
        <v>14</v>
      </c>
      <c r="U8" s="665">
        <f t="shared" si="1"/>
        <v>100</v>
      </c>
      <c r="V8" s="664" t="s">
        <v>14</v>
      </c>
      <c r="W8" s="665">
        <f t="shared" si="2"/>
        <v>100</v>
      </c>
      <c r="X8" s="666"/>
      <c r="Y8" s="3342" t="s">
        <v>1683</v>
      </c>
      <c r="Z8" s="334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6"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6"/>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6"/>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0"/>
      <c r="Q15" s="1263"/>
      <c r="R15" s="667"/>
      <c r="S15" s="668"/>
      <c r="T15" s="667"/>
      <c r="U15" s="668"/>
      <c r="V15" s="667"/>
      <c r="W15" s="668"/>
      <c r="X15" s="1265"/>
      <c r="Y15" s="3380"/>
      <c r="Z15" s="1264"/>
      <c r="AA15" s="1264">
        <v>1</v>
      </c>
      <c r="AB15" s="1264">
        <v>1</v>
      </c>
      <c r="AC15" s="1264">
        <v>1</v>
      </c>
    </row>
    <row r="16" spans="1:29" ht="15">
      <c r="A16" s="367"/>
      <c r="B16" s="390" t="s">
        <v>1812</v>
      </c>
      <c r="C16" s="1754" t="str">
        <f>IF(B1="工业",估价对象房地状况!G5,估价对象房地状况!C7)</f>
        <v>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0"/>
      <c r="Q17" s="1263"/>
      <c r="R17" s="667"/>
      <c r="S17" s="668"/>
      <c r="T17" s="667"/>
      <c r="U17" s="668"/>
      <c r="V17" s="667"/>
      <c r="W17" s="668"/>
      <c r="X17" s="1265"/>
      <c r="Y17" s="3380"/>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0"/>
      <c r="Q19" s="1263"/>
      <c r="R19" s="667"/>
      <c r="S19" s="668"/>
      <c r="T19" s="667"/>
      <c r="U19" s="668"/>
      <c r="V19" s="667"/>
      <c r="W19" s="668"/>
      <c r="X19" s="1265"/>
      <c r="Y19" s="3380"/>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6" t="str">
        <f>A35</f>
        <v>成交单价（元/平方米）</v>
      </c>
      <c r="Q35" s="3386"/>
      <c r="R35" s="3374">
        <f>E35</f>
        <v>0</v>
      </c>
      <c r="S35" s="3374"/>
      <c r="T35" s="3374">
        <f>G35</f>
        <v>0</v>
      </c>
      <c r="U35" s="3374"/>
      <c r="V35" s="3374">
        <f>I35</f>
        <v>0</v>
      </c>
      <c r="W35" s="337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6" t="str">
        <f>A36</f>
        <v>比较价值（元/平方米）</v>
      </c>
      <c r="Q36" s="3386"/>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6" t="str">
        <f>A37</f>
        <v>估价对象XX用房的比较价值（楼面单价，元/平方米）</v>
      </c>
      <c r="Q37" s="3427"/>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422" t="s">
        <v>1775</v>
      </c>
      <c r="Q4" s="3423"/>
      <c r="R4" s="3420" t="s">
        <v>1771</v>
      </c>
      <c r="S4" s="3421"/>
      <c r="T4" s="3420" t="s">
        <v>1772</v>
      </c>
      <c r="U4" s="3421"/>
      <c r="V4" s="3374" t="s">
        <v>1773</v>
      </c>
      <c r="W4" s="3374"/>
      <c r="X4" s="1265"/>
      <c r="Y4" s="3420" t="s">
        <v>1775</v>
      </c>
      <c r="Z4" s="3421"/>
      <c r="AA4" s="3419" t="s">
        <v>1771</v>
      </c>
      <c r="AB4" s="3340" t="s">
        <v>1772</v>
      </c>
      <c r="AC4" s="3419" t="s">
        <v>1773</v>
      </c>
    </row>
    <row r="5" spans="1:29" ht="15">
      <c r="A5" s="348"/>
      <c r="B5" s="349"/>
      <c r="C5" s="3354" t="s">
        <v>1673</v>
      </c>
      <c r="D5" s="3351"/>
      <c r="E5" s="3348" t="s">
        <v>1674</v>
      </c>
      <c r="F5" s="3349"/>
      <c r="G5" s="3354" t="s">
        <v>1675</v>
      </c>
      <c r="H5" s="3351"/>
      <c r="I5" s="3354" t="s">
        <v>1676</v>
      </c>
      <c r="J5" s="3351"/>
      <c r="K5" s="537"/>
      <c r="L5" s="2486"/>
      <c r="M5" s="2487"/>
      <c r="N5" s="2487"/>
      <c r="O5" s="2487"/>
      <c r="P5" s="3424"/>
      <c r="Q5" s="3368"/>
      <c r="R5" s="3346"/>
      <c r="S5" s="3347"/>
      <c r="T5" s="3346"/>
      <c r="U5" s="3347"/>
      <c r="V5" s="3374"/>
      <c r="W5" s="3374"/>
      <c r="X5" s="1265"/>
      <c r="Y5" s="3346"/>
      <c r="Z5" s="3347"/>
      <c r="AA5" s="3340"/>
      <c r="AB5" s="3340"/>
      <c r="AC5" s="3340"/>
    </row>
    <row r="6" spans="1:29" ht="15.75" thickBot="1">
      <c r="A6" s="350"/>
      <c r="B6" s="351"/>
      <c r="C6" s="3352" t="s">
        <v>1677</v>
      </c>
      <c r="D6" s="3353"/>
      <c r="E6" s="3355" t="s">
        <v>1677</v>
      </c>
      <c r="F6" s="3356"/>
      <c r="G6" s="3352" t="s">
        <v>1677</v>
      </c>
      <c r="H6" s="3353"/>
      <c r="I6" s="3352" t="s">
        <v>1677</v>
      </c>
      <c r="J6" s="3353"/>
      <c r="K6" s="537" t="s">
        <v>1678</v>
      </c>
      <c r="L6" s="2486"/>
      <c r="M6" s="2487"/>
      <c r="N6" s="2487"/>
      <c r="O6" s="2487"/>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42" t="s">
        <v>1680</v>
      </c>
      <c r="Q7" s="3376"/>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42" t="s">
        <v>1683</v>
      </c>
      <c r="Q8" s="3343"/>
      <c r="R8" s="664" t="s">
        <v>14</v>
      </c>
      <c r="S8" s="665">
        <f t="shared" si="0"/>
        <v>0</v>
      </c>
      <c r="T8" s="664" t="s">
        <v>14</v>
      </c>
      <c r="U8" s="665">
        <f t="shared" si="1"/>
        <v>0</v>
      </c>
      <c r="V8" s="664" t="s">
        <v>14</v>
      </c>
      <c r="W8" s="665">
        <f t="shared" si="2"/>
        <v>0</v>
      </c>
      <c r="X8" s="666"/>
      <c r="Y8" s="3342" t="s">
        <v>1683</v>
      </c>
      <c r="Z8" s="334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86"/>
      <c r="Q10" s="530" t="str">
        <f t="shared" si="6"/>
        <v>土地使用年限（年）</v>
      </c>
      <c r="R10" s="664" t="s">
        <v>14</v>
      </c>
      <c r="S10" s="665">
        <f t="shared" si="0"/>
        <v>116</v>
      </c>
      <c r="T10" s="664" t="s">
        <v>14</v>
      </c>
      <c r="U10" s="665">
        <f t="shared" si="1"/>
        <v>116</v>
      </c>
      <c r="V10" s="664" t="s">
        <v>14</v>
      </c>
      <c r="W10" s="665">
        <f t="shared" si="2"/>
        <v>116</v>
      </c>
      <c r="X10" s="666"/>
      <c r="Y10" s="3315"/>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6"/>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6"/>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6"/>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0"/>
      <c r="Q16" s="1263"/>
      <c r="R16" s="667"/>
      <c r="S16" s="668"/>
      <c r="T16" s="667"/>
      <c r="U16" s="668"/>
      <c r="V16" s="667"/>
      <c r="W16" s="668"/>
      <c r="X16" s="1265"/>
      <c r="Y16" s="338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0"/>
      <c r="Q18" s="1263"/>
      <c r="R18" s="667"/>
      <c r="S18" s="668"/>
      <c r="T18" s="667"/>
      <c r="U18" s="668"/>
      <c r="V18" s="667"/>
      <c r="W18" s="668"/>
      <c r="X18" s="1265"/>
      <c r="Y18" s="3380"/>
      <c r="Z18" s="1264"/>
      <c r="AA18" s="1264">
        <v>1</v>
      </c>
      <c r="AB18" s="1264">
        <v>1</v>
      </c>
      <c r="AC18" s="1264">
        <v>1</v>
      </c>
    </row>
    <row r="19" spans="1:29" ht="15">
      <c r="A19" s="367"/>
      <c r="B19" s="390" t="s">
        <v>1811</v>
      </c>
      <c r="C19" s="1806" t="str">
        <f>估价对象房地状况!C17</f>
        <v>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0"/>
      <c r="Q20" s="1263"/>
      <c r="R20" s="667"/>
      <c r="S20" s="668"/>
      <c r="T20" s="667"/>
      <c r="U20" s="668"/>
      <c r="V20" s="667"/>
      <c r="W20" s="668"/>
      <c r="X20" s="1265"/>
      <c r="Y20" s="3380"/>
      <c r="Z20" s="1264"/>
      <c r="AA20" s="1264">
        <v>1</v>
      </c>
      <c r="AB20" s="1264">
        <v>1</v>
      </c>
      <c r="AC20" s="1264">
        <v>1</v>
      </c>
    </row>
    <row r="21" spans="1:29" ht="15">
      <c r="A21" s="367"/>
      <c r="B21" s="390" t="s">
        <v>1833</v>
      </c>
      <c r="C21" s="1754" t="str">
        <f>估价对象房地状况!C18</f>
        <v>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0"/>
      <c r="Q24" s="1263"/>
      <c r="R24" s="667"/>
      <c r="S24" s="668"/>
      <c r="T24" s="667"/>
      <c r="U24" s="668"/>
      <c r="V24" s="667"/>
      <c r="W24" s="668"/>
      <c r="X24" s="1265"/>
      <c r="Y24" s="3380"/>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0"/>
      <c r="Q26" s="1263"/>
      <c r="R26" s="667"/>
      <c r="S26" s="668"/>
      <c r="T26" s="667"/>
      <c r="U26" s="668"/>
      <c r="V26" s="667"/>
      <c r="W26" s="668"/>
      <c r="X26" s="1265"/>
      <c r="Y26" s="3380"/>
      <c r="Z26" s="1264"/>
      <c r="AA26" s="1264">
        <v>1</v>
      </c>
      <c r="AB26" s="1264">
        <v>1</v>
      </c>
      <c r="AC26" s="1264">
        <v>1</v>
      </c>
    </row>
    <row r="27" spans="1:29" s="102" customFormat="1" ht="15">
      <c r="A27" s="443"/>
      <c r="B27" s="586" t="s">
        <v>1778</v>
      </c>
      <c r="C27" s="1754" t="str">
        <f>估价对象房地状况!C21</f>
        <v>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0"/>
      <c r="Q28" s="530"/>
      <c r="R28" s="664"/>
      <c r="S28" s="665"/>
      <c r="T28" s="664"/>
      <c r="U28" s="665"/>
      <c r="V28" s="664"/>
      <c r="W28" s="665"/>
      <c r="X28" s="666"/>
      <c r="Y28" s="3380"/>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9"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86" t="str">
        <f>A46</f>
        <v>成交单价</v>
      </c>
      <c r="Q46" s="3386"/>
      <c r="R46" s="3374">
        <f>E46</f>
        <v>0</v>
      </c>
      <c r="S46" s="3374"/>
      <c r="T46" s="3374">
        <f>G46</f>
        <v>0</v>
      </c>
      <c r="U46" s="3374"/>
      <c r="V46" s="3374">
        <f>I46</f>
        <v>0</v>
      </c>
      <c r="W46" s="337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6" t="str">
        <f>A47</f>
        <v>比较价值（元/平方米）</v>
      </c>
      <c r="Q47" s="3386"/>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6" t="str">
        <f>A48</f>
        <v>估价对象XX用房的比较价值（楼面单价，元/平方米）</v>
      </c>
      <c r="Q48" s="3427"/>
      <c r="R48" s="3432" t="e">
        <f>ROUND(IF(D47="简单平均",AVERAGE(R47:W47),R47*F47+T47*H47+V47*J47),0)</f>
        <v>#DIV/0!</v>
      </c>
      <c r="S48" s="3432"/>
      <c r="T48" s="3432"/>
      <c r="U48" s="3432"/>
      <c r="V48" s="3432"/>
      <c r="W48" s="343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61" t="s">
        <v>1887</v>
      </c>
      <c r="H55" s="343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378.45</v>
      </c>
      <c r="F56" s="833" t="e">
        <f t="shared" ref="F56:F64" si="15">ROUND(B56*E56/10000,0)</f>
        <v>#DIV/0!</v>
      </c>
      <c r="G56" s="3357"/>
      <c r="H56" s="338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341.68</v>
      </c>
      <c r="F60" s="833" t="e">
        <f t="shared" si="15"/>
        <v>#DIV/0!</v>
      </c>
      <c r="G60" s="1835" t="s">
        <v>1896</v>
      </c>
      <c r="H60" s="834" t="str">
        <f>项目基本情况!C37</f>
        <v>二级</v>
      </c>
      <c r="I60" s="838">
        <f>SUMIF(修正!A57:A68,H60,修正!E57:E68)</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720.13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1" t="s">
        <v>1770</v>
      </c>
      <c r="D4" s="3362"/>
      <c r="E4" s="3363" t="s">
        <v>1771</v>
      </c>
      <c r="F4" s="3364"/>
      <c r="G4" s="3361" t="s">
        <v>1772</v>
      </c>
      <c r="H4" s="3362"/>
      <c r="I4" s="3361" t="s">
        <v>1773</v>
      </c>
      <c r="J4" s="3362"/>
      <c r="K4" s="537" t="s">
        <v>1774</v>
      </c>
      <c r="L4" s="2486"/>
      <c r="M4" s="2487"/>
      <c r="N4" s="2487"/>
      <c r="O4" s="2487"/>
      <c r="P4" s="3422" t="s">
        <v>1775</v>
      </c>
      <c r="Q4" s="3423"/>
      <c r="R4" s="3420" t="s">
        <v>1771</v>
      </c>
      <c r="S4" s="3421"/>
      <c r="T4" s="3420" t="s">
        <v>1772</v>
      </c>
      <c r="U4" s="3421"/>
      <c r="V4" s="3374" t="s">
        <v>1773</v>
      </c>
      <c r="W4" s="3374"/>
      <c r="X4" s="1265"/>
      <c r="Y4" s="3420" t="s">
        <v>1775</v>
      </c>
      <c r="Z4" s="3421"/>
      <c r="AA4" s="3419" t="s">
        <v>1771</v>
      </c>
      <c r="AB4" s="3340" t="s">
        <v>1772</v>
      </c>
      <c r="AC4" s="3419" t="s">
        <v>1773</v>
      </c>
    </row>
    <row r="5" spans="1:29" ht="15">
      <c r="A5" s="348"/>
      <c r="B5" s="349"/>
      <c r="C5" s="3354" t="s">
        <v>1673</v>
      </c>
      <c r="D5" s="3351"/>
      <c r="E5" s="3348" t="s">
        <v>1674</v>
      </c>
      <c r="F5" s="3349"/>
      <c r="G5" s="3354" t="s">
        <v>1675</v>
      </c>
      <c r="H5" s="3351"/>
      <c r="I5" s="3354" t="s">
        <v>1676</v>
      </c>
      <c r="J5" s="3351"/>
      <c r="K5" s="537"/>
      <c r="L5" s="2486"/>
      <c r="M5" s="2487"/>
      <c r="N5" s="2487"/>
      <c r="O5" s="2487"/>
      <c r="P5" s="3424"/>
      <c r="Q5" s="3368"/>
      <c r="R5" s="3346"/>
      <c r="S5" s="3347"/>
      <c r="T5" s="3346"/>
      <c r="U5" s="3347"/>
      <c r="V5" s="3374"/>
      <c r="W5" s="3374"/>
      <c r="X5" s="1265"/>
      <c r="Y5" s="3346"/>
      <c r="Z5" s="3347"/>
      <c r="AA5" s="3340"/>
      <c r="AB5" s="3340"/>
      <c r="AC5" s="3340"/>
    </row>
    <row r="6" spans="1:29" ht="15.75" thickBot="1">
      <c r="A6" s="350"/>
      <c r="B6" s="351"/>
      <c r="C6" s="3434" t="s">
        <v>1919</v>
      </c>
      <c r="D6" s="3435"/>
      <c r="E6" s="3436" t="s">
        <v>1919</v>
      </c>
      <c r="F6" s="3437"/>
      <c r="G6" s="3434" t="s">
        <v>1919</v>
      </c>
      <c r="H6" s="3435"/>
      <c r="I6" s="3434" t="s">
        <v>1919</v>
      </c>
      <c r="J6" s="3435"/>
      <c r="K6" s="537" t="s">
        <v>1678</v>
      </c>
      <c r="L6" s="2486"/>
      <c r="M6" s="2487"/>
      <c r="N6" s="2487"/>
      <c r="O6" s="2487"/>
      <c r="P6" s="3425"/>
      <c r="Q6" s="3370"/>
      <c r="R6" s="3346"/>
      <c r="S6" s="3347"/>
      <c r="T6" s="3371"/>
      <c r="U6" s="3372"/>
      <c r="V6" s="3374"/>
      <c r="W6" s="3374"/>
      <c r="X6" s="1265"/>
      <c r="Y6" s="3371"/>
      <c r="Z6" s="3372"/>
      <c r="AA6" s="3341"/>
      <c r="AB6" s="3341"/>
      <c r="AC6" s="3341"/>
    </row>
    <row r="7" spans="1:29" s="102" customFormat="1" ht="15.75" thickBot="1">
      <c r="A7" s="352" t="s">
        <v>1679</v>
      </c>
      <c r="B7" s="353"/>
      <c r="C7" s="354">
        <f>'数据-取费表'!B2</f>
        <v>45005</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42" t="s">
        <v>1680</v>
      </c>
      <c r="Q7" s="3376"/>
      <c r="R7" s="664" t="s">
        <v>14</v>
      </c>
      <c r="S7" s="665">
        <f t="shared" ref="S7:S15" si="0">F7</f>
        <v>0</v>
      </c>
      <c r="T7" s="664" t="s">
        <v>14</v>
      </c>
      <c r="U7" s="665">
        <f t="shared" ref="U7:U15" si="1">H7</f>
        <v>0</v>
      </c>
      <c r="V7" s="664" t="s">
        <v>14</v>
      </c>
      <c r="W7" s="665">
        <f t="shared" ref="W7:W15" si="2">J7</f>
        <v>0</v>
      </c>
      <c r="X7" s="666"/>
      <c r="Y7" s="3342" t="s">
        <v>1680</v>
      </c>
      <c r="Z7" s="334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42" t="s">
        <v>1683</v>
      </c>
      <c r="Q8" s="3343"/>
      <c r="R8" s="664" t="s">
        <v>14</v>
      </c>
      <c r="S8" s="665">
        <f t="shared" si="0"/>
        <v>0</v>
      </c>
      <c r="T8" s="664" t="s">
        <v>14</v>
      </c>
      <c r="U8" s="665">
        <f t="shared" si="1"/>
        <v>0</v>
      </c>
      <c r="V8" s="664" t="s">
        <v>14</v>
      </c>
      <c r="W8" s="665">
        <f t="shared" si="2"/>
        <v>0</v>
      </c>
      <c r="X8" s="666"/>
      <c r="Y8" s="3342" t="s">
        <v>1683</v>
      </c>
      <c r="Z8" s="334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6"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86"/>
      <c r="Q10" s="530" t="str">
        <f t="shared" si="6"/>
        <v>土地使用年限（年）</v>
      </c>
      <c r="R10" s="664" t="s">
        <v>14</v>
      </c>
      <c r="S10" s="665">
        <f t="shared" si="0"/>
        <v>116</v>
      </c>
      <c r="T10" s="664" t="s">
        <v>14</v>
      </c>
      <c r="U10" s="665">
        <f t="shared" si="1"/>
        <v>116</v>
      </c>
      <c r="V10" s="664" t="s">
        <v>14</v>
      </c>
      <c r="W10" s="665">
        <f t="shared" si="2"/>
        <v>116</v>
      </c>
      <c r="X10" s="666"/>
      <c r="Y10" s="3315"/>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6"/>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6"/>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6"/>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6"/>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9"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86" t="str">
        <f>A41</f>
        <v>成交单价</v>
      </c>
      <c r="Q41" s="3386"/>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6" t="str">
        <f>A42</f>
        <v>比较价值（元/平方米）</v>
      </c>
      <c r="Q42" s="3386"/>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6" t="str">
        <f>A43</f>
        <v>估价对象XX用房的比较价值（楼面单价，元/平方米）</v>
      </c>
      <c r="Q43" s="3427"/>
      <c r="R43" s="3432" t="e">
        <f>ROUND(IF(D42="简单平均",AVERAGE(R42:W42),R42*F42+T42*H42+V42*J42),0)</f>
        <v>#DIV/0!</v>
      </c>
      <c r="S43" s="3432"/>
      <c r="T43" s="3432"/>
      <c r="U43" s="3432"/>
      <c r="V43" s="3432"/>
      <c r="W43" s="343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61" t="s">
        <v>1887</v>
      </c>
      <c r="H50" s="343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378.45</v>
      </c>
      <c r="F51" s="611" t="e">
        <f t="shared" ref="F51:F60" si="15">ROUND(B51*E51/10000,0)</f>
        <v>#DIV/0!</v>
      </c>
      <c r="G51" s="3357"/>
      <c r="H51" s="338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341.68</v>
      </c>
      <c r="F56" s="611" t="e">
        <f t="shared" si="15"/>
        <v>#DIV/0!</v>
      </c>
      <c r="G56" s="1835" t="s">
        <v>1896</v>
      </c>
      <c r="H56" s="834" t="str">
        <f>项目基本情况!C37</f>
        <v>二级</v>
      </c>
      <c r="I56" s="727">
        <f>SUMIF(修正!A57:A68,H56,修正!E57:E68)</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1380</v>
      </c>
      <c r="C2" s="1984" t="s">
        <v>2074</v>
      </c>
      <c r="D2" s="1984" t="s">
        <v>2075</v>
      </c>
      <c r="E2" s="2397">
        <f ca="1">SUMIF(E6:E13,"&lt;&gt;#ref!",E6:E13)</f>
        <v>720.13</v>
      </c>
      <c r="F2" s="2544"/>
      <c r="G2" s="2544"/>
      <c r="H2" s="2544"/>
      <c r="I2" s="2544"/>
      <c r="J2" s="2544"/>
      <c r="K2" s="2544"/>
      <c r="L2" s="2544"/>
      <c r="M2" s="2544"/>
      <c r="N2" s="2544"/>
      <c r="O2" s="2544"/>
      <c r="P2" s="2544"/>
    </row>
    <row r="3" spans="1:16" ht="15.75">
      <c r="A3" s="1984" t="s">
        <v>2076</v>
      </c>
      <c r="B3" s="2387">
        <f ca="1">ROUND(B2*10000/E2,0)</f>
        <v>19163</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1380</v>
      </c>
      <c r="C6" s="1984" t="s">
        <v>2074</v>
      </c>
      <c r="D6" s="2544"/>
      <c r="E6" s="2397">
        <f ca="1">SUMIF(INDIRECT("'"&amp;A6&amp;"'"&amp;"!C:C"),"建筑面积",INDIRECT("'"&amp;A6&amp;"'"&amp;"!D:D"))</f>
        <v>720.13</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E40" activeCellId="1" sqref="E33 E4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720.13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1380</v>
      </c>
      <c r="C2" s="1846" t="s">
        <v>1935</v>
      </c>
      <c r="D2" s="162" t="s">
        <v>1936</v>
      </c>
      <c r="E2" s="3120"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Ⅱ—18</v>
      </c>
      <c r="J2" s="1842"/>
      <c r="K2" s="1056"/>
      <c r="L2" s="1847" t="s">
        <v>1939</v>
      </c>
      <c r="M2" s="811">
        <f>SUMPRODUCT((区片价!B10:B29=I2)*(区片价!C3:G3=E2)*(区片价!C10:G29))</f>
        <v>27770</v>
      </c>
      <c r="N2" s="813">
        <f>SUMPRODUCT((因素修正幅度!B10:B29=I2)*(因素修正幅度!C3:G3=E2)*(因素修正幅度!C10:G29))</f>
        <v>9.5000000000000001E-2</v>
      </c>
      <c r="O2" s="1056"/>
      <c r="P2" s="1056"/>
      <c r="Q2" s="1056"/>
      <c r="R2" s="1129">
        <v>1</v>
      </c>
      <c r="S2" s="3063">
        <f>ROUND(SUMPRODUCT((B106:B110=R2)*(C105:N105=G2)*(C106:N110)),4)</f>
        <v>1.5206</v>
      </c>
      <c r="T2" s="3063">
        <f t="shared" ref="T2:T16" si="0">ROUND($C$5*$C$22*$C$23*$C$24*S2*$C$28,0)</f>
        <v>39670</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19163</v>
      </c>
      <c r="C3" s="1846" t="s">
        <v>1941</v>
      </c>
      <c r="D3" s="162" t="s">
        <v>1942</v>
      </c>
      <c r="E3" s="3118" t="s">
        <v>3439</v>
      </c>
      <c r="F3" s="1848" t="s">
        <v>3441</v>
      </c>
      <c r="G3" s="708">
        <f>IF(F3="宗地容积率",'数据-汇总表'!I4,IF(F3="估价对象容积率",'数据-汇总表'!I6,'数据-汇总表'!I7))</f>
        <v>1.78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31494</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27213</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27770</v>
      </c>
      <c r="D5" s="1252">
        <f>ROUND(C6*C17+C20,0)</f>
        <v>27770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24625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27770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23469</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二级</v>
      </c>
      <c r="Y7" s="1131" t="s">
        <v>1956</v>
      </c>
      <c r="Z7" s="1132">
        <f>G3</f>
        <v>1.78</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0"/>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5" t="s">
        <v>3255</v>
      </c>
      <c r="B20" s="159" t="s">
        <v>1994</v>
      </c>
      <c r="C20" s="3031">
        <f>ROUND(IF(F21="与级别开发程度一致",0,(G21-E21)/C21),0)</f>
        <v>0</v>
      </c>
      <c r="D20" s="3046" t="s">
        <v>1998</v>
      </c>
      <c r="E20" s="3047"/>
      <c r="F20" s="3461" t="s">
        <v>1995</v>
      </c>
      <c r="G20" s="346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5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3440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96" t="s">
        <v>2002</v>
      </c>
      <c r="E23" s="717">
        <v>44197</v>
      </c>
      <c r="F23" s="1896" t="s">
        <v>2003</v>
      </c>
      <c r="G23" s="718">
        <f>'数据-取费表'!B2</f>
        <v>45005</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0.87460000000000004</v>
      </c>
      <c r="D24" s="1902" t="s">
        <v>2007</v>
      </c>
      <c r="E24" s="1248">
        <f>存贷款利率!E22/100</f>
        <v>4.3499999999999997E-2</v>
      </c>
      <c r="F24" s="1902" t="s">
        <v>1999</v>
      </c>
      <c r="G24" s="724">
        <f>SUMIF(M30:Q30,E2,M33:Q33)</f>
        <v>5.5E-2</v>
      </c>
      <c r="H24" s="1902" t="s">
        <v>2008</v>
      </c>
      <c r="I24" s="725">
        <f>SUMIF('数据-取费表'!C6:C15,E2,'数据-取费表'!F6:F15)/COUNTIF('数据-取费表'!C6:C15,E2)</f>
        <v>31.46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1.1272</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1.1272</v>
      </c>
      <c r="E26" s="708">
        <f>ROUNDDOWN(G3,1)</f>
        <v>1.7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1.1373</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1.1247</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1.0588</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1380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67</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29407</v>
      </c>
      <c r="D33" s="1940">
        <v>378.45</v>
      </c>
      <c r="E33" s="727">
        <f>ROUND(C33*D33/10000,0)</f>
        <v>1113</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7352</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2036</v>
      </c>
      <c r="C37" s="167">
        <f>ROUND(D5*C22*C23*C24*C28*F37,0)</f>
        <v>18262</v>
      </c>
      <c r="D37" s="1940"/>
      <c r="E37" s="163">
        <f>ROUND(C37*D37/10000,0)</f>
        <v>0</v>
      </c>
      <c r="F37" s="163">
        <f>SUMIF(修正!A57:A68,G2,修正!B57:B68)</f>
        <v>0.7</v>
      </c>
      <c r="G37" s="163">
        <f>ROUND(IF(E2="工业",C37*$M$42,C37*$M$41),0)</f>
        <v>4566</v>
      </c>
      <c r="H37" s="163">
        <f>D37</f>
        <v>0</v>
      </c>
      <c r="I37" s="163">
        <f>ROUND(G37*H37/10000,0)</f>
        <v>0</v>
      </c>
      <c r="J37" s="2754"/>
      <c r="K37" s="3061" t="s">
        <v>3267</v>
      </c>
      <c r="L37" s="1964">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2037</v>
      </c>
      <c r="C38" s="167">
        <f>ROUND(D5*C22*C23*C24*C28*F38,0)</f>
        <v>10435</v>
      </c>
      <c r="D38" s="1940"/>
      <c r="E38" s="163">
        <f t="shared" ref="E38:E42" si="4">ROUND(C38*D38/10000,0)</f>
        <v>0</v>
      </c>
      <c r="F38" s="163">
        <f>SUMIF(修正!A57:A68,G2,修正!C57:C68)</f>
        <v>0.4</v>
      </c>
      <c r="G38" s="163">
        <f>ROUND(IF(E2="工业",C38*$M$42,C38*$M$41),0)</f>
        <v>2609</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3260</v>
      </c>
      <c r="C39" s="167">
        <f>ROUND(D5*C22*C23*C24*C28*F39,0)</f>
        <v>7827</v>
      </c>
      <c r="D39" s="1940"/>
      <c r="E39" s="163">
        <f t="shared" si="4"/>
        <v>0</v>
      </c>
      <c r="F39" s="163">
        <f>SUMIF(修正!A57:A68,G2,修正!D57:D68)</f>
        <v>0.3</v>
      </c>
      <c r="G39" s="163">
        <f>ROUND(IF(E2="工业",C39*$M$42,C39*$M$41),0)</f>
        <v>1957</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7827</v>
      </c>
      <c r="D40" s="1940">
        <v>341.68</v>
      </c>
      <c r="E40" s="163">
        <f t="shared" si="4"/>
        <v>267</v>
      </c>
      <c r="F40" s="167">
        <f>SUMIF(修正!A57:A68,G2,修正!E57:E68)</f>
        <v>0.3</v>
      </c>
      <c r="G40" s="163">
        <f>ROUND(IF(E2="工业",C40*$M$42,C40*$M$41),0)</f>
        <v>1957</v>
      </c>
      <c r="H40" s="163">
        <f t="shared" si="5"/>
        <v>341.68</v>
      </c>
      <c r="I40" s="163">
        <f t="shared" si="6"/>
        <v>67</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较好</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1.0588</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好</v>
      </c>
      <c r="C61" s="1887" t="s">
        <v>3384</v>
      </c>
      <c r="D61" s="1002">
        <f t="shared" ref="D61:D69" si="12">SUMIF($J$60:$N$60,C61,J61:N61)</f>
        <v>2.3599999999999999E-2</v>
      </c>
      <c r="E61" s="702">
        <f>ROUND(SUM(D61:D69),4)</f>
        <v>5.8799999999999998E-2</v>
      </c>
      <c r="F61" s="1675">
        <f>IF(E2="办公",SUMIF(L1:L12,G2,N1:N12),"——")</f>
        <v>9.5000000000000001E-2</v>
      </c>
      <c r="G61" s="1000">
        <v>1.18E-2</v>
      </c>
      <c r="H61" s="1003">
        <f t="shared" ref="H61:H69" si="13">IFERROR(ROUNDDOWN($F$61*I61/2,4),"——")</f>
        <v>1.18E-2</v>
      </c>
      <c r="I61" s="3068">
        <v>0.25</v>
      </c>
      <c r="J61" s="1001">
        <f t="shared" ref="J61:J69" si="14">K61+$G61</f>
        <v>2.3599999999999999E-2</v>
      </c>
      <c r="K61" s="1001">
        <f t="shared" ref="K61:K69" si="15">$L61+$G61</f>
        <v>1.18E-2</v>
      </c>
      <c r="L61" s="1001">
        <v>0</v>
      </c>
      <c r="M61" s="1001">
        <f t="shared" ref="M61:N69" si="16">L61-$G61</f>
        <v>-1.18E-2</v>
      </c>
      <c r="N61" s="1001">
        <f t="shared" si="16"/>
        <v>-2.3599999999999999E-2</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好</v>
      </c>
      <c r="C62" s="1887" t="s">
        <v>3422</v>
      </c>
      <c r="D62" s="1002">
        <f t="shared" si="12"/>
        <v>1.23E-2</v>
      </c>
      <c r="E62" s="703"/>
      <c r="F62" s="1675"/>
      <c r="G62" s="1000">
        <v>1.23E-2</v>
      </c>
      <c r="H62" s="1003">
        <f t="shared" si="13"/>
        <v>1.23E-2</v>
      </c>
      <c r="I62" s="3068">
        <v>0.26</v>
      </c>
      <c r="J62" s="1001">
        <f t="shared" si="14"/>
        <v>2.46E-2</v>
      </c>
      <c r="K62" s="1001">
        <f t="shared" si="15"/>
        <v>1.23E-2</v>
      </c>
      <c r="L62" s="1001">
        <v>0</v>
      </c>
      <c r="M62" s="1001">
        <f t="shared" si="16"/>
        <v>-1.23E-2</v>
      </c>
      <c r="N62" s="1001">
        <f t="shared" si="16"/>
        <v>-2.46E-2</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t="s">
        <v>3422</v>
      </c>
      <c r="D63" s="1002">
        <f t="shared" si="12"/>
        <v>5.1999999999999998E-3</v>
      </c>
      <c r="E63" s="703"/>
      <c r="F63" s="1675"/>
      <c r="G63" s="1000">
        <v>5.1999999999999998E-3</v>
      </c>
      <c r="H63" s="1003">
        <f t="shared" si="13"/>
        <v>5.1999999999999998E-3</v>
      </c>
      <c r="I63" s="3068">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6.75">
      <c r="A64" s="1970" t="s">
        <v>2054</v>
      </c>
      <c r="B64" s="1974" t="s">
        <v>2055</v>
      </c>
      <c r="C64" s="1887" t="s">
        <v>3422</v>
      </c>
      <c r="D64" s="1002">
        <f t="shared" si="12"/>
        <v>2.3E-3</v>
      </c>
      <c r="E64" s="703"/>
      <c r="F64" s="1675"/>
      <c r="G64" s="1000">
        <v>2.3E-3</v>
      </c>
      <c r="H64" s="1003">
        <f t="shared" si="13"/>
        <v>2.3E-3</v>
      </c>
      <c r="I64" s="3068">
        <v>0.05</v>
      </c>
      <c r="J64" s="1001">
        <f t="shared" si="14"/>
        <v>4.5999999999999999E-3</v>
      </c>
      <c r="K64" s="1001">
        <f t="shared" si="15"/>
        <v>2.3E-3</v>
      </c>
      <c r="L64" s="1001">
        <v>0</v>
      </c>
      <c r="M64" s="1001">
        <f t="shared" si="16"/>
        <v>-2.3E-3</v>
      </c>
      <c r="N64" s="1001">
        <f t="shared" si="16"/>
        <v>-4.5999999999999999E-3</v>
      </c>
      <c r="AA64" s="1057"/>
      <c r="AB64" s="1057"/>
      <c r="AC64" s="1057"/>
      <c r="AD64" s="1057"/>
      <c r="AE64" s="1057"/>
      <c r="AF64" s="1057"/>
      <c r="AG64" s="1057"/>
      <c r="AH64" s="1057"/>
      <c r="AI64" s="1057"/>
      <c r="AJ64" s="1057"/>
      <c r="AK64" s="1057"/>
    </row>
    <row r="65" spans="1:37" s="1056" customFormat="1" ht="24">
      <c r="A65" s="1970" t="s">
        <v>2056</v>
      </c>
      <c r="B65" s="1262" t="str">
        <f>估价对象房地状况!C24</f>
        <v>较好</v>
      </c>
      <c r="C65" s="1887" t="s">
        <v>3422</v>
      </c>
      <c r="D65" s="1002">
        <f t="shared" si="12"/>
        <v>2.3E-3</v>
      </c>
      <c r="E65" s="703"/>
      <c r="F65" s="1675"/>
      <c r="G65" s="1000">
        <v>2.3E-3</v>
      </c>
      <c r="H65" s="1003">
        <f t="shared" si="13"/>
        <v>2.3E-3</v>
      </c>
      <c r="I65" s="3068">
        <v>0.05</v>
      </c>
      <c r="J65" s="1001">
        <f t="shared" si="14"/>
        <v>4.5999999999999999E-3</v>
      </c>
      <c r="K65" s="1001">
        <f t="shared" si="15"/>
        <v>2.3E-3</v>
      </c>
      <c r="L65" s="1001">
        <v>0</v>
      </c>
      <c r="M65" s="1001">
        <f t="shared" si="16"/>
        <v>-2.3E-3</v>
      </c>
      <c r="N65" s="1001">
        <f t="shared" si="16"/>
        <v>-4.5999999999999999E-3</v>
      </c>
      <c r="AA65" s="1057"/>
      <c r="AB65" s="1057"/>
      <c r="AC65" s="1057"/>
      <c r="AD65" s="1057"/>
      <c r="AE65" s="1057"/>
      <c r="AF65" s="1057"/>
      <c r="AG65" s="1057"/>
      <c r="AH65" s="1057"/>
      <c r="AI65" s="1057"/>
      <c r="AJ65" s="1057"/>
      <c r="AK65" s="1057"/>
    </row>
    <row r="66" spans="1:37" s="1056" customFormat="1" ht="24">
      <c r="A66" s="1970" t="s">
        <v>2057</v>
      </c>
      <c r="B66" s="1975" t="s">
        <v>2058</v>
      </c>
      <c r="C66" s="1887" t="s">
        <v>3422</v>
      </c>
      <c r="D66" s="1002">
        <f t="shared" si="12"/>
        <v>2.8E-3</v>
      </c>
      <c r="E66" s="703"/>
      <c r="F66" s="1675"/>
      <c r="G66" s="1000">
        <v>2.8E-3</v>
      </c>
      <c r="H66" s="1003">
        <f t="shared" si="13"/>
        <v>2.8E-3</v>
      </c>
      <c r="I66" s="3068">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好</v>
      </c>
      <c r="C67" s="1887" t="s">
        <v>3422</v>
      </c>
      <c r="D67" s="1002">
        <f t="shared" si="12"/>
        <v>2.8E-3</v>
      </c>
      <c r="E67" s="703"/>
      <c r="F67" s="1675"/>
      <c r="G67" s="1000">
        <v>2.8E-3</v>
      </c>
      <c r="H67" s="1003">
        <f t="shared" si="13"/>
        <v>2.8E-3</v>
      </c>
      <c r="I67" s="3068">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3422</v>
      </c>
      <c r="D68" s="1002">
        <f t="shared" si="12"/>
        <v>4.1999999999999997E-3</v>
      </c>
      <c r="E68" s="703"/>
      <c r="F68" s="1675"/>
      <c r="G68" s="1000">
        <v>4.1999999999999997E-3</v>
      </c>
      <c r="H68" s="1003">
        <f t="shared" si="13"/>
        <v>4.1999999999999997E-3</v>
      </c>
      <c r="I68" s="3068">
        <v>0.09</v>
      </c>
      <c r="J68" s="1001">
        <f t="shared" si="14"/>
        <v>8.3999999999999995E-3</v>
      </c>
      <c r="K68" s="1001">
        <f t="shared" si="15"/>
        <v>4.1999999999999997E-3</v>
      </c>
      <c r="L68" s="1001">
        <v>0</v>
      </c>
      <c r="M68" s="1001">
        <f t="shared" si="16"/>
        <v>-4.1999999999999997E-3</v>
      </c>
      <c r="N68" s="1001">
        <f t="shared" si="16"/>
        <v>-8.3999999999999995E-3</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t="s">
        <v>3422</v>
      </c>
      <c r="D69" s="1002">
        <f t="shared" si="12"/>
        <v>3.3E-3</v>
      </c>
      <c r="E69" s="704"/>
      <c r="F69" s="1675"/>
      <c r="G69" s="1000">
        <v>3.3E-3</v>
      </c>
      <c r="H69" s="1003">
        <f t="shared" si="13"/>
        <v>3.3E-3</v>
      </c>
      <c r="I69" s="3069">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较好</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14.25">
      <c r="A94" s="3080" t="s">
        <v>3274</v>
      </c>
      <c r="B94" s="3071" t="str">
        <f>估价对象房地状况!C18</f>
        <v>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t="str">
        <f>估价对象房地状况!C24</f>
        <v>较好</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4">
      <c r="A99" s="3080" t="s">
        <v>3278</v>
      </c>
      <c r="B99" s="3071" t="str">
        <f>估价对象房地状况!C21</f>
        <v>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4">
      <c r="A100" s="3080" t="s">
        <v>3279</v>
      </c>
      <c r="B100" s="3071" t="str">
        <f>估价对象房地状况!C22</f>
        <v>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4.75" thickBot="1">
      <c r="A101" s="3081" t="s">
        <v>3280</v>
      </c>
      <c r="B101" s="3088" t="str">
        <f>估价对象房地状况!C20</f>
        <v>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7" t="s">
        <v>3295</v>
      </c>
      <c r="B103" s="3457"/>
      <c r="C103" s="3457"/>
      <c r="D103" s="3457"/>
      <c r="E103" s="3457"/>
      <c r="F103" s="3457"/>
      <c r="G103" s="3457"/>
      <c r="H103" s="3457"/>
      <c r="I103" s="3457"/>
      <c r="J103" s="3457"/>
      <c r="K103" s="1667"/>
      <c r="L103" s="1667"/>
      <c r="M103" s="1667"/>
      <c r="N103" s="1667"/>
    </row>
    <row r="104" spans="1:14">
      <c r="A104" s="3458" t="s">
        <v>3296</v>
      </c>
      <c r="B104" s="3458" t="s">
        <v>3297</v>
      </c>
      <c r="C104" s="3090" t="s">
        <v>3298</v>
      </c>
      <c r="D104" s="3091"/>
      <c r="E104" s="3091"/>
      <c r="F104" s="3091"/>
      <c r="G104" s="3091"/>
      <c r="H104" s="3091"/>
      <c r="I104" s="3091"/>
      <c r="J104" s="3092"/>
      <c r="K104" s="3093"/>
      <c r="L104" s="3093"/>
      <c r="M104" s="3093"/>
      <c r="N104" s="3093"/>
    </row>
    <row r="105" spans="1:14">
      <c r="A105" s="3458"/>
      <c r="B105" s="3458"/>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44"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5"/>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7" t="s">
        <v>3312</v>
      </c>
      <c r="B113" s="3447"/>
      <c r="C113" s="3447"/>
      <c r="D113" s="3447"/>
      <c r="E113" s="3447"/>
      <c r="F113" s="3447"/>
      <c r="G113" s="3447"/>
      <c r="H113" s="3447"/>
      <c r="I113" s="3447"/>
      <c r="J113" s="344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1.78</v>
      </c>
      <c r="C116" s="3099" t="s">
        <v>3314</v>
      </c>
      <c r="D116" s="3100">
        <f>SUMPRODUCT((A118:A122=F116)*(B117:M117=H116)*B118:M122)</f>
        <v>0.97309999999999997</v>
      </c>
      <c r="E116" s="162" t="s">
        <v>3315</v>
      </c>
      <c r="F116" s="3101" t="str">
        <f>E2</f>
        <v>办公</v>
      </c>
      <c r="G116" s="162" t="s">
        <v>3316</v>
      </c>
      <c r="H116" s="3101" t="str">
        <f>G2</f>
        <v>二级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0.97719999999999996</v>
      </c>
      <c r="C118" s="3089">
        <f>B118</f>
        <v>0.97719999999999996</v>
      </c>
      <c r="D118" s="3089">
        <f>ROUND(0.949-0.014*B116,4)</f>
        <v>0.92410000000000003</v>
      </c>
      <c r="E118" s="3089">
        <f>D118</f>
        <v>0.92410000000000003</v>
      </c>
      <c r="F118" s="3089">
        <f>E118</f>
        <v>0.92410000000000003</v>
      </c>
      <c r="G118" s="3089">
        <f>F118</f>
        <v>0.92410000000000003</v>
      </c>
      <c r="H118" s="3089">
        <f>G118</f>
        <v>0.92410000000000003</v>
      </c>
      <c r="I118" s="3089">
        <f>ROUND(0.8486-0.018*B116,4)</f>
        <v>0.81659999999999999</v>
      </c>
      <c r="J118" s="3089">
        <f t="shared" ref="J118:M122" si="35">I118</f>
        <v>0.81659999999999999</v>
      </c>
      <c r="K118" s="3089">
        <f t="shared" si="35"/>
        <v>0.81659999999999999</v>
      </c>
      <c r="L118" s="3089">
        <f t="shared" si="35"/>
        <v>0.81659999999999999</v>
      </c>
      <c r="M118" s="3109">
        <f t="shared" si="35"/>
        <v>0.81659999999999999</v>
      </c>
      <c r="N118" s="3097"/>
    </row>
    <row r="119" spans="1:14">
      <c r="A119" s="3057" t="s">
        <v>3330</v>
      </c>
      <c r="B119" s="3089">
        <f>ROUND(0.993-0.0112*B116,4)</f>
        <v>0.97309999999999997</v>
      </c>
      <c r="C119" s="3089">
        <f>B119</f>
        <v>0.97309999999999997</v>
      </c>
      <c r="D119" s="3089">
        <f>ROUND(0.9415-0.0142*B116,4)</f>
        <v>0.91620000000000001</v>
      </c>
      <c r="E119" s="3089">
        <f t="shared" ref="E119:H120" si="36">D119</f>
        <v>0.91620000000000001</v>
      </c>
      <c r="F119" s="3089">
        <f t="shared" si="36"/>
        <v>0.91620000000000001</v>
      </c>
      <c r="G119" s="3089">
        <f t="shared" si="36"/>
        <v>0.91620000000000001</v>
      </c>
      <c r="H119" s="3089">
        <f t="shared" si="36"/>
        <v>0.91620000000000001</v>
      </c>
      <c r="I119" s="3089">
        <f>ROUND(0.838-0.0182*B116,4)</f>
        <v>0.80559999999999998</v>
      </c>
      <c r="J119" s="3089">
        <f t="shared" si="35"/>
        <v>0.80559999999999998</v>
      </c>
      <c r="K119" s="3089">
        <f t="shared" si="35"/>
        <v>0.80559999999999998</v>
      </c>
      <c r="L119" s="3089">
        <f t="shared" si="35"/>
        <v>0.80559999999999998</v>
      </c>
      <c r="M119" s="3109">
        <f t="shared" si="35"/>
        <v>0.80559999999999998</v>
      </c>
      <c r="N119" s="3097"/>
    </row>
    <row r="120" spans="1:14">
      <c r="A120" s="3057" t="s">
        <v>3331</v>
      </c>
      <c r="B120" s="3089">
        <f>ROUND(0.9448-0.0115*B116,4)</f>
        <v>0.92430000000000001</v>
      </c>
      <c r="C120" s="3089">
        <f>B120</f>
        <v>0.92430000000000001</v>
      </c>
      <c r="D120" s="3089">
        <f>ROUND(0.937-0.0145*B116,4)</f>
        <v>0.91120000000000001</v>
      </c>
      <c r="E120" s="3089">
        <f t="shared" si="36"/>
        <v>0.91120000000000001</v>
      </c>
      <c r="F120" s="3089">
        <f t="shared" si="36"/>
        <v>0.91120000000000001</v>
      </c>
      <c r="G120" s="3089">
        <f t="shared" si="36"/>
        <v>0.91120000000000001</v>
      </c>
      <c r="H120" s="3089">
        <f t="shared" si="36"/>
        <v>0.91120000000000001</v>
      </c>
      <c r="I120" s="3089">
        <f>ROUND(0.7965-0.0185*B116,4)</f>
        <v>0.76359999999999995</v>
      </c>
      <c r="J120" s="3089">
        <f t="shared" si="35"/>
        <v>0.76359999999999995</v>
      </c>
      <c r="K120" s="3089">
        <f t="shared" si="35"/>
        <v>0.76359999999999995</v>
      </c>
      <c r="L120" s="3089">
        <f t="shared" si="35"/>
        <v>0.76359999999999995</v>
      </c>
      <c r="M120" s="3109">
        <f t="shared" si="35"/>
        <v>0.76359999999999995</v>
      </c>
      <c r="N120" s="3097"/>
    </row>
    <row r="121" spans="1:14" ht="13.5" thickBot="1">
      <c r="A121" s="3110" t="s">
        <v>3332</v>
      </c>
      <c r="B121" s="3111">
        <f>ROUND(0.7836-0.012*B116,4)</f>
        <v>0.76219999999999999</v>
      </c>
      <c r="C121" s="3111">
        <f>B121</f>
        <v>0.76219999999999999</v>
      </c>
      <c r="D121" s="3111">
        <f>ROUND(0.753-0.015*B116,4)</f>
        <v>0.72629999999999995</v>
      </c>
      <c r="E121" s="3111">
        <f>D121</f>
        <v>0.72629999999999995</v>
      </c>
      <c r="F121" s="3111">
        <f>E121</f>
        <v>0.72629999999999995</v>
      </c>
      <c r="G121" s="3111">
        <f>ROUND(0.6612-0.018*B116,4)</f>
        <v>0.62919999999999998</v>
      </c>
      <c r="H121" s="3111">
        <f>G121</f>
        <v>0.62919999999999998</v>
      </c>
      <c r="I121" s="3111">
        <f>ROUND(0.5905-0.019*B116,4)</f>
        <v>0.55669999999999997</v>
      </c>
      <c r="J121" s="3111">
        <f t="shared" si="35"/>
        <v>0.55669999999999997</v>
      </c>
      <c r="K121" s="3111">
        <f t="shared" si="35"/>
        <v>0.55669999999999997</v>
      </c>
      <c r="L121" s="3111">
        <f t="shared" si="35"/>
        <v>0.55669999999999997</v>
      </c>
      <c r="M121" s="3112">
        <f t="shared" si="35"/>
        <v>0.55669999999999997</v>
      </c>
      <c r="N121" s="3097"/>
    </row>
    <row r="122" spans="1:14">
      <c r="A122" s="3113" t="s">
        <v>2609</v>
      </c>
      <c r="B122" s="3089">
        <f>ROUND(0.9404-0.0106*B116,4)</f>
        <v>0.92149999999999999</v>
      </c>
      <c r="C122" s="3089">
        <f>B122</f>
        <v>0.92149999999999999</v>
      </c>
      <c r="D122" s="3089">
        <f>ROUND(0.8955-0.0135*B116,4)</f>
        <v>0.87150000000000005</v>
      </c>
      <c r="E122" s="3089">
        <f t="shared" ref="E122:H122" si="37">D122</f>
        <v>0.87150000000000005</v>
      </c>
      <c r="F122" s="3089">
        <f t="shared" si="37"/>
        <v>0.87150000000000005</v>
      </c>
      <c r="G122" s="3089">
        <f t="shared" si="37"/>
        <v>0.87150000000000005</v>
      </c>
      <c r="H122" s="3089">
        <f t="shared" si="37"/>
        <v>0.87150000000000005</v>
      </c>
      <c r="I122" s="3089">
        <f>ROUND(0.7632-0.0166*B116,4)</f>
        <v>0.73370000000000002</v>
      </c>
      <c r="J122" s="3089">
        <f t="shared" si="35"/>
        <v>0.73370000000000002</v>
      </c>
      <c r="K122" s="3089">
        <f t="shared" si="35"/>
        <v>0.73370000000000002</v>
      </c>
      <c r="L122" s="3089">
        <f t="shared" si="35"/>
        <v>0.73370000000000002</v>
      </c>
      <c r="M122" s="3109">
        <f t="shared" si="35"/>
        <v>0.73370000000000002</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70" t="s">
        <v>2604</v>
      </c>
      <c r="B20" s="3463" t="s">
        <v>2625</v>
      </c>
      <c r="C20" s="2842" t="s">
        <v>2436</v>
      </c>
      <c r="D20" s="2843"/>
      <c r="E20" s="2844">
        <v>1</v>
      </c>
      <c r="F20" s="2845" t="s">
        <v>2437</v>
      </c>
      <c r="G20" s="2845"/>
    </row>
    <row r="21" spans="1:13" ht="19.5" customHeight="1">
      <c r="A21" s="3471"/>
      <c r="B21" s="3464"/>
      <c r="C21" s="2846" t="s">
        <v>2438</v>
      </c>
      <c r="D21" s="2847"/>
      <c r="E21" s="2848">
        <v>1</v>
      </c>
      <c r="F21" s="2845" t="s">
        <v>2439</v>
      </c>
      <c r="G21" s="2845"/>
    </row>
    <row r="22" spans="1:13" ht="19.5" customHeight="1">
      <c r="A22" s="3471"/>
      <c r="B22" s="3464"/>
      <c r="C22" s="2846" t="s">
        <v>2440</v>
      </c>
      <c r="D22" s="2847"/>
      <c r="E22" s="2848">
        <v>0.9</v>
      </c>
      <c r="F22" s="2845" t="s">
        <v>2441</v>
      </c>
      <c r="G22" s="2845"/>
    </row>
    <row r="23" spans="1:13" ht="19.5" customHeight="1">
      <c r="A23" s="3471"/>
      <c r="B23" s="3464"/>
      <c r="C23" s="2846" t="s">
        <v>2442</v>
      </c>
      <c r="D23" s="2847"/>
      <c r="E23" s="2848">
        <v>0.9</v>
      </c>
      <c r="F23" s="2845" t="s">
        <v>2443</v>
      </c>
      <c r="G23" s="2845"/>
    </row>
    <row r="24" spans="1:13" ht="19.5" customHeight="1">
      <c r="A24" s="3471"/>
      <c r="B24" s="3464"/>
      <c r="C24" s="2846" t="s">
        <v>2444</v>
      </c>
      <c r="D24" s="2847"/>
      <c r="E24" s="2848">
        <v>0.8</v>
      </c>
      <c r="F24" s="2845" t="s">
        <v>2445</v>
      </c>
      <c r="G24" s="2845"/>
    </row>
    <row r="25" spans="1:13" ht="19.5" customHeight="1" thickBot="1">
      <c r="A25" s="3472"/>
      <c r="B25" s="3465"/>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66" t="s">
        <v>2628</v>
      </c>
      <c r="B27" s="3463" t="s">
        <v>2609</v>
      </c>
      <c r="C27" s="2842" t="s">
        <v>2449</v>
      </c>
      <c r="D27" s="2843"/>
      <c r="E27" s="2844">
        <v>1</v>
      </c>
      <c r="F27" s="2845" t="s">
        <v>2450</v>
      </c>
      <c r="G27" s="2845"/>
    </row>
    <row r="28" spans="1:13" ht="19.5" customHeight="1">
      <c r="A28" s="3467"/>
      <c r="B28" s="3464"/>
      <c r="C28" s="2846" t="s">
        <v>2451</v>
      </c>
      <c r="D28" s="2847"/>
      <c r="E28" s="2848">
        <v>1</v>
      </c>
      <c r="F28" s="2845" t="s">
        <v>2452</v>
      </c>
      <c r="G28" s="2845"/>
    </row>
    <row r="29" spans="1:13" ht="19.5" customHeight="1">
      <c r="A29" s="3467"/>
      <c r="B29" s="3464"/>
      <c r="C29" s="2846" t="s">
        <v>2453</v>
      </c>
      <c r="D29" s="2847"/>
      <c r="E29" s="2848">
        <v>0.8</v>
      </c>
      <c r="F29" s="2845" t="s">
        <v>2454</v>
      </c>
      <c r="G29" s="2845"/>
    </row>
    <row r="30" spans="1:13" ht="19.5" customHeight="1">
      <c r="A30" s="3467"/>
      <c r="B30" s="3464"/>
      <c r="C30" s="2846" t="s">
        <v>2455</v>
      </c>
      <c r="D30" s="2847"/>
      <c r="E30" s="2848">
        <v>0.8</v>
      </c>
      <c r="F30" s="2845" t="s">
        <v>2456</v>
      </c>
      <c r="G30" s="2845"/>
    </row>
    <row r="31" spans="1:13" ht="19.5" customHeight="1">
      <c r="A31" s="3467"/>
      <c r="B31" s="3464"/>
      <c r="C31" s="2846" t="s">
        <v>2457</v>
      </c>
      <c r="D31" s="2847"/>
      <c r="E31" s="2848">
        <v>0.8</v>
      </c>
      <c r="F31" s="2845" t="s">
        <v>2458</v>
      </c>
      <c r="G31" s="2845"/>
    </row>
    <row r="32" spans="1:13" ht="19.5" customHeight="1">
      <c r="A32" s="3467"/>
      <c r="B32" s="3464"/>
      <c r="C32" s="2846" t="s">
        <v>2459</v>
      </c>
      <c r="D32" s="2847"/>
      <c r="E32" s="2848">
        <v>0.7</v>
      </c>
      <c r="F32" s="2845" t="s">
        <v>2460</v>
      </c>
      <c r="G32" s="2845"/>
    </row>
    <row r="33" spans="1:7" ht="19.5" customHeight="1">
      <c r="A33" s="3467"/>
      <c r="B33" s="3464"/>
      <c r="C33" s="2846" t="s">
        <v>2461</v>
      </c>
      <c r="D33" s="2847"/>
      <c r="E33" s="2848">
        <v>0.8</v>
      </c>
      <c r="F33" s="2845" t="s">
        <v>2462</v>
      </c>
      <c r="G33" s="2845"/>
    </row>
    <row r="34" spans="1:7" ht="19.5" customHeight="1">
      <c r="A34" s="3467"/>
      <c r="B34" s="3464"/>
      <c r="C34" s="2846" t="s">
        <v>2463</v>
      </c>
      <c r="D34" s="2847"/>
      <c r="E34" s="2848">
        <v>0.6</v>
      </c>
      <c r="F34" s="2845" t="s">
        <v>2464</v>
      </c>
      <c r="G34" s="2845"/>
    </row>
    <row r="35" spans="1:7" ht="19.5" customHeight="1">
      <c r="A35" s="3467"/>
      <c r="B35" s="3464"/>
      <c r="C35" s="2846" t="s">
        <v>2465</v>
      </c>
      <c r="D35" s="2847"/>
      <c r="E35" s="2848">
        <v>0.2</v>
      </c>
      <c r="F35" s="2845" t="s">
        <v>2466</v>
      </c>
      <c r="G35" s="2845"/>
    </row>
    <row r="36" spans="1:7" ht="19.5" customHeight="1">
      <c r="A36" s="3467"/>
      <c r="B36" s="3464"/>
      <c r="C36" s="2846" t="s">
        <v>2467</v>
      </c>
      <c r="D36" s="2847"/>
      <c r="E36" s="2848">
        <v>0.2</v>
      </c>
      <c r="F36" s="2845" t="s">
        <v>2468</v>
      </c>
      <c r="G36" s="2845"/>
    </row>
    <row r="37" spans="1:7" ht="19.5" customHeight="1">
      <c r="A37" s="3467"/>
      <c r="B37" s="3469" t="s">
        <v>2629</v>
      </c>
      <c r="C37" s="2846" t="s">
        <v>2469</v>
      </c>
      <c r="D37" s="2847"/>
      <c r="E37" s="2848">
        <v>0.6</v>
      </c>
      <c r="F37" s="2845" t="s">
        <v>2470</v>
      </c>
      <c r="G37" s="2845"/>
    </row>
    <row r="38" spans="1:7" ht="19.5" customHeight="1">
      <c r="A38" s="3467"/>
      <c r="B38" s="3464"/>
      <c r="C38" s="2846" t="s">
        <v>2471</v>
      </c>
      <c r="D38" s="2847"/>
      <c r="E38" s="2848">
        <v>0.6</v>
      </c>
      <c r="F38" s="2845" t="s">
        <v>2472</v>
      </c>
      <c r="G38" s="2845"/>
    </row>
    <row r="39" spans="1:7" ht="19.5" customHeight="1" thickBot="1">
      <c r="A39" s="3468"/>
      <c r="B39" s="3465"/>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70" t="s">
        <v>2607</v>
      </c>
      <c r="B41" s="3463" t="s">
        <v>2631</v>
      </c>
      <c r="C41" s="2842" t="s">
        <v>2476</v>
      </c>
      <c r="D41" s="2843"/>
      <c r="E41" s="2844">
        <v>1</v>
      </c>
      <c r="F41" s="2845" t="s">
        <v>2477</v>
      </c>
      <c r="G41" s="2845"/>
    </row>
    <row r="42" spans="1:7" ht="19.5" customHeight="1">
      <c r="A42" s="3471"/>
      <c r="B42" s="3464"/>
      <c r="C42" s="2846" t="s">
        <v>2478</v>
      </c>
      <c r="D42" s="2847"/>
      <c r="E42" s="2848">
        <v>1</v>
      </c>
      <c r="F42" s="2845" t="s">
        <v>2479</v>
      </c>
      <c r="G42" s="2845"/>
    </row>
    <row r="43" spans="1:7" ht="19.5" customHeight="1">
      <c r="A43" s="3471"/>
      <c r="B43" s="3473"/>
      <c r="C43" s="2846" t="s">
        <v>2480</v>
      </c>
      <c r="D43" s="2847"/>
      <c r="E43" s="2848">
        <v>1.5</v>
      </c>
      <c r="F43" s="2845" t="s">
        <v>2481</v>
      </c>
      <c r="G43" s="2845"/>
    </row>
    <row r="44" spans="1:7" ht="19.5" customHeight="1">
      <c r="A44" s="3471"/>
      <c r="B44" s="2857" t="s">
        <v>2632</v>
      </c>
      <c r="C44" s="2846" t="s">
        <v>2633</v>
      </c>
      <c r="D44" s="2847"/>
      <c r="E44" s="2848">
        <v>2</v>
      </c>
      <c r="F44" s="2845" t="s">
        <v>2482</v>
      </c>
      <c r="G44" s="2845"/>
    </row>
    <row r="45" spans="1:7" ht="19.5" customHeight="1">
      <c r="A45" s="3471"/>
      <c r="B45" s="3469" t="s">
        <v>2634</v>
      </c>
      <c r="C45" s="2846" t="s">
        <v>2483</v>
      </c>
      <c r="D45" s="2847"/>
      <c r="E45" s="2848">
        <v>1</v>
      </c>
      <c r="F45" s="2845" t="s">
        <v>2484</v>
      </c>
      <c r="G45" s="2845"/>
    </row>
    <row r="46" spans="1:7" ht="19.5" customHeight="1">
      <c r="A46" s="3471"/>
      <c r="B46" s="3464"/>
      <c r="C46" s="2846" t="s">
        <v>2485</v>
      </c>
      <c r="D46" s="2847"/>
      <c r="E46" s="2848">
        <v>1</v>
      </c>
      <c r="F46" s="2845" t="s">
        <v>2486</v>
      </c>
      <c r="G46" s="2845"/>
    </row>
    <row r="47" spans="1:7" ht="19.5" customHeight="1">
      <c r="A47" s="3471"/>
      <c r="B47" s="3464"/>
      <c r="C47" s="2846" t="s">
        <v>2487</v>
      </c>
      <c r="D47" s="2847"/>
      <c r="E47" s="2848">
        <v>1</v>
      </c>
      <c r="F47" s="2845" t="s">
        <v>2488</v>
      </c>
      <c r="G47" s="2845"/>
    </row>
    <row r="48" spans="1:7" ht="19.5" customHeight="1">
      <c r="A48" s="3471"/>
      <c r="B48" s="3464"/>
      <c r="C48" s="2846" t="s">
        <v>2489</v>
      </c>
      <c r="D48" s="2847"/>
      <c r="E48" s="2848">
        <v>1</v>
      </c>
      <c r="F48" s="2845" t="s">
        <v>2490</v>
      </c>
      <c r="G48" s="2845"/>
    </row>
    <row r="49" spans="1:7" ht="19.5" customHeight="1">
      <c r="A49" s="3471"/>
      <c r="B49" s="3464"/>
      <c r="C49" s="2846" t="s">
        <v>2491</v>
      </c>
      <c r="D49" s="2847"/>
      <c r="E49" s="2848">
        <v>1</v>
      </c>
      <c r="F49" s="2845" t="s">
        <v>2492</v>
      </c>
      <c r="G49" s="2845"/>
    </row>
    <row r="50" spans="1:7" ht="19.5" customHeight="1">
      <c r="A50" s="3471"/>
      <c r="B50" s="3464"/>
      <c r="C50" s="2846" t="s">
        <v>2493</v>
      </c>
      <c r="D50" s="2847"/>
      <c r="E50" s="2848">
        <v>1</v>
      </c>
      <c r="F50" s="2845" t="s">
        <v>2494</v>
      </c>
      <c r="G50" s="2845"/>
    </row>
    <row r="51" spans="1:7" ht="19.5" customHeight="1" thickBot="1">
      <c r="A51" s="3472"/>
      <c r="B51" s="3465"/>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69" t="s">
        <v>2648</v>
      </c>
      <c r="C73" s="2831" t="s">
        <v>2649</v>
      </c>
      <c r="D73" s="2831" t="s">
        <v>2650</v>
      </c>
      <c r="E73" s="2857">
        <v>0.2</v>
      </c>
      <c r="F73" s="2857">
        <v>25</v>
      </c>
    </row>
    <row r="74" spans="1:7" ht="24">
      <c r="A74" s="2857">
        <v>2</v>
      </c>
      <c r="B74" s="3464"/>
      <c r="C74" s="2831" t="s">
        <v>2651</v>
      </c>
      <c r="D74" s="2831" t="s">
        <v>2652</v>
      </c>
      <c r="E74" s="2857">
        <v>0.2</v>
      </c>
      <c r="F74" s="2857">
        <v>25</v>
      </c>
    </row>
    <row r="75" spans="1:7" ht="24">
      <c r="A75" s="2857">
        <v>3</v>
      </c>
      <c r="B75" s="3464"/>
      <c r="C75" s="2831" t="s">
        <v>2653</v>
      </c>
      <c r="D75" s="2831" t="s">
        <v>2654</v>
      </c>
      <c r="E75" s="2857">
        <v>0.2</v>
      </c>
      <c r="F75" s="2857">
        <v>25</v>
      </c>
    </row>
    <row r="76" spans="1:7" ht="13.5">
      <c r="A76" s="2857">
        <v>4</v>
      </c>
      <c r="B76" s="3464"/>
      <c r="C76" s="2831" t="s">
        <v>2655</v>
      </c>
      <c r="D76" s="2831" t="s">
        <v>2656</v>
      </c>
      <c r="E76" s="2857">
        <v>0.15</v>
      </c>
      <c r="F76" s="2857">
        <v>20</v>
      </c>
    </row>
    <row r="77" spans="1:7" ht="24">
      <c r="A77" s="2857">
        <v>5</v>
      </c>
      <c r="B77" s="3464"/>
      <c r="C77" s="2831" t="s">
        <v>2657</v>
      </c>
      <c r="D77" s="2831" t="s">
        <v>2658</v>
      </c>
      <c r="E77" s="2857">
        <v>0.15</v>
      </c>
      <c r="F77" s="2857">
        <v>20</v>
      </c>
    </row>
    <row r="78" spans="1:7" ht="24">
      <c r="A78" s="2857">
        <v>6</v>
      </c>
      <c r="B78" s="3464"/>
      <c r="C78" s="2831" t="s">
        <v>2659</v>
      </c>
      <c r="D78" s="2831" t="s">
        <v>2660</v>
      </c>
      <c r="E78" s="2857">
        <v>0.15</v>
      </c>
      <c r="F78" s="2857">
        <v>20</v>
      </c>
    </row>
    <row r="79" spans="1:7" ht="24">
      <c r="A79" s="2857">
        <v>7</v>
      </c>
      <c r="B79" s="3464"/>
      <c r="C79" s="2831" t="s">
        <v>2661</v>
      </c>
      <c r="D79" s="2831" t="s">
        <v>2662</v>
      </c>
      <c r="E79" s="2857">
        <v>0.15</v>
      </c>
      <c r="F79" s="2857">
        <v>20</v>
      </c>
    </row>
    <row r="80" spans="1:7" ht="24">
      <c r="A80" s="2857">
        <v>8</v>
      </c>
      <c r="B80" s="3464"/>
      <c r="C80" s="2831" t="s">
        <v>2663</v>
      </c>
      <c r="D80" s="2831" t="s">
        <v>2664</v>
      </c>
      <c r="E80" s="2857">
        <v>0.1</v>
      </c>
      <c r="F80" s="2857">
        <v>15</v>
      </c>
    </row>
    <row r="81" spans="1:6" ht="24">
      <c r="A81" s="2857">
        <v>9</v>
      </c>
      <c r="B81" s="3464"/>
      <c r="C81" s="2831" t="s">
        <v>2665</v>
      </c>
      <c r="D81" s="2831" t="s">
        <v>2666</v>
      </c>
      <c r="E81" s="2857">
        <v>0.1</v>
      </c>
      <c r="F81" s="2857">
        <v>15</v>
      </c>
    </row>
    <row r="82" spans="1:6" ht="24">
      <c r="A82" s="2857">
        <v>10</v>
      </c>
      <c r="B82" s="3464"/>
      <c r="C82" s="2831" t="s">
        <v>2667</v>
      </c>
      <c r="D82" s="2831" t="s">
        <v>2668</v>
      </c>
      <c r="E82" s="2857">
        <v>0.1</v>
      </c>
      <c r="F82" s="2857">
        <v>15</v>
      </c>
    </row>
    <row r="83" spans="1:6" ht="24">
      <c r="A83" s="2857">
        <v>11</v>
      </c>
      <c r="B83" s="3464"/>
      <c r="C83" s="2831" t="s">
        <v>2669</v>
      </c>
      <c r="D83" s="2831" t="s">
        <v>2670</v>
      </c>
      <c r="E83" s="2857">
        <v>0.1</v>
      </c>
      <c r="F83" s="2857">
        <v>15</v>
      </c>
    </row>
    <row r="84" spans="1:6" ht="24">
      <c r="A84" s="2857">
        <v>12</v>
      </c>
      <c r="B84" s="3464"/>
      <c r="C84" s="2831" t="s">
        <v>2671</v>
      </c>
      <c r="D84" s="2831" t="s">
        <v>2672</v>
      </c>
      <c r="E84" s="2857">
        <v>0.1</v>
      </c>
      <c r="F84" s="2857">
        <v>15</v>
      </c>
    </row>
    <row r="85" spans="1:6" ht="13.5">
      <c r="A85" s="2857">
        <v>13</v>
      </c>
      <c r="B85" s="3464"/>
      <c r="C85" s="2831" t="s">
        <v>2673</v>
      </c>
      <c r="D85" s="2831" t="s">
        <v>2674</v>
      </c>
      <c r="E85" s="2857">
        <v>0.1</v>
      </c>
      <c r="F85" s="2857">
        <v>15</v>
      </c>
    </row>
    <row r="86" spans="1:6" ht="13.5">
      <c r="A86" s="2857">
        <v>14</v>
      </c>
      <c r="B86" s="3464"/>
      <c r="C86" s="2831" t="s">
        <v>2675</v>
      </c>
      <c r="D86" s="2831" t="s">
        <v>2676</v>
      </c>
      <c r="E86" s="2857">
        <v>0.1</v>
      </c>
      <c r="F86" s="2857">
        <v>15</v>
      </c>
    </row>
    <row r="87" spans="1:6" ht="13.5">
      <c r="A87" s="2857">
        <v>15</v>
      </c>
      <c r="B87" s="3464"/>
      <c r="C87" s="2831" t="s">
        <v>2677</v>
      </c>
      <c r="D87" s="2831" t="s">
        <v>2678</v>
      </c>
      <c r="E87" s="2857">
        <v>0.1</v>
      </c>
      <c r="F87" s="2857">
        <v>15</v>
      </c>
    </row>
    <row r="88" spans="1:6" ht="24">
      <c r="A88" s="2857">
        <v>16</v>
      </c>
      <c r="B88" s="3464"/>
      <c r="C88" s="2831" t="s">
        <v>2679</v>
      </c>
      <c r="D88" s="2831" t="s">
        <v>2680</v>
      </c>
      <c r="E88" s="2857">
        <v>0.1</v>
      </c>
      <c r="F88" s="2857">
        <v>15</v>
      </c>
    </row>
    <row r="89" spans="1:6" ht="24">
      <c r="A89" s="2857">
        <v>17</v>
      </c>
      <c r="B89" s="3473"/>
      <c r="C89" s="2831" t="s">
        <v>2681</v>
      </c>
      <c r="D89" s="2831" t="s">
        <v>2682</v>
      </c>
      <c r="E89" s="2857">
        <v>0.1</v>
      </c>
      <c r="F89" s="2857">
        <v>15</v>
      </c>
    </row>
    <row r="90" spans="1:6" ht="13.5">
      <c r="A90" s="2857">
        <v>18</v>
      </c>
      <c r="B90" s="3469" t="s">
        <v>2683</v>
      </c>
      <c r="C90" s="2831" t="s">
        <v>2684</v>
      </c>
      <c r="D90" s="2831" t="s">
        <v>2685</v>
      </c>
      <c r="E90" s="2857">
        <v>0.2</v>
      </c>
      <c r="F90" s="2857">
        <v>25</v>
      </c>
    </row>
    <row r="91" spans="1:6" ht="24">
      <c r="A91" s="2857">
        <v>19</v>
      </c>
      <c r="B91" s="3464"/>
      <c r="C91" s="2831" t="s">
        <v>2686</v>
      </c>
      <c r="D91" s="2831" t="s">
        <v>2687</v>
      </c>
      <c r="E91" s="2857">
        <v>0.2</v>
      </c>
      <c r="F91" s="2857">
        <v>25</v>
      </c>
    </row>
    <row r="92" spans="1:6" ht="13.5">
      <c r="A92" s="2857">
        <v>20</v>
      </c>
      <c r="B92" s="3464"/>
      <c r="C92" s="2831" t="s">
        <v>2688</v>
      </c>
      <c r="D92" s="2831" t="s">
        <v>2689</v>
      </c>
      <c r="E92" s="2857">
        <v>0.15</v>
      </c>
      <c r="F92" s="2857">
        <v>20</v>
      </c>
    </row>
    <row r="93" spans="1:6" ht="13.5">
      <c r="A93" s="2857">
        <v>21</v>
      </c>
      <c r="B93" s="3464"/>
      <c r="C93" s="2831" t="s">
        <v>2690</v>
      </c>
      <c r="D93" s="2831" t="s">
        <v>2691</v>
      </c>
      <c r="E93" s="2857">
        <v>0.15</v>
      </c>
      <c r="F93" s="2857">
        <v>20</v>
      </c>
    </row>
    <row r="94" spans="1:6" ht="13.5">
      <c r="A94" s="2857">
        <v>22</v>
      </c>
      <c r="B94" s="3464"/>
      <c r="C94" s="2831" t="s">
        <v>2692</v>
      </c>
      <c r="D94" s="2831" t="s">
        <v>2693</v>
      </c>
      <c r="E94" s="2857">
        <v>0.15</v>
      </c>
      <c r="F94" s="2857">
        <v>20</v>
      </c>
    </row>
    <row r="95" spans="1:6" ht="36">
      <c r="A95" s="2857">
        <v>23</v>
      </c>
      <c r="B95" s="3464"/>
      <c r="C95" s="2831" t="s">
        <v>2694</v>
      </c>
      <c r="D95" s="2831" t="s">
        <v>2695</v>
      </c>
      <c r="E95" s="2857">
        <v>0.15</v>
      </c>
      <c r="F95" s="2857">
        <v>20</v>
      </c>
    </row>
    <row r="96" spans="1:6" ht="13.5">
      <c r="A96" s="2857">
        <v>24</v>
      </c>
      <c r="B96" s="3464"/>
      <c r="C96" s="2831" t="s">
        <v>2696</v>
      </c>
      <c r="D96" s="2831" t="s">
        <v>2697</v>
      </c>
      <c r="E96" s="2857">
        <v>0.1</v>
      </c>
      <c r="F96" s="2857">
        <v>15</v>
      </c>
    </row>
    <row r="97" spans="1:6" ht="13.5">
      <c r="A97" s="2857">
        <v>25</v>
      </c>
      <c r="B97" s="3464"/>
      <c r="C97" s="2831" t="s">
        <v>2698</v>
      </c>
      <c r="D97" s="2831" t="s">
        <v>2699</v>
      </c>
      <c r="E97" s="2857">
        <v>0.1</v>
      </c>
      <c r="F97" s="2857">
        <v>15</v>
      </c>
    </row>
    <row r="98" spans="1:6" ht="24">
      <c r="A98" s="2857">
        <v>26</v>
      </c>
      <c r="B98" s="3464"/>
      <c r="C98" s="2831" t="s">
        <v>2700</v>
      </c>
      <c r="D98" s="2831" t="s">
        <v>2701</v>
      </c>
      <c r="E98" s="2857">
        <v>0.1</v>
      </c>
      <c r="F98" s="2857">
        <v>15</v>
      </c>
    </row>
    <row r="99" spans="1:6" ht="24">
      <c r="A99" s="2857">
        <v>27</v>
      </c>
      <c r="B99" s="3464"/>
      <c r="C99" s="2831" t="s">
        <v>2702</v>
      </c>
      <c r="D99" s="2831" t="s">
        <v>2703</v>
      </c>
      <c r="E99" s="2857">
        <v>0.1</v>
      </c>
      <c r="F99" s="2857">
        <v>15</v>
      </c>
    </row>
    <row r="100" spans="1:6" ht="13.5">
      <c r="A100" s="2857">
        <v>28</v>
      </c>
      <c r="B100" s="3464"/>
      <c r="C100" s="2831" t="s">
        <v>2704</v>
      </c>
      <c r="D100" s="2831" t="s">
        <v>2705</v>
      </c>
      <c r="E100" s="2857">
        <v>0.1</v>
      </c>
      <c r="F100" s="2857">
        <v>15</v>
      </c>
    </row>
    <row r="101" spans="1:6" ht="13.5">
      <c r="A101" s="2857">
        <v>29</v>
      </c>
      <c r="B101" s="3464"/>
      <c r="C101" s="2831" t="s">
        <v>2706</v>
      </c>
      <c r="D101" s="2831" t="s">
        <v>2707</v>
      </c>
      <c r="E101" s="2857">
        <v>0.1</v>
      </c>
      <c r="F101" s="2857">
        <v>15</v>
      </c>
    </row>
    <row r="102" spans="1:6" ht="13.5">
      <c r="A102" s="2857">
        <v>30</v>
      </c>
      <c r="B102" s="3464"/>
      <c r="C102" s="2831" t="s">
        <v>2708</v>
      </c>
      <c r="D102" s="2831" t="s">
        <v>2709</v>
      </c>
      <c r="E102" s="2857">
        <v>0.1</v>
      </c>
      <c r="F102" s="2857">
        <v>15</v>
      </c>
    </row>
    <row r="103" spans="1:6" ht="24">
      <c r="A103" s="2857">
        <v>31</v>
      </c>
      <c r="B103" s="3464"/>
      <c r="C103" s="2831" t="s">
        <v>2710</v>
      </c>
      <c r="D103" s="2831" t="s">
        <v>2711</v>
      </c>
      <c r="E103" s="2857">
        <v>0.1</v>
      </c>
      <c r="F103" s="2857">
        <v>15</v>
      </c>
    </row>
    <row r="104" spans="1:6" ht="24">
      <c r="A104" s="2857">
        <v>32</v>
      </c>
      <c r="B104" s="3464"/>
      <c r="C104" s="2831" t="s">
        <v>2712</v>
      </c>
      <c r="D104" s="2831" t="s">
        <v>2713</v>
      </c>
      <c r="E104" s="2857">
        <v>0.1</v>
      </c>
      <c r="F104" s="2857">
        <v>15</v>
      </c>
    </row>
    <row r="105" spans="1:6" ht="24">
      <c r="A105" s="2857">
        <v>33</v>
      </c>
      <c r="B105" s="3464"/>
      <c r="C105" s="2831" t="s">
        <v>2714</v>
      </c>
      <c r="D105" s="2831" t="s">
        <v>2715</v>
      </c>
      <c r="E105" s="2857">
        <v>0.1</v>
      </c>
      <c r="F105" s="2857">
        <v>15</v>
      </c>
    </row>
    <row r="106" spans="1:6" ht="24">
      <c r="A106" s="2857">
        <v>34</v>
      </c>
      <c r="B106" s="3473"/>
      <c r="C106" s="2831" t="s">
        <v>2716</v>
      </c>
      <c r="D106" s="2831" t="s">
        <v>2717</v>
      </c>
      <c r="E106" s="2857">
        <v>0.1</v>
      </c>
      <c r="F106" s="2857">
        <v>15</v>
      </c>
    </row>
    <row r="107" spans="1:6" ht="24">
      <c r="A107" s="2857">
        <v>35</v>
      </c>
      <c r="B107" s="3469" t="s">
        <v>2718</v>
      </c>
      <c r="C107" s="2857" t="s">
        <v>2719</v>
      </c>
      <c r="D107" s="2831" t="s">
        <v>2720</v>
      </c>
      <c r="E107" s="2857">
        <v>0.15</v>
      </c>
      <c r="F107" s="2857">
        <v>20</v>
      </c>
    </row>
    <row r="108" spans="1:6" ht="13.5">
      <c r="A108" s="2857">
        <v>36</v>
      </c>
      <c r="B108" s="3464"/>
      <c r="C108" s="2857" t="s">
        <v>2721</v>
      </c>
      <c r="D108" s="2831" t="s">
        <v>2722</v>
      </c>
      <c r="E108" s="2857">
        <v>0.15</v>
      </c>
      <c r="F108" s="2857">
        <v>20</v>
      </c>
    </row>
    <row r="109" spans="1:6" ht="13.5">
      <c r="A109" s="2857">
        <v>37</v>
      </c>
      <c r="B109" s="3464"/>
      <c r="C109" s="2857" t="s">
        <v>2723</v>
      </c>
      <c r="D109" s="2831" t="s">
        <v>2724</v>
      </c>
      <c r="E109" s="2857">
        <v>0.15</v>
      </c>
      <c r="F109" s="2857">
        <v>20</v>
      </c>
    </row>
    <row r="110" spans="1:6" ht="13.5">
      <c r="A110" s="2857">
        <v>38</v>
      </c>
      <c r="B110" s="3464"/>
      <c r="C110" s="2857" t="s">
        <v>2725</v>
      </c>
      <c r="D110" s="2831" t="s">
        <v>2726</v>
      </c>
      <c r="E110" s="2857">
        <v>0.1</v>
      </c>
      <c r="F110" s="2857">
        <v>15</v>
      </c>
    </row>
    <row r="111" spans="1:6" ht="24">
      <c r="A111" s="2857">
        <v>39</v>
      </c>
      <c r="B111" s="3464"/>
      <c r="C111" s="2857" t="s">
        <v>2727</v>
      </c>
      <c r="D111" s="2831" t="s">
        <v>2728</v>
      </c>
      <c r="E111" s="2857">
        <v>0.1</v>
      </c>
      <c r="F111" s="2857">
        <v>15</v>
      </c>
    </row>
    <row r="112" spans="1:6" ht="24">
      <c r="A112" s="2857">
        <v>40</v>
      </c>
      <c r="B112" s="3473"/>
      <c r="C112" s="2857" t="s">
        <v>2729</v>
      </c>
      <c r="D112" s="2831" t="s">
        <v>2730</v>
      </c>
      <c r="E112" s="2857">
        <v>0.1</v>
      </c>
      <c r="F112" s="2857">
        <v>15</v>
      </c>
    </row>
    <row r="113" spans="1:6" ht="13.5">
      <c r="A113" s="2857">
        <v>41</v>
      </c>
      <c r="B113" s="3474" t="s">
        <v>2731</v>
      </c>
      <c r="C113" s="2857" t="s">
        <v>2732</v>
      </c>
      <c r="D113" s="2831" t="s">
        <v>2733</v>
      </c>
      <c r="E113" s="2857">
        <v>0.1</v>
      </c>
      <c r="F113" s="2857">
        <v>15</v>
      </c>
    </row>
    <row r="114" spans="1:6" ht="13.5">
      <c r="A114" s="2857">
        <v>42</v>
      </c>
      <c r="B114" s="3474"/>
      <c r="C114" s="2857" t="s">
        <v>2734</v>
      </c>
      <c r="D114" s="2831" t="s">
        <v>2735</v>
      </c>
      <c r="E114" s="2857">
        <v>0.1</v>
      </c>
      <c r="F114" s="2857">
        <v>15</v>
      </c>
    </row>
    <row r="115" spans="1:6" ht="24">
      <c r="A115" s="2857">
        <v>43</v>
      </c>
      <c r="B115" s="3474"/>
      <c r="C115" s="2857" t="s">
        <v>2736</v>
      </c>
      <c r="D115" s="2831" t="s">
        <v>2737</v>
      </c>
      <c r="E115" s="2857">
        <v>0.1</v>
      </c>
      <c r="F115" s="2857">
        <v>15</v>
      </c>
    </row>
    <row r="116" spans="1:6" ht="13.5">
      <c r="A116" s="2857">
        <v>44</v>
      </c>
      <c r="B116" s="3469" t="s">
        <v>2738</v>
      </c>
      <c r="C116" s="2857" t="s">
        <v>2739</v>
      </c>
      <c r="D116" s="2831" t="s">
        <v>2740</v>
      </c>
      <c r="E116" s="2857">
        <v>0.1</v>
      </c>
      <c r="F116" s="2857">
        <v>15</v>
      </c>
    </row>
    <row r="117" spans="1:6" ht="24">
      <c r="A117" s="2857">
        <v>45</v>
      </c>
      <c r="B117" s="3473"/>
      <c r="C117" s="2831" t="s">
        <v>2741</v>
      </c>
      <c r="D117" s="2831" t="s">
        <v>2742</v>
      </c>
      <c r="E117" s="2857">
        <v>0.1</v>
      </c>
      <c r="F117" s="2857">
        <v>15</v>
      </c>
    </row>
    <row r="118" spans="1:6" ht="24">
      <c r="A118" s="2857">
        <v>46</v>
      </c>
      <c r="B118" s="3469" t="s">
        <v>2743</v>
      </c>
      <c r="C118" s="2857" t="s">
        <v>2744</v>
      </c>
      <c r="D118" s="2831" t="s">
        <v>2745</v>
      </c>
      <c r="E118" s="2857">
        <v>0.1</v>
      </c>
      <c r="F118" s="2857">
        <v>15</v>
      </c>
    </row>
    <row r="119" spans="1:6" ht="24">
      <c r="A119" s="2857">
        <v>47</v>
      </c>
      <c r="B119" s="3473"/>
      <c r="C119" s="2857" t="s">
        <v>2746</v>
      </c>
      <c r="D119" s="2831" t="s">
        <v>2747</v>
      </c>
      <c r="E119" s="2857">
        <v>0.1</v>
      </c>
      <c r="F119" s="2857">
        <v>15</v>
      </c>
    </row>
    <row r="120" spans="1:6" ht="13.5">
      <c r="A120" s="2857">
        <v>48</v>
      </c>
      <c r="B120" s="3469" t="s">
        <v>2748</v>
      </c>
      <c r="C120" s="2857" t="s">
        <v>2749</v>
      </c>
      <c r="D120" s="2831" t="s">
        <v>2750</v>
      </c>
      <c r="E120" s="2857">
        <v>0.1</v>
      </c>
      <c r="F120" s="2857">
        <v>15</v>
      </c>
    </row>
    <row r="121" spans="1:6" ht="13.5">
      <c r="A121" s="2857">
        <v>49</v>
      </c>
      <c r="B121" s="3473"/>
      <c r="C121" s="2857" t="s">
        <v>2751</v>
      </c>
      <c r="D121" s="2831" t="s">
        <v>2752</v>
      </c>
      <c r="E121" s="2857">
        <v>0.1</v>
      </c>
      <c r="F121" s="2857">
        <v>15</v>
      </c>
    </row>
    <row r="122" spans="1:6" ht="24">
      <c r="A122" s="2857">
        <v>50</v>
      </c>
      <c r="B122" s="3474" t="s">
        <v>2753</v>
      </c>
      <c r="C122" s="2857" t="s">
        <v>2754</v>
      </c>
      <c r="D122" s="2831" t="s">
        <v>2755</v>
      </c>
      <c r="E122" s="2857">
        <v>0.1</v>
      </c>
      <c r="F122" s="2857">
        <v>15</v>
      </c>
    </row>
    <row r="123" spans="1:6" ht="24">
      <c r="A123" s="2857">
        <v>51</v>
      </c>
      <c r="B123" s="3474"/>
      <c r="C123" s="2857" t="s">
        <v>2756</v>
      </c>
      <c r="D123" s="2831" t="s">
        <v>2757</v>
      </c>
      <c r="E123" s="2857">
        <v>0.1</v>
      </c>
      <c r="F123" s="2857">
        <v>15</v>
      </c>
    </row>
    <row r="124" spans="1:6" ht="24">
      <c r="A124" s="2857">
        <v>52</v>
      </c>
      <c r="B124" s="3474" t="s">
        <v>2758</v>
      </c>
      <c r="C124" s="2857" t="s">
        <v>2759</v>
      </c>
      <c r="D124" s="2831" t="s">
        <v>2760</v>
      </c>
      <c r="E124" s="2857">
        <v>0.1</v>
      </c>
      <c r="F124" s="2857">
        <v>15</v>
      </c>
    </row>
    <row r="125" spans="1:6" ht="24">
      <c r="A125" s="2857">
        <v>53</v>
      </c>
      <c r="B125" s="3474"/>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74" t="s">
        <v>2766</v>
      </c>
      <c r="C127" s="2857" t="s">
        <v>2767</v>
      </c>
      <c r="D127" s="2831" t="s">
        <v>2768</v>
      </c>
      <c r="E127" s="2857">
        <v>0.1</v>
      </c>
      <c r="F127" s="2857">
        <v>15</v>
      </c>
    </row>
    <row r="128" spans="1:6" ht="13.5">
      <c r="A128" s="2857">
        <v>56</v>
      </c>
      <c r="B128" s="3474"/>
      <c r="C128" s="2857" t="s">
        <v>2769</v>
      </c>
      <c r="D128" s="2831" t="s">
        <v>2770</v>
      </c>
      <c r="E128" s="2857">
        <v>0.1</v>
      </c>
      <c r="F128" s="2857">
        <v>15</v>
      </c>
    </row>
    <row r="129" spans="1:6" ht="24">
      <c r="A129" s="2857">
        <v>57</v>
      </c>
      <c r="B129" s="3474"/>
      <c r="C129" s="2857" t="s">
        <v>2771</v>
      </c>
      <c r="D129" s="2831" t="s">
        <v>2772</v>
      </c>
      <c r="E129" s="2857">
        <v>0.1</v>
      </c>
      <c r="F129" s="2857">
        <v>15</v>
      </c>
    </row>
    <row r="130" spans="1:6" ht="24">
      <c r="A130" s="2857">
        <v>58</v>
      </c>
      <c r="B130" s="3474" t="s">
        <v>2773</v>
      </c>
      <c r="C130" s="2857" t="s">
        <v>2774</v>
      </c>
      <c r="D130" s="2831" t="s">
        <v>2775</v>
      </c>
      <c r="E130" s="2857">
        <v>0.1</v>
      </c>
      <c r="F130" s="2857">
        <v>15</v>
      </c>
    </row>
    <row r="131" spans="1:6" ht="13.5">
      <c r="A131" s="2857">
        <v>59</v>
      </c>
      <c r="B131" s="3474"/>
      <c r="C131" s="2857" t="s">
        <v>2776</v>
      </c>
      <c r="D131" s="2831" t="s">
        <v>2777</v>
      </c>
      <c r="E131" s="2857">
        <v>0.1</v>
      </c>
      <c r="F131" s="2857">
        <v>15</v>
      </c>
    </row>
    <row r="132" spans="1:6" ht="13.5">
      <c r="A132" s="2857">
        <v>60</v>
      </c>
      <c r="B132" s="3469" t="s">
        <v>2778</v>
      </c>
      <c r="C132" s="2857" t="s">
        <v>2779</v>
      </c>
      <c r="D132" s="2831" t="s">
        <v>2780</v>
      </c>
      <c r="E132" s="2857">
        <v>0.1</v>
      </c>
      <c r="F132" s="2857">
        <v>15</v>
      </c>
    </row>
    <row r="133" spans="1:6" ht="13.5">
      <c r="A133" s="2857">
        <v>61</v>
      </c>
      <c r="B133" s="3473"/>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74" t="s">
        <v>2786</v>
      </c>
      <c r="C135" s="2857" t="s">
        <v>2787</v>
      </c>
      <c r="D135" s="2831" t="s">
        <v>2788</v>
      </c>
      <c r="E135" s="2857">
        <v>0.1</v>
      </c>
      <c r="F135" s="2857">
        <v>15</v>
      </c>
    </row>
    <row r="136" spans="1:6" ht="13.5">
      <c r="A136" s="2857">
        <v>64</v>
      </c>
      <c r="B136" s="3474"/>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1.1373</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1.0771999999999999</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1758</v>
      </c>
    </row>
    <row r="6" spans="1:5" ht="15.75">
      <c r="B6" s="3159"/>
      <c r="C6" s="1392" t="s">
        <v>911</v>
      </c>
      <c r="D6" s="797" t="str">
        <f ca="1">NUMBERSTRING(INT(D5*10000),2)&amp;"元整"</f>
        <v>壹仟柒佰伍拾捌万元整</v>
      </c>
    </row>
    <row r="7" spans="1:5" ht="15.75">
      <c r="B7" s="3164"/>
      <c r="C7" s="1393" t="s">
        <v>912</v>
      </c>
      <c r="D7" s="798">
        <f ca="1">结果表!H102</f>
        <v>24412</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1758</v>
      </c>
    </row>
    <row r="14" spans="1:5" ht="15.75">
      <c r="B14" s="3159"/>
      <c r="C14" s="1392" t="s">
        <v>911</v>
      </c>
      <c r="D14" s="797" t="str">
        <f ca="1">NUMBERSTRING(INT(D13*10000),2)&amp;"元整"</f>
        <v>壹仟柒佰伍拾捌万元整</v>
      </c>
    </row>
    <row r="15" spans="1:5" ht="15">
      <c r="B15" s="3164"/>
      <c r="C15" s="1393" t="s">
        <v>921</v>
      </c>
      <c r="D15" s="806">
        <f ca="1">结果表!H108</f>
        <v>24412</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30252</v>
      </c>
      <c r="C2" s="2" t="s">
        <v>106</v>
      </c>
      <c r="D2" s="191"/>
      <c r="E2" s="191"/>
      <c r="F2" s="191"/>
      <c r="G2" s="191"/>
    </row>
    <row r="3" spans="1:7" s="192" customFormat="1" ht="18" customHeight="1" thickBot="1">
      <c r="A3" s="195" t="s">
        <v>58</v>
      </c>
      <c r="B3" s="196">
        <f ca="1">ROUND(B2*10000/'数据-汇总表'!E3,0)</f>
        <v>420091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14</v>
      </c>
      <c r="D10" s="795">
        <f>'数据-汇总表'!E6</f>
        <v>720.13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v>
      </c>
      <c r="D19" s="204">
        <f>'数据-汇总表'!E3</f>
        <v>720.13</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1773</v>
      </c>
      <c r="D22" s="227">
        <f ca="1">C26</f>
        <v>1.1999999999999999E-3</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26</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4249</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4249</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29979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252</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v>
      </c>
      <c r="D37" s="209">
        <f>'数据-汇总表'!E3</f>
        <v>720.13</v>
      </c>
      <c r="E37" s="241">
        <f>'数据-取费表'!B35</f>
        <v>200</v>
      </c>
      <c r="F37" s="251"/>
      <c r="G37" s="253" t="s">
        <v>92</v>
      </c>
    </row>
    <row r="38" spans="1:7" ht="13.5" customHeight="1">
      <c r="A38" s="734" t="s">
        <v>354</v>
      </c>
      <c r="B38" s="207" t="s">
        <v>36</v>
      </c>
      <c r="C38" s="212">
        <f>ROUND(C34*F38,0)</f>
        <v>4</v>
      </c>
      <c r="D38" s="212"/>
      <c r="E38" s="212"/>
      <c r="F38" s="251">
        <f>'数据-取费表'!B36</f>
        <v>1.4999999999999999E-2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95" t="s">
        <v>94</v>
      </c>
    </row>
    <row r="43" spans="1:7" ht="13.5" customHeight="1">
      <c r="A43" s="734" t="s">
        <v>347</v>
      </c>
      <c r="B43" s="207" t="s">
        <v>426</v>
      </c>
      <c r="C43" s="230">
        <f ca="1">ROUND(IF('数据-取费表'!B22&lt;=1,C39*F22*'数据-取费表'!B21/2,C39*(POWER((1+F22),'数据-取费表'!B21/2)-1)),0)</f>
        <v>0</v>
      </c>
      <c r="D43" s="230"/>
      <c r="E43" s="230"/>
      <c r="F43" s="231"/>
      <c r="G43" s="3396"/>
    </row>
    <row r="44" spans="1:7" ht="13.5" customHeight="1">
      <c r="A44" s="734" t="s">
        <v>348</v>
      </c>
      <c r="B44" s="207" t="s">
        <v>428</v>
      </c>
      <c r="C44" s="230">
        <f ca="1">ROUND(IF('数据-取费表'!B22&lt;=1,C40*F22*'数据-取费表'!B21/2,C40*(POWER((1+F22),'数据-取费表'!B21/2)-1)),4)</f>
        <v>1.1999999999999999E-3</v>
      </c>
      <c r="D44" s="230"/>
      <c r="E44" s="230"/>
      <c r="F44" s="231"/>
      <c r="G44" s="3397"/>
    </row>
    <row r="45" spans="1:7" s="206" customFormat="1" ht="13.5" customHeight="1">
      <c r="A45" s="731" t="s">
        <v>341</v>
      </c>
      <c r="B45" s="236" t="s">
        <v>85</v>
      </c>
      <c r="C45" s="237">
        <f>C46</f>
        <v>57</v>
      </c>
      <c r="D45" s="227">
        <f>C47</f>
        <v>6.0000000000000001E-3</v>
      </c>
      <c r="E45" s="228" t="s">
        <v>102</v>
      </c>
      <c r="F45" s="238"/>
      <c r="G45" s="239" t="s">
        <v>434</v>
      </c>
    </row>
    <row r="46" spans="1:7" s="206" customFormat="1" ht="13.5" customHeight="1">
      <c r="A46" s="734" t="s">
        <v>349</v>
      </c>
      <c r="B46" s="240" t="s">
        <v>427</v>
      </c>
      <c r="C46" s="241">
        <f>ROUND((C33+C39)*F27,0)</f>
        <v>57</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273</v>
      </c>
      <c r="D51" s="224"/>
      <c r="E51" s="224"/>
      <c r="F51" s="256"/>
      <c r="G51" s="226" t="s">
        <v>37</v>
      </c>
    </row>
    <row r="52" spans="1:7" s="200" customFormat="1" ht="16.5" thickBot="1">
      <c r="A52" s="257" t="s">
        <v>38</v>
      </c>
      <c r="B52" s="258"/>
      <c r="C52" s="259">
        <f ca="1">C31+C51</f>
        <v>30252</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7" t="s">
        <v>2840</v>
      </c>
      <c r="B1" s="3477"/>
      <c r="C1" s="3477"/>
      <c r="D1" s="3477"/>
      <c r="E1" s="3477"/>
      <c r="F1" s="3477"/>
      <c r="G1" s="3478"/>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75" t="s">
        <v>2867</v>
      </c>
      <c r="B3" s="2944"/>
      <c r="C3" s="2945" t="s">
        <v>2808</v>
      </c>
      <c r="D3" s="2945" t="s">
        <v>2868</v>
      </c>
      <c r="E3" s="2945" t="s">
        <v>2810</v>
      </c>
      <c r="F3" s="2945" t="s">
        <v>2869</v>
      </c>
      <c r="G3" s="2945" t="s">
        <v>2628</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76"/>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9" t="s">
        <v>3182</v>
      </c>
      <c r="B1" s="3479"/>
    </row>
    <row r="2" spans="1:7" ht="14.25" thickBot="1">
      <c r="A2" s="2968"/>
      <c r="B2" s="2968"/>
    </row>
    <row r="3" spans="1:7" ht="14.25" thickBot="1">
      <c r="A3" s="2968"/>
      <c r="B3" s="2968"/>
      <c r="C3" s="2969" t="s">
        <v>2808</v>
      </c>
      <c r="D3" s="2969" t="s">
        <v>2868</v>
      </c>
      <c r="E3" s="2969" t="s">
        <v>2810</v>
      </c>
      <c r="F3" s="2969" t="s">
        <v>2869</v>
      </c>
      <c r="G3" s="2969" t="s">
        <v>2628</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0" t="s">
        <v>3233</v>
      </c>
      <c r="B1" s="3480"/>
      <c r="C1" s="3480"/>
      <c r="D1" s="3480"/>
      <c r="E1" s="3480"/>
      <c r="F1" s="3481"/>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45005</v>
      </c>
      <c r="B1" s="2929" t="s">
        <v>2839</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30" s="2010" customFormat="1" ht="14.2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row>
    <row r="3" spans="1:30" s="2886" customFormat="1" ht="12.75">
      <c r="A3" s="2884" t="s">
        <v>2816</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3371</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3372</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6"/>
      <c r="Y6" s="2028"/>
      <c r="Z6" s="2028"/>
      <c r="AA6" s="2028"/>
      <c r="AB6" s="2028"/>
      <c r="AC6" s="2028"/>
      <c r="AD6" s="2028"/>
    </row>
    <row r="7" spans="1:30" s="2045" customFormat="1" ht="12.75">
      <c r="A7" s="2905" t="s">
        <v>3370</v>
      </c>
      <c r="B7" s="2031">
        <v>2023</v>
      </c>
      <c r="C7" s="2042">
        <v>2</v>
      </c>
      <c r="D7" s="2007">
        <v>0</v>
      </c>
      <c r="E7" s="2007">
        <v>0</v>
      </c>
      <c r="F7" s="2007">
        <v>0</v>
      </c>
      <c r="G7" s="2007">
        <v>0</v>
      </c>
      <c r="H7" s="2007">
        <v>0</v>
      </c>
      <c r="I7" s="2008">
        <f t="shared" si="4"/>
        <v>0</v>
      </c>
      <c r="J7" s="2906"/>
      <c r="K7" s="2043">
        <f t="shared" si="8"/>
        <v>0</v>
      </c>
      <c r="L7" s="2028">
        <f t="shared" si="9"/>
        <v>0</v>
      </c>
      <c r="M7" s="2028">
        <f t="shared" si="10"/>
        <v>0</v>
      </c>
      <c r="N7" s="2028">
        <f t="shared" si="11"/>
        <v>0</v>
      </c>
      <c r="O7" s="2028">
        <f t="shared" si="12"/>
        <v>0</v>
      </c>
      <c r="P7" s="2028">
        <f t="shared" si="13"/>
        <v>0</v>
      </c>
      <c r="Q7" s="2906"/>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6"/>
      <c r="Y7" s="2028"/>
      <c r="Z7" s="2028"/>
      <c r="AA7" s="2028"/>
      <c r="AB7" s="2028"/>
      <c r="AC7" s="2028"/>
      <c r="AD7" s="2028"/>
    </row>
    <row r="8" spans="1:30" s="2045" customFormat="1" ht="12.75">
      <c r="A8" s="2905" t="s">
        <v>2817</v>
      </c>
      <c r="B8" s="2031">
        <v>2023</v>
      </c>
      <c r="C8" s="2042">
        <v>1</v>
      </c>
      <c r="D8" s="2007">
        <v>0</v>
      </c>
      <c r="E8" s="2007">
        <v>0</v>
      </c>
      <c r="F8" s="2007">
        <v>0</v>
      </c>
      <c r="G8" s="2007">
        <v>0</v>
      </c>
      <c r="H8" s="2007">
        <v>0</v>
      </c>
      <c r="I8" s="2008">
        <f t="shared" si="4"/>
        <v>0</v>
      </c>
      <c r="J8" s="2906"/>
      <c r="K8" s="2043">
        <f t="shared" si="8"/>
        <v>0</v>
      </c>
      <c r="L8" s="2028">
        <f t="shared" si="9"/>
        <v>0</v>
      </c>
      <c r="M8" s="2028">
        <f t="shared" si="10"/>
        <v>0</v>
      </c>
      <c r="N8" s="2028">
        <f t="shared" si="11"/>
        <v>0</v>
      </c>
      <c r="O8" s="2028">
        <f t="shared" si="12"/>
        <v>0</v>
      </c>
      <c r="P8" s="2028">
        <f t="shared" si="13"/>
        <v>0</v>
      </c>
      <c r="Q8" s="2906"/>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6"/>
      <c r="Y8" s="2028"/>
      <c r="Z8" s="2028"/>
      <c r="AA8" s="2028"/>
      <c r="AB8" s="2028"/>
      <c r="AC8" s="2028"/>
      <c r="AD8" s="2028"/>
    </row>
    <row r="9" spans="1:30" s="2916" customFormat="1" ht="12.75">
      <c r="A9" s="2907" t="s">
        <v>2818</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5" customFormat="1" ht="12.75">
      <c r="A10" s="2905" t="s">
        <v>3365</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3356</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2819</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2820</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2821</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2822</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2823</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3368</v>
      </c>
    </row>
    <row r="19" spans="1:30">
      <c r="I19" s="1405" t="s">
        <v>2824</v>
      </c>
    </row>
    <row r="21" spans="1:30" s="2009" customFormat="1" ht="12.75">
      <c r="B21" s="2929" t="s">
        <v>2825</v>
      </c>
      <c r="C21" s="2930"/>
      <c r="D21" s="2930"/>
      <c r="E21" s="2930"/>
      <c r="F21" s="2930"/>
      <c r="G21" s="2930"/>
      <c r="H21" s="2930"/>
      <c r="I21" s="2930"/>
      <c r="J21" s="2896"/>
      <c r="K21" s="2930" t="s">
        <v>2826</v>
      </c>
      <c r="L21" s="2930"/>
      <c r="M21" s="2930"/>
      <c r="N21" s="2930"/>
      <c r="O21" s="2930"/>
      <c r="P21" s="2930"/>
      <c r="Q21" s="2896"/>
      <c r="R21" s="3482" t="s">
        <v>2827</v>
      </c>
      <c r="S21" s="3483"/>
      <c r="T21" s="3483"/>
      <c r="U21" s="3483"/>
      <c r="V21" s="3483"/>
      <c r="W21" s="3483"/>
      <c r="X21" s="2896"/>
      <c r="Y21" s="3482" t="s">
        <v>2828</v>
      </c>
      <c r="Z21" s="3483"/>
      <c r="AA21" s="3483"/>
      <c r="AB21" s="3483"/>
      <c r="AC21" s="3483"/>
      <c r="AD21" s="3483"/>
    </row>
    <row r="22" spans="1:30" s="2010" customFormat="1" ht="14.25" thickBot="1">
      <c r="B22" s="2881"/>
      <c r="C22" s="2882"/>
      <c r="D22" s="2011" t="s">
        <v>2829</v>
      </c>
      <c r="E22" s="2012" t="s">
        <v>2830</v>
      </c>
      <c r="F22" s="2012" t="s">
        <v>2831</v>
      </c>
      <c r="G22" s="2012" t="s">
        <v>2832</v>
      </c>
      <c r="H22" s="2012"/>
      <c r="I22" s="2012" t="s">
        <v>2833</v>
      </c>
      <c r="J22" s="2883"/>
      <c r="K22" s="2011" t="s">
        <v>2829</v>
      </c>
      <c r="L22" s="2012" t="s">
        <v>2830</v>
      </c>
      <c r="M22" s="2012" t="s">
        <v>2831</v>
      </c>
      <c r="N22" s="2012" t="s">
        <v>2832</v>
      </c>
      <c r="O22" s="2012"/>
      <c r="P22" s="2012" t="s">
        <v>2833</v>
      </c>
      <c r="Q22" s="2883"/>
      <c r="R22" s="2011" t="s">
        <v>2829</v>
      </c>
      <c r="S22" s="2012" t="s">
        <v>2830</v>
      </c>
      <c r="T22" s="2012" t="s">
        <v>2831</v>
      </c>
      <c r="U22" s="2012" t="s">
        <v>2832</v>
      </c>
      <c r="V22" s="2012"/>
      <c r="W22" s="2012" t="s">
        <v>2833</v>
      </c>
      <c r="X22" s="2883"/>
      <c r="Y22" s="2011" t="s">
        <v>2829</v>
      </c>
      <c r="Z22" s="2012" t="s">
        <v>2830</v>
      </c>
      <c r="AA22" s="2012" t="s">
        <v>2831</v>
      </c>
      <c r="AB22" s="2012" t="s">
        <v>2832</v>
      </c>
      <c r="AC22" s="2012"/>
      <c r="AD22" s="2012" t="s">
        <v>2833</v>
      </c>
    </row>
    <row r="23" spans="1:30" s="2886" customFormat="1" ht="12.75">
      <c r="A23" s="2884" t="s">
        <v>2834</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3371</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3372</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6"/>
      <c r="Y26" s="2028"/>
      <c r="Z26" s="2902"/>
      <c r="AA26" s="2028"/>
      <c r="AB26" s="2028"/>
      <c r="AC26" s="2904"/>
      <c r="AD26" s="2028"/>
    </row>
    <row r="27" spans="1:30" s="2045" customFormat="1" ht="12.75">
      <c r="A27" s="2905" t="s">
        <v>3370</v>
      </c>
      <c r="B27" s="2031">
        <v>2023</v>
      </c>
      <c r="C27" s="2042">
        <v>2</v>
      </c>
      <c r="D27" s="2007"/>
      <c r="E27" s="2007">
        <v>0</v>
      </c>
      <c r="F27" s="2007">
        <v>0</v>
      </c>
      <c r="G27" s="2007">
        <v>0</v>
      </c>
      <c r="H27" s="2917"/>
      <c r="I27" s="2008">
        <f t="shared" si="26"/>
        <v>0</v>
      </c>
      <c r="J27" s="2906"/>
      <c r="K27" s="2043"/>
      <c r="L27" s="2028">
        <f t="shared" si="28"/>
        <v>0</v>
      </c>
      <c r="M27" s="2028">
        <f t="shared" si="29"/>
        <v>0</v>
      </c>
      <c r="N27" s="2028">
        <f t="shared" si="30"/>
        <v>0</v>
      </c>
      <c r="O27" s="2028"/>
      <c r="P27" s="2028">
        <f t="shared" si="31"/>
        <v>0</v>
      </c>
      <c r="Q27" s="2906"/>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6"/>
      <c r="Y27" s="2028"/>
      <c r="Z27" s="2902"/>
      <c r="AA27" s="2028"/>
      <c r="AB27" s="2028"/>
      <c r="AC27" s="2904"/>
      <c r="AD27" s="2028"/>
    </row>
    <row r="28" spans="1:30" s="2045" customFormat="1" ht="12.75">
      <c r="A28" s="2905" t="s">
        <v>2817</v>
      </c>
      <c r="B28" s="2031">
        <v>2023</v>
      </c>
      <c r="C28" s="2042">
        <v>1</v>
      </c>
      <c r="D28" s="2007"/>
      <c r="E28" s="2007">
        <v>0</v>
      </c>
      <c r="F28" s="2007">
        <v>0</v>
      </c>
      <c r="G28" s="2007">
        <v>0</v>
      </c>
      <c r="H28" s="2917"/>
      <c r="I28" s="2008">
        <f t="shared" si="26"/>
        <v>0</v>
      </c>
      <c r="J28" s="2906"/>
      <c r="K28" s="2043"/>
      <c r="L28" s="2028">
        <f t="shared" si="28"/>
        <v>0</v>
      </c>
      <c r="M28" s="2028">
        <f t="shared" si="29"/>
        <v>0</v>
      </c>
      <c r="N28" s="2028">
        <f t="shared" si="30"/>
        <v>0</v>
      </c>
      <c r="O28" s="2028"/>
      <c r="P28" s="2028">
        <f t="shared" si="31"/>
        <v>0</v>
      </c>
      <c r="Q28" s="2906"/>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6"/>
      <c r="Y28" s="2028"/>
      <c r="Z28" s="2902"/>
      <c r="AA28" s="2028"/>
      <c r="AB28" s="2028"/>
      <c r="AC28" s="2904"/>
      <c r="AD28" s="2028"/>
    </row>
    <row r="29" spans="1:30" s="2916" customFormat="1" ht="12.75">
      <c r="A29" s="2907" t="s">
        <v>3366</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5" customFormat="1" ht="12.75">
      <c r="A30" s="2905" t="s">
        <v>3367</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3356</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2835</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2836</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2837</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2838</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2823</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45005</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2307</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2:G34"/>
  <sheetViews>
    <sheetView topLeftCell="R10" workbookViewId="0">
      <selection activeCell="AC47" sqref="AC47"/>
    </sheetView>
  </sheetViews>
  <sheetFormatPr defaultRowHeight="13.5"/>
  <cols>
    <col min="5" max="6" width="10.5" bestFit="1" customWidth="1"/>
  </cols>
  <sheetData>
    <row r="32" spans="2:7">
      <c r="B32" s="1405" t="s">
        <v>3451</v>
      </c>
      <c r="C32" s="1405" t="s">
        <v>3450</v>
      </c>
      <c r="D32" s="1405" t="s">
        <v>3452</v>
      </c>
      <c r="E32" s="1405" t="s">
        <v>3455</v>
      </c>
      <c r="F32" s="1405" t="s">
        <v>3456</v>
      </c>
      <c r="G32" s="1405" t="s">
        <v>3452</v>
      </c>
    </row>
    <row r="33" spans="1:7">
      <c r="A33" s="1405" t="s">
        <v>3453</v>
      </c>
      <c r="B33">
        <f>'数据-汇总表'!F19</f>
        <v>378.45</v>
      </c>
      <c r="C33">
        <v>609</v>
      </c>
      <c r="D33">
        <v>200</v>
      </c>
      <c r="G33">
        <f>D33/C33/365*10000</f>
        <v>8.9974582180533993</v>
      </c>
    </row>
    <row r="34" spans="1:7">
      <c r="A34" s="1405" t="s">
        <v>3454</v>
      </c>
      <c r="B34">
        <f>'数据-汇总表'!G19</f>
        <v>341.68</v>
      </c>
      <c r="C34">
        <v>340</v>
      </c>
      <c r="D34">
        <v>30</v>
      </c>
      <c r="E34" s="3493">
        <v>44652</v>
      </c>
      <c r="F34" s="3493">
        <v>45747</v>
      </c>
      <c r="G34">
        <f>D34/C34/365*10000</f>
        <v>2.4174053182917001</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720.13</v>
      </c>
      <c r="C4" s="801">
        <f>项目基本情况!C18</f>
        <v>0</v>
      </c>
      <c r="D4" s="801">
        <f ca="1">结果表!D118</f>
        <v>1215</v>
      </c>
      <c r="E4" s="801">
        <f ca="1">结果表!E118</f>
        <v>16872</v>
      </c>
      <c r="F4" s="801">
        <f ca="1">结果表!F118</f>
        <v>543</v>
      </c>
      <c r="G4" s="801">
        <f ca="1">结果表!G118</f>
        <v>7540</v>
      </c>
      <c r="H4" s="801">
        <f ca="1">结果表!H118</f>
        <v>1758</v>
      </c>
      <c r="I4" s="801">
        <f ca="1">结果表!I118</f>
        <v>24412</v>
      </c>
    </row>
    <row r="5" spans="1:9" ht="30" customHeight="1">
      <c r="A5" s="3170" t="s">
        <v>927</v>
      </c>
      <c r="B5" s="3170"/>
      <c r="C5" s="3170"/>
      <c r="D5" s="3170" t="str">
        <f ca="1">结果表!D119</f>
        <v>壹仟贰佰壹拾伍万元整</v>
      </c>
      <c r="E5" s="3170"/>
      <c r="F5" s="3170" t="str">
        <f ca="1">结果表!F119</f>
        <v>伍佰肆拾叁万元整</v>
      </c>
      <c r="G5" s="3170"/>
      <c r="H5" s="3170" t="str">
        <f ca="1">结果表!H119</f>
        <v>壹仟柒佰伍拾捌万元整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1758</v>
      </c>
      <c r="E8" s="3171"/>
      <c r="F8" s="3171"/>
      <c r="G8" s="3171"/>
      <c r="H8" s="3171"/>
      <c r="I8" s="3171"/>
    </row>
    <row r="9" spans="1:9" ht="15">
      <c r="A9" s="3170" t="s">
        <v>927</v>
      </c>
      <c r="B9" s="3170"/>
      <c r="C9" s="3170"/>
      <c r="D9" s="3170" t="str">
        <f ca="1">结果表!D123</f>
        <v>壹仟柒佰伍拾捌万元整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45006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60"/>
      <c r="E18" s="3196" t="s">
        <v>2162</v>
      </c>
      <c r="F18" s="3195"/>
      <c r="G18" s="319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 (元)</vt:lpstr>
      <vt:lpstr>比较法-办公 (租金)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2023-03-21T07:53:55Z</dcterms:modified>
</cp:coreProperties>
</file>