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938" firstSheet="8"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结果表2" sheetId="85" state="hidden" r:id="rId18"/>
    <sheet name="系统读取表" sheetId="74" r:id="rId19"/>
    <sheet name="比较法-车位" sheetId="35" r:id="rId20"/>
    <sheet name="比较法-商业(售价)" sheetId="82" state="hidden" r:id="rId21"/>
    <sheet name="收益法" sheetId="15" r:id="rId22"/>
    <sheet name="比较法-商业（租金）" sheetId="33" state="hidden" r:id="rId23"/>
    <sheet name="典型户型修正" sheetId="84" state="hidden" r:id="rId24"/>
    <sheet name="成本法" sheetId="68" state="hidden" r:id="rId25"/>
    <sheet name="成本法 (元)" sheetId="69" state="hidden" r:id="rId26"/>
    <sheet name="假设开发法" sheetId="12" state="hidden" r:id="rId27"/>
    <sheet name="收益法（4-6）" sheetId="80" state="hidden" r:id="rId28"/>
    <sheet name="收益法（8-10）" sheetId="81" state="hidden" r:id="rId29"/>
    <sheet name="收益法（未出租）" sheetId="75" state="hidden" r:id="rId30"/>
    <sheet name="收益法 (元)" sheetId="67" state="hidden" r:id="rId31"/>
    <sheet name="收益法（汇总）" sheetId="70" state="hidden" r:id="rId32"/>
    <sheet name="酒店收入计算" sheetId="66" state="hidden" r:id="rId33"/>
    <sheet name="比较法-住宅" sheetId="21" state="hidden" r:id="rId34"/>
    <sheet name="比较法-办公" sheetId="34" state="hidden"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地价" sheetId="71" state="hidden" r:id="rId43"/>
    <sheet name="典型户型修正（租金）" sheetId="86" state="hidden" r:id="rId44"/>
    <sheet name="成本法（废）" sheetId="11" state="hidden" r:id="rId45"/>
    <sheet name="区片价" sheetId="44" state="hidden" r:id="rId46"/>
    <sheet name="因素修正幅度" sheetId="65" state="hidden" r:id="rId47"/>
    <sheet name="存贷款利率" sheetId="73" state="hidden" r:id="rId48"/>
    <sheet name="售价案例" sheetId="76" r:id="rId49"/>
    <sheet name="租金案例" sheetId="77" r:id="rId50"/>
    <sheet name="面积" sheetId="78" r:id="rId51"/>
    <sheet name="租赁" sheetId="79" r:id="rId52"/>
    <sheet name="车库" sheetId="87" r:id="rId53"/>
  </sheets>
  <externalReferences>
    <externalReference r:id="rId54"/>
    <externalReference r:id="rId55"/>
  </externalReferences>
  <definedNames>
    <definedName name="_xlnm._FilterDatabase" localSheetId="34" hidden="1">'比较法-办公'!$A$1:$L$50</definedName>
    <definedName name="_xlnm._FilterDatabase" localSheetId="36" hidden="1">'比较法-仓储'!$A$1:$L$37</definedName>
    <definedName name="_xlnm._FilterDatabase" localSheetId="19" hidden="1">'比较法-车位'!$A$1:$L$39</definedName>
    <definedName name="_xlnm._FilterDatabase" localSheetId="35" hidden="1">'比较法-工业'!$A$1:$L$43</definedName>
    <definedName name="_xlnm._FilterDatabase" localSheetId="20" hidden="1">'比较法-商业(售价)'!$A$1:$L$49</definedName>
    <definedName name="_xlnm._FilterDatabase" localSheetId="22" hidden="1">'比较法-商业（租金）'!$A$1:$L$49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30">'收益法 (元)'!$A$1:$AK$69</definedName>
    <definedName name="_xlnm.Print_Area" localSheetId="27">'收益法（4-6）'!$A$1:$AK$69</definedName>
    <definedName name="_xlnm.Print_Area" localSheetId="28">'收益法（8-10）'!$A$1:$AK$69</definedName>
    <definedName name="_xlnm.Print_Area" localSheetId="29">'收益法（未出租）'!$A$1:$AK$69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0">'比较法-商业(售价)'!$B$116:$M$116</definedName>
    <definedName name="商业层高" localSheetId="5">'[1]比较法-商业'!$B$112:$M$112</definedName>
    <definedName name="商业层高">'比较法-商业（租金）'!$B$116:$M$116</definedName>
    <definedName name="商业成新度" localSheetId="20">'比较法-商业(售价)'!$B$109:$M$109</definedName>
    <definedName name="商业成新度">'比较法-商业（租金）'!$B$109:$M$109</definedName>
    <definedName name="商业繁华度" localSheetId="5">[1]定义!$L$1:$L$6</definedName>
    <definedName name="商业繁华度">定义!$L$1:$L$6</definedName>
    <definedName name="商业公共部分装修" localSheetId="20">'比较法-商业(售价)'!$B$107:$M$107</definedName>
    <definedName name="商业公共部分装修" localSheetId="5">'[1]比较法-商业'!$B$103:$M$103</definedName>
    <definedName name="商业公共部分装修">'比较法-商业（租金）'!$B$107:$M$107</definedName>
    <definedName name="商业基础设施水平" localSheetId="20">'比较法-商业(售价)'!$B$112:$M$112</definedName>
    <definedName name="商业基础设施水平" localSheetId="5">'[1]比较法-商业'!$B$108:$M$108</definedName>
    <definedName name="商业基础设施水平">'比较法-商业（租金）'!$B$112:$M$112</definedName>
    <definedName name="商业建筑结构" localSheetId="20">'比较法-商业(售价)'!$B$105:$M$105</definedName>
    <definedName name="商业建筑结构" localSheetId="5">'[1]比较法-商业'!$B$101:$M$101</definedName>
    <definedName name="商业建筑结构">'比较法-商业（租金）'!$B$105:$M$105</definedName>
    <definedName name="商业交易情况" localSheetId="20">'比较法-商业(售价)'!$A$61:$M$61</definedName>
    <definedName name="商业交易情况" localSheetId="5">'[1]比较法-商业'!$A$59:$M$59</definedName>
    <definedName name="商业交易情况">'比较法-商业（租金）'!$A$61:$M$61</definedName>
    <definedName name="商业街名称" localSheetId="5">[1]修正!$C$59:$C$119</definedName>
    <definedName name="商业街名称">修正!$C$59:$C$119</definedName>
    <definedName name="商业进深比" localSheetId="20">'比较法-商业(售价)'!$B$120:$M$120</definedName>
    <definedName name="商业进深比" localSheetId="5">'[1]比较法-商业'!$B$116:$M$116</definedName>
    <definedName name="商业进深比">'比较法-商业（租金）'!$B$120:$M$120</definedName>
    <definedName name="商业类型" localSheetId="20">'比较法-商业(售价)'!$B$100:$M$100</definedName>
    <definedName name="商业类型" localSheetId="5">'[1]比较法-商业'!$B$96:$M$96</definedName>
    <definedName name="商业类型">'比较法-商业（租金）'!$B$100:$M$100</definedName>
    <definedName name="商业临街状况" localSheetId="20">'比较法-商业(售价)'!$B$86:$M$86</definedName>
    <definedName name="商业临街状况" localSheetId="5">'[1]比较法-商业'!$B$82:$M$82</definedName>
    <definedName name="商业临街状况">'比较法-商业（租金）'!$B$86:$M$86</definedName>
    <definedName name="商业楼层" localSheetId="20">'比较法-商业(售价)'!$B$92:$M$92</definedName>
    <definedName name="商业楼层" localSheetId="5">'[1]比较法-商业'!$B$88:$M$88</definedName>
    <definedName name="商业楼层">'比较法-商业（租金）'!$B$92:$M$92</definedName>
    <definedName name="商业内部装修" localSheetId="20">'比较法-商业(售价)'!$B$122:$M$122</definedName>
    <definedName name="商业内部装修" localSheetId="5">'[1]比较法-商业'!$B$118:$M$118</definedName>
    <definedName name="商业内部装修">'比较法-商业（租金）'!$B$122:$M$122</definedName>
    <definedName name="商业人流量" localSheetId="20">'比较法-商业(售价)'!$B$90:$M$90</definedName>
    <definedName name="商业人流量" localSheetId="5">'[1]比较法-商业'!$B$86:$M$86</definedName>
    <definedName name="商业人流量">'比较法-商业（租金）'!$B$90:$M$90</definedName>
    <definedName name="商业业态" localSheetId="20">'比较法-商业(售价)'!$B$114:$M$114</definedName>
    <definedName name="商业业态" localSheetId="5">'[1]比较法-商业'!$B$110:$M$110</definedName>
    <definedName name="商业业态">'比较法-商业（租金）'!$B$114:$M$114</definedName>
    <definedName name="商业用途" localSheetId="20">'比较法-商业(售价)'!$B$63:$M$63</definedName>
    <definedName name="商业用途" localSheetId="5">'[1]比较法-商业'!$B$61:$M$61</definedName>
    <definedName name="商业用途">'比较法-商业（租金）'!$B$63:$M$63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23">典型户型修正!$5:$5</definedName>
    <definedName name="一修多修正项2" localSheetId="43">'典型户型修正（租金）'!$5:$5</definedName>
    <definedName name="一修多修正项2" localSheetId="5">[1]典型户型修正!$A$5:$IV$5</definedName>
    <definedName name="一修多修正项2">#REF!</definedName>
    <definedName name="一修多修正项3" localSheetId="23">典型户型修正!$7:$7</definedName>
    <definedName name="一修多修正项3" localSheetId="43">'典型户型修正（租金）'!$7:$7</definedName>
    <definedName name="一修多修正项3" localSheetId="5">[1]典型户型修正!$A$7:$IV$7</definedName>
    <definedName name="一修多修正项3">#REF!</definedName>
    <definedName name="一修多修正项4" localSheetId="23">典型户型修正!$9:$9</definedName>
    <definedName name="一修多修正项4" localSheetId="43">'典型户型修正（租金）'!$9:$9</definedName>
    <definedName name="一修多修正项4" localSheetId="5">[1]典型户型修正!$A$9:$IV$9</definedName>
    <definedName name="一修多修正项4">#REF!</definedName>
    <definedName name="一修多修正项5" localSheetId="23">典型户型修正!$11:$11</definedName>
    <definedName name="一修多修正项5" localSheetId="43">'典型户型修正（租金）'!$11:$11</definedName>
    <definedName name="一修多修正项5" localSheetId="5">[1]典型户型修正!$A$11:$IV$11</definedName>
    <definedName name="一修多修正项5">#REF!</definedName>
    <definedName name="一修多修正项6" localSheetId="23">典型户型修正!$13:$13</definedName>
    <definedName name="一修多修正项6" localSheetId="43">'典型户型修正（租金）'!$13:$13</definedName>
    <definedName name="一修多修正项6" localSheetId="5">[1]典型户型修正!$A$13:$IV$13</definedName>
    <definedName name="一修多修正项6">#REF!</definedName>
    <definedName name="一修多修正项7" localSheetId="23">典型户型修正!$15:$15</definedName>
    <definedName name="一修多修正项7" localSheetId="43">'典型户型修正（租金）'!$15:$15</definedName>
    <definedName name="一修多修正项7" localSheetId="5">[1]典型户型修正!$A$15:$IV$15</definedName>
    <definedName name="一修多修正项7">#REF!</definedName>
    <definedName name="一修多修正项8" localSheetId="23">典型户型修正!$17:$17</definedName>
    <definedName name="一修多修正项8" localSheetId="43">'典型户型修正（租金）'!$17:$17</definedName>
    <definedName name="一修多修正项8" localSheetId="5">[1]典型户型修正!$A$17:$IV$17</definedName>
    <definedName name="一修多修正项8">#REF!</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21" i="78" l="1"/>
  <c r="P54" i="87" l="1"/>
  <c r="G19" i="6" l="1"/>
  <c r="I13" i="3"/>
  <c r="G15" i="85" l="1"/>
  <c r="C33" i="33" l="1"/>
  <c r="C33" i="82"/>
  <c r="R524" i="86"/>
  <c r="S524" i="86" s="1"/>
  <c r="Q524" i="86"/>
  <c r="O524" i="86"/>
  <c r="M524" i="86"/>
  <c r="K524" i="86"/>
  <c r="I524" i="86"/>
  <c r="E524" i="86"/>
  <c r="C524" i="86"/>
  <c r="R523" i="86"/>
  <c r="S523" i="86" s="1"/>
  <c r="Q523" i="86"/>
  <c r="O523" i="86"/>
  <c r="M523" i="86"/>
  <c r="K523" i="86"/>
  <c r="I523" i="86"/>
  <c r="E523" i="86"/>
  <c r="C523" i="86"/>
  <c r="R522" i="86"/>
  <c r="S522" i="86" s="1"/>
  <c r="Q522" i="86"/>
  <c r="O522" i="86"/>
  <c r="M522" i="86"/>
  <c r="K522" i="86"/>
  <c r="I522" i="86"/>
  <c r="E522" i="86"/>
  <c r="C522" i="86"/>
  <c r="R521" i="86"/>
  <c r="S521" i="86" s="1"/>
  <c r="Q521" i="86"/>
  <c r="O521" i="86"/>
  <c r="M521" i="86"/>
  <c r="K521" i="86"/>
  <c r="I521" i="86"/>
  <c r="E521" i="86"/>
  <c r="C521" i="86"/>
  <c r="R520" i="86"/>
  <c r="S520" i="86" s="1"/>
  <c r="Q520" i="86"/>
  <c r="O520" i="86"/>
  <c r="M520" i="86"/>
  <c r="K520" i="86"/>
  <c r="I520" i="86"/>
  <c r="E520" i="86"/>
  <c r="C520" i="86"/>
  <c r="R519" i="86"/>
  <c r="S519" i="86" s="1"/>
  <c r="Q519" i="86"/>
  <c r="O519" i="86"/>
  <c r="M519" i="86"/>
  <c r="K519" i="86"/>
  <c r="I519" i="86"/>
  <c r="E519" i="86"/>
  <c r="C519" i="86"/>
  <c r="R518" i="86"/>
  <c r="S518" i="86" s="1"/>
  <c r="Q518" i="86"/>
  <c r="O518" i="86"/>
  <c r="M518" i="86"/>
  <c r="K518" i="86"/>
  <c r="I518" i="86"/>
  <c r="E518" i="86"/>
  <c r="C518" i="86"/>
  <c r="R517" i="86"/>
  <c r="S517" i="86" s="1"/>
  <c r="Q517" i="86"/>
  <c r="O517" i="86"/>
  <c r="M517" i="86"/>
  <c r="K517" i="86"/>
  <c r="I517" i="86"/>
  <c r="E517" i="86"/>
  <c r="C517" i="86"/>
  <c r="R516" i="86"/>
  <c r="S516" i="86" s="1"/>
  <c r="Q516" i="86"/>
  <c r="O516" i="86"/>
  <c r="M516" i="86"/>
  <c r="K516" i="86"/>
  <c r="I516" i="86"/>
  <c r="E516" i="86"/>
  <c r="C516" i="86"/>
  <c r="R515" i="86"/>
  <c r="S515" i="86" s="1"/>
  <c r="Q515" i="86"/>
  <c r="O515" i="86"/>
  <c r="M515" i="86"/>
  <c r="K515" i="86"/>
  <c r="I515" i="86"/>
  <c r="E515" i="86"/>
  <c r="C515" i="86"/>
  <c r="R514" i="86"/>
  <c r="S514" i="86" s="1"/>
  <c r="Q514" i="86"/>
  <c r="O514" i="86"/>
  <c r="M514" i="86"/>
  <c r="K514" i="86"/>
  <c r="I514" i="86"/>
  <c r="E514" i="86"/>
  <c r="C514" i="86"/>
  <c r="R513" i="86"/>
  <c r="S513" i="86" s="1"/>
  <c r="Q513" i="86"/>
  <c r="O513" i="86"/>
  <c r="M513" i="86"/>
  <c r="K513" i="86"/>
  <c r="I513" i="86"/>
  <c r="E513" i="86"/>
  <c r="C513" i="86"/>
  <c r="R512" i="86"/>
  <c r="S512" i="86" s="1"/>
  <c r="Q512" i="86"/>
  <c r="O512" i="86"/>
  <c r="M512" i="86"/>
  <c r="K512" i="86"/>
  <c r="I512" i="86"/>
  <c r="E512" i="86"/>
  <c r="C512" i="86"/>
  <c r="R511" i="86"/>
  <c r="S511" i="86" s="1"/>
  <c r="Q511" i="86"/>
  <c r="O511" i="86"/>
  <c r="M511" i="86"/>
  <c r="K511" i="86"/>
  <c r="I511" i="86"/>
  <c r="E511" i="86"/>
  <c r="C511" i="86"/>
  <c r="R510" i="86"/>
  <c r="S510" i="86" s="1"/>
  <c r="Q510" i="86"/>
  <c r="O510" i="86"/>
  <c r="M510" i="86"/>
  <c r="K510" i="86"/>
  <c r="I510" i="86"/>
  <c r="E510" i="86"/>
  <c r="C510" i="86"/>
  <c r="R509" i="86"/>
  <c r="S509" i="86" s="1"/>
  <c r="Q509" i="86"/>
  <c r="O509" i="86"/>
  <c r="M509" i="86"/>
  <c r="K509" i="86"/>
  <c r="I509" i="86"/>
  <c r="E509" i="86"/>
  <c r="C509" i="86"/>
  <c r="R508" i="86"/>
  <c r="S508" i="86" s="1"/>
  <c r="Q508" i="86"/>
  <c r="O508" i="86"/>
  <c r="M508" i="86"/>
  <c r="K508" i="86"/>
  <c r="I508" i="86"/>
  <c r="E508" i="86"/>
  <c r="C508" i="86"/>
  <c r="R507" i="86"/>
  <c r="S507" i="86" s="1"/>
  <c r="Q507" i="86"/>
  <c r="O507" i="86"/>
  <c r="M507" i="86"/>
  <c r="K507" i="86"/>
  <c r="I507" i="86"/>
  <c r="E507" i="86"/>
  <c r="C507" i="86"/>
  <c r="R506" i="86"/>
  <c r="S506" i="86" s="1"/>
  <c r="Q506" i="86"/>
  <c r="O506" i="86"/>
  <c r="M506" i="86"/>
  <c r="K506" i="86"/>
  <c r="I506" i="86"/>
  <c r="E506" i="86"/>
  <c r="C506" i="86"/>
  <c r="R505" i="86"/>
  <c r="S505" i="86" s="1"/>
  <c r="Q505" i="86"/>
  <c r="O505" i="86"/>
  <c r="M505" i="86"/>
  <c r="K505" i="86"/>
  <c r="I505" i="86"/>
  <c r="E505" i="86"/>
  <c r="C505" i="86"/>
  <c r="R504" i="86"/>
  <c r="S504" i="86" s="1"/>
  <c r="Q504" i="86"/>
  <c r="O504" i="86"/>
  <c r="M504" i="86"/>
  <c r="K504" i="86"/>
  <c r="I504" i="86"/>
  <c r="E504" i="86"/>
  <c r="C504" i="86"/>
  <c r="R503" i="86"/>
  <c r="S503" i="86" s="1"/>
  <c r="Q503" i="86"/>
  <c r="O503" i="86"/>
  <c r="M503" i="86"/>
  <c r="K503" i="86"/>
  <c r="I503" i="86"/>
  <c r="E503" i="86"/>
  <c r="C503" i="86"/>
  <c r="R502" i="86"/>
  <c r="S502" i="86" s="1"/>
  <c r="Q502" i="86"/>
  <c r="O502" i="86"/>
  <c r="M502" i="86"/>
  <c r="K502" i="86"/>
  <c r="I502" i="86"/>
  <c r="E502" i="86"/>
  <c r="C502" i="86"/>
  <c r="R501" i="86"/>
  <c r="S501" i="86" s="1"/>
  <c r="Q501" i="86"/>
  <c r="O501" i="86"/>
  <c r="M501" i="86"/>
  <c r="K501" i="86"/>
  <c r="I501" i="86"/>
  <c r="E501" i="86"/>
  <c r="C501" i="86"/>
  <c r="R500" i="86"/>
  <c r="S500" i="86" s="1"/>
  <c r="Q500" i="86"/>
  <c r="O500" i="86"/>
  <c r="M500" i="86"/>
  <c r="K500" i="86"/>
  <c r="I500" i="86"/>
  <c r="E500" i="86"/>
  <c r="C500" i="86"/>
  <c r="R499" i="86"/>
  <c r="S499" i="86" s="1"/>
  <c r="Q499" i="86"/>
  <c r="O499" i="86"/>
  <c r="M499" i="86"/>
  <c r="K499" i="86"/>
  <c r="I499" i="86"/>
  <c r="E499" i="86"/>
  <c r="C499" i="86"/>
  <c r="R498" i="86"/>
  <c r="S498" i="86" s="1"/>
  <c r="Q498" i="86"/>
  <c r="O498" i="86"/>
  <c r="M498" i="86"/>
  <c r="K498" i="86"/>
  <c r="I498" i="86"/>
  <c r="E498" i="86"/>
  <c r="C498" i="86"/>
  <c r="R497" i="86"/>
  <c r="S497" i="86" s="1"/>
  <c r="Q497" i="86"/>
  <c r="O497" i="86"/>
  <c r="M497" i="86"/>
  <c r="K497" i="86"/>
  <c r="I497" i="86"/>
  <c r="E497" i="86"/>
  <c r="C497" i="86"/>
  <c r="R496" i="86"/>
  <c r="S496" i="86" s="1"/>
  <c r="Q496" i="86"/>
  <c r="O496" i="86"/>
  <c r="M496" i="86"/>
  <c r="K496" i="86"/>
  <c r="I496" i="86"/>
  <c r="E496" i="86"/>
  <c r="C496" i="86"/>
  <c r="R495" i="86"/>
  <c r="S495" i="86" s="1"/>
  <c r="Q495" i="86"/>
  <c r="O495" i="86"/>
  <c r="M495" i="86"/>
  <c r="K495" i="86"/>
  <c r="I495" i="86"/>
  <c r="E495" i="86"/>
  <c r="C495" i="86"/>
  <c r="R494" i="86"/>
  <c r="S494" i="86" s="1"/>
  <c r="Q494" i="86"/>
  <c r="O494" i="86"/>
  <c r="M494" i="86"/>
  <c r="K494" i="86"/>
  <c r="I494" i="86"/>
  <c r="E494" i="86"/>
  <c r="C494" i="86"/>
  <c r="R493" i="86"/>
  <c r="S493" i="86" s="1"/>
  <c r="Q493" i="86"/>
  <c r="O493" i="86"/>
  <c r="M493" i="86"/>
  <c r="K493" i="86"/>
  <c r="I493" i="86"/>
  <c r="E493" i="86"/>
  <c r="C493" i="86"/>
  <c r="R492" i="86"/>
  <c r="S492" i="86" s="1"/>
  <c r="Q492" i="86"/>
  <c r="O492" i="86"/>
  <c r="M492" i="86"/>
  <c r="K492" i="86"/>
  <c r="I492" i="86"/>
  <c r="E492" i="86"/>
  <c r="C492" i="86"/>
  <c r="R491" i="86"/>
  <c r="S491" i="86" s="1"/>
  <c r="Q491" i="86"/>
  <c r="O491" i="86"/>
  <c r="M491" i="86"/>
  <c r="K491" i="86"/>
  <c r="I491" i="86"/>
  <c r="E491" i="86"/>
  <c r="C491" i="86"/>
  <c r="R490" i="86"/>
  <c r="S490" i="86" s="1"/>
  <c r="Q490" i="86"/>
  <c r="O490" i="86"/>
  <c r="M490" i="86"/>
  <c r="K490" i="86"/>
  <c r="I490" i="86"/>
  <c r="E490" i="86"/>
  <c r="C490" i="86"/>
  <c r="R489" i="86"/>
  <c r="S489" i="86" s="1"/>
  <c r="Q489" i="86"/>
  <c r="O489" i="86"/>
  <c r="M489" i="86"/>
  <c r="K489" i="86"/>
  <c r="I489" i="86"/>
  <c r="E489" i="86"/>
  <c r="C489" i="86"/>
  <c r="R488" i="86"/>
  <c r="S488" i="86" s="1"/>
  <c r="Q488" i="86"/>
  <c r="O488" i="86"/>
  <c r="M488" i="86"/>
  <c r="K488" i="86"/>
  <c r="I488" i="86"/>
  <c r="E488" i="86"/>
  <c r="C488" i="86"/>
  <c r="R487" i="86"/>
  <c r="S487" i="86" s="1"/>
  <c r="Q487" i="86"/>
  <c r="O487" i="86"/>
  <c r="M487" i="86"/>
  <c r="K487" i="86"/>
  <c r="I487" i="86"/>
  <c r="E487" i="86"/>
  <c r="C487" i="86"/>
  <c r="R486" i="86"/>
  <c r="S486" i="86" s="1"/>
  <c r="Q486" i="86"/>
  <c r="O486" i="86"/>
  <c r="M486" i="86"/>
  <c r="K486" i="86"/>
  <c r="I486" i="86"/>
  <c r="E486" i="86"/>
  <c r="C486" i="86"/>
  <c r="R485" i="86"/>
  <c r="S485" i="86" s="1"/>
  <c r="Q485" i="86"/>
  <c r="O485" i="86"/>
  <c r="M485" i="86"/>
  <c r="K485" i="86"/>
  <c r="I485" i="86"/>
  <c r="E485" i="86"/>
  <c r="C485" i="86"/>
  <c r="R484" i="86"/>
  <c r="S484" i="86" s="1"/>
  <c r="Q484" i="86"/>
  <c r="O484" i="86"/>
  <c r="M484" i="86"/>
  <c r="K484" i="86"/>
  <c r="I484" i="86"/>
  <c r="E484" i="86"/>
  <c r="C484" i="86"/>
  <c r="R483" i="86"/>
  <c r="S483" i="86" s="1"/>
  <c r="Q483" i="86"/>
  <c r="O483" i="86"/>
  <c r="M483" i="86"/>
  <c r="K483" i="86"/>
  <c r="I483" i="86"/>
  <c r="E483" i="86"/>
  <c r="C483" i="86"/>
  <c r="R482" i="86"/>
  <c r="S482" i="86" s="1"/>
  <c r="Q482" i="86"/>
  <c r="O482" i="86"/>
  <c r="M482" i="86"/>
  <c r="K482" i="86"/>
  <c r="I482" i="86"/>
  <c r="E482" i="86"/>
  <c r="C482" i="86"/>
  <c r="R481" i="86"/>
  <c r="S481" i="86" s="1"/>
  <c r="Q481" i="86"/>
  <c r="O481" i="86"/>
  <c r="M481" i="86"/>
  <c r="K481" i="86"/>
  <c r="I481" i="86"/>
  <c r="E481" i="86"/>
  <c r="C481" i="86"/>
  <c r="R480" i="86"/>
  <c r="S480" i="86" s="1"/>
  <c r="Q480" i="86"/>
  <c r="O480" i="86"/>
  <c r="M480" i="86"/>
  <c r="K480" i="86"/>
  <c r="I480" i="86"/>
  <c r="E480" i="86"/>
  <c r="C480" i="86"/>
  <c r="R479" i="86"/>
  <c r="S479" i="86" s="1"/>
  <c r="Q479" i="86"/>
  <c r="O479" i="86"/>
  <c r="M479" i="86"/>
  <c r="K479" i="86"/>
  <c r="I479" i="86"/>
  <c r="E479" i="86"/>
  <c r="C479" i="86"/>
  <c r="R478" i="86"/>
  <c r="S478" i="86" s="1"/>
  <c r="Q478" i="86"/>
  <c r="O478" i="86"/>
  <c r="M478" i="86"/>
  <c r="K478" i="86"/>
  <c r="I478" i="86"/>
  <c r="E478" i="86"/>
  <c r="C478" i="86"/>
  <c r="R477" i="86"/>
  <c r="S477" i="86" s="1"/>
  <c r="Q477" i="86"/>
  <c r="O477" i="86"/>
  <c r="M477" i="86"/>
  <c r="K477" i="86"/>
  <c r="I477" i="86"/>
  <c r="E477" i="86"/>
  <c r="C477" i="86"/>
  <c r="R476" i="86"/>
  <c r="S476" i="86" s="1"/>
  <c r="Q476" i="86"/>
  <c r="O476" i="86"/>
  <c r="M476" i="86"/>
  <c r="K476" i="86"/>
  <c r="I476" i="86"/>
  <c r="E476" i="86"/>
  <c r="C476" i="86"/>
  <c r="R475" i="86"/>
  <c r="S475" i="86" s="1"/>
  <c r="Q475" i="86"/>
  <c r="O475" i="86"/>
  <c r="M475" i="86"/>
  <c r="K475" i="86"/>
  <c r="I475" i="86"/>
  <c r="E475" i="86"/>
  <c r="C475" i="86"/>
  <c r="R474" i="86"/>
  <c r="S474" i="86" s="1"/>
  <c r="Q474" i="86"/>
  <c r="O474" i="86"/>
  <c r="M474" i="86"/>
  <c r="K474" i="86"/>
  <c r="I474" i="86"/>
  <c r="E474" i="86"/>
  <c r="C474" i="86"/>
  <c r="R473" i="86"/>
  <c r="S473" i="86" s="1"/>
  <c r="Q473" i="86"/>
  <c r="O473" i="86"/>
  <c r="M473" i="86"/>
  <c r="K473" i="86"/>
  <c r="I473" i="86"/>
  <c r="E473" i="86"/>
  <c r="C473" i="86"/>
  <c r="R472" i="86"/>
  <c r="S472" i="86" s="1"/>
  <c r="Q472" i="86"/>
  <c r="O472" i="86"/>
  <c r="M472" i="86"/>
  <c r="K472" i="86"/>
  <c r="I472" i="86"/>
  <c r="E472" i="86"/>
  <c r="C472" i="86"/>
  <c r="R471" i="86"/>
  <c r="S471" i="86" s="1"/>
  <c r="Q471" i="86"/>
  <c r="O471" i="86"/>
  <c r="M471" i="86"/>
  <c r="K471" i="86"/>
  <c r="I471" i="86"/>
  <c r="E471" i="86"/>
  <c r="C471" i="86"/>
  <c r="R470" i="86"/>
  <c r="S470" i="86" s="1"/>
  <c r="Q470" i="86"/>
  <c r="O470" i="86"/>
  <c r="M470" i="86"/>
  <c r="K470" i="86"/>
  <c r="I470" i="86"/>
  <c r="E470" i="86"/>
  <c r="C470" i="86"/>
  <c r="R469" i="86"/>
  <c r="S469" i="86" s="1"/>
  <c r="Q469" i="86"/>
  <c r="O469" i="86"/>
  <c r="M469" i="86"/>
  <c r="K469" i="86"/>
  <c r="I469" i="86"/>
  <c r="E469" i="86"/>
  <c r="C469" i="86"/>
  <c r="R468" i="86"/>
  <c r="S468" i="86" s="1"/>
  <c r="Q468" i="86"/>
  <c r="O468" i="86"/>
  <c r="M468" i="86"/>
  <c r="K468" i="86"/>
  <c r="I468" i="86"/>
  <c r="E468" i="86"/>
  <c r="C468" i="86"/>
  <c r="R467" i="86"/>
  <c r="S467" i="86" s="1"/>
  <c r="Q467" i="86"/>
  <c r="O467" i="86"/>
  <c r="M467" i="86"/>
  <c r="K467" i="86"/>
  <c r="I467" i="86"/>
  <c r="E467" i="86"/>
  <c r="C467" i="86"/>
  <c r="R466" i="86"/>
  <c r="S466" i="86" s="1"/>
  <c r="Q466" i="86"/>
  <c r="O466" i="86"/>
  <c r="M466" i="86"/>
  <c r="K466" i="86"/>
  <c r="I466" i="86"/>
  <c r="E466" i="86"/>
  <c r="C466" i="86"/>
  <c r="R465" i="86"/>
  <c r="S465" i="86" s="1"/>
  <c r="Q465" i="86"/>
  <c r="O465" i="86"/>
  <c r="M465" i="86"/>
  <c r="K465" i="86"/>
  <c r="I465" i="86"/>
  <c r="E465" i="86"/>
  <c r="C465" i="86"/>
  <c r="R464" i="86"/>
  <c r="S464" i="86" s="1"/>
  <c r="Q464" i="86"/>
  <c r="O464" i="86"/>
  <c r="M464" i="86"/>
  <c r="K464" i="86"/>
  <c r="I464" i="86"/>
  <c r="E464" i="86"/>
  <c r="C464" i="86"/>
  <c r="R463" i="86"/>
  <c r="S463" i="86" s="1"/>
  <c r="Q463" i="86"/>
  <c r="O463" i="86"/>
  <c r="M463" i="86"/>
  <c r="K463" i="86"/>
  <c r="I463" i="86"/>
  <c r="E463" i="86"/>
  <c r="C463" i="86"/>
  <c r="R462" i="86"/>
  <c r="S462" i="86" s="1"/>
  <c r="Q462" i="86"/>
  <c r="O462" i="86"/>
  <c r="M462" i="86"/>
  <c r="K462" i="86"/>
  <c r="I462" i="86"/>
  <c r="E462" i="86"/>
  <c r="C462" i="86"/>
  <c r="R461" i="86"/>
  <c r="S461" i="86" s="1"/>
  <c r="Q461" i="86"/>
  <c r="O461" i="86"/>
  <c r="M461" i="86"/>
  <c r="K461" i="86"/>
  <c r="I461" i="86"/>
  <c r="E461" i="86"/>
  <c r="C461" i="86"/>
  <c r="R460" i="86"/>
  <c r="S460" i="86" s="1"/>
  <c r="Q460" i="86"/>
  <c r="O460" i="86"/>
  <c r="M460" i="86"/>
  <c r="K460" i="86"/>
  <c r="I460" i="86"/>
  <c r="E460" i="86"/>
  <c r="C460" i="86"/>
  <c r="R459" i="86"/>
  <c r="S459" i="86" s="1"/>
  <c r="Q459" i="86"/>
  <c r="O459" i="86"/>
  <c r="M459" i="86"/>
  <c r="K459" i="86"/>
  <c r="I459" i="86"/>
  <c r="E459" i="86"/>
  <c r="C459" i="86"/>
  <c r="R458" i="86"/>
  <c r="S458" i="86" s="1"/>
  <c r="Q458" i="86"/>
  <c r="O458" i="86"/>
  <c r="M458" i="86"/>
  <c r="K458" i="86"/>
  <c r="I458" i="86"/>
  <c r="E458" i="86"/>
  <c r="C458" i="86"/>
  <c r="R457" i="86"/>
  <c r="S457" i="86" s="1"/>
  <c r="Q457" i="86"/>
  <c r="O457" i="86"/>
  <c r="M457" i="86"/>
  <c r="K457" i="86"/>
  <c r="I457" i="86"/>
  <c r="E457" i="86"/>
  <c r="C457" i="86"/>
  <c r="R456" i="86"/>
  <c r="S456" i="86" s="1"/>
  <c r="Q456" i="86"/>
  <c r="O456" i="86"/>
  <c r="M456" i="86"/>
  <c r="K456" i="86"/>
  <c r="I456" i="86"/>
  <c r="E456" i="86"/>
  <c r="C456" i="86"/>
  <c r="R455" i="86"/>
  <c r="S455" i="86" s="1"/>
  <c r="Q455" i="86"/>
  <c r="O455" i="86"/>
  <c r="M455" i="86"/>
  <c r="K455" i="86"/>
  <c r="I455" i="86"/>
  <c r="E455" i="86"/>
  <c r="C455" i="86"/>
  <c r="R454" i="86"/>
  <c r="S454" i="86" s="1"/>
  <c r="Q454" i="86"/>
  <c r="O454" i="86"/>
  <c r="M454" i="86"/>
  <c r="K454" i="86"/>
  <c r="I454" i="86"/>
  <c r="E454" i="86"/>
  <c r="C454" i="86"/>
  <c r="R453" i="86"/>
  <c r="S453" i="86" s="1"/>
  <c r="Q453" i="86"/>
  <c r="O453" i="86"/>
  <c r="M453" i="86"/>
  <c r="K453" i="86"/>
  <c r="I453" i="86"/>
  <c r="E453" i="86"/>
  <c r="C453" i="86"/>
  <c r="R452" i="86"/>
  <c r="S452" i="86" s="1"/>
  <c r="Q452" i="86"/>
  <c r="O452" i="86"/>
  <c r="M452" i="86"/>
  <c r="K452" i="86"/>
  <c r="I452" i="86"/>
  <c r="E452" i="86"/>
  <c r="C452" i="86"/>
  <c r="R451" i="86"/>
  <c r="S451" i="86" s="1"/>
  <c r="Q451" i="86"/>
  <c r="O451" i="86"/>
  <c r="M451" i="86"/>
  <c r="K451" i="86"/>
  <c r="I451" i="86"/>
  <c r="E451" i="86"/>
  <c r="C451" i="86"/>
  <c r="R450" i="86"/>
  <c r="S450" i="86" s="1"/>
  <c r="Q450" i="86"/>
  <c r="O450" i="86"/>
  <c r="M450" i="86"/>
  <c r="K450" i="86"/>
  <c r="I450" i="86"/>
  <c r="E450" i="86"/>
  <c r="C450" i="86"/>
  <c r="R449" i="86"/>
  <c r="S449" i="86" s="1"/>
  <c r="Q449" i="86"/>
  <c r="O449" i="86"/>
  <c r="M449" i="86"/>
  <c r="K449" i="86"/>
  <c r="I449" i="86"/>
  <c r="E449" i="86"/>
  <c r="C449" i="86"/>
  <c r="R448" i="86"/>
  <c r="S448" i="86" s="1"/>
  <c r="Q448" i="86"/>
  <c r="O448" i="86"/>
  <c r="M448" i="86"/>
  <c r="K448" i="86"/>
  <c r="I448" i="86"/>
  <c r="E448" i="86"/>
  <c r="C448" i="86"/>
  <c r="R447" i="86"/>
  <c r="S447" i="86" s="1"/>
  <c r="Q447" i="86"/>
  <c r="O447" i="86"/>
  <c r="M447" i="86"/>
  <c r="K447" i="86"/>
  <c r="I447" i="86"/>
  <c r="E447" i="86"/>
  <c r="C447" i="86"/>
  <c r="R446" i="86"/>
  <c r="S446" i="86" s="1"/>
  <c r="Q446" i="86"/>
  <c r="O446" i="86"/>
  <c r="M446" i="86"/>
  <c r="K446" i="86"/>
  <c r="I446" i="86"/>
  <c r="E446" i="86"/>
  <c r="C446" i="86"/>
  <c r="R445" i="86"/>
  <c r="S445" i="86" s="1"/>
  <c r="Q445" i="86"/>
  <c r="O445" i="86"/>
  <c r="M445" i="86"/>
  <c r="K445" i="86"/>
  <c r="I445" i="86"/>
  <c r="E445" i="86"/>
  <c r="C445" i="86"/>
  <c r="R444" i="86"/>
  <c r="S444" i="86" s="1"/>
  <c r="Q444" i="86"/>
  <c r="O444" i="86"/>
  <c r="M444" i="86"/>
  <c r="K444" i="86"/>
  <c r="I444" i="86"/>
  <c r="E444" i="86"/>
  <c r="C444" i="86"/>
  <c r="R443" i="86"/>
  <c r="S443" i="86" s="1"/>
  <c r="Q443" i="86"/>
  <c r="O443" i="86"/>
  <c r="M443" i="86"/>
  <c r="K443" i="86"/>
  <c r="I443" i="86"/>
  <c r="E443" i="86"/>
  <c r="C443" i="86"/>
  <c r="R442" i="86"/>
  <c r="S442" i="86" s="1"/>
  <c r="Q442" i="86"/>
  <c r="O442" i="86"/>
  <c r="M442" i="86"/>
  <c r="K442" i="86"/>
  <c r="I442" i="86"/>
  <c r="E442" i="86"/>
  <c r="C442" i="86"/>
  <c r="R441" i="86"/>
  <c r="S441" i="86" s="1"/>
  <c r="Q441" i="86"/>
  <c r="O441" i="86"/>
  <c r="M441" i="86"/>
  <c r="K441" i="86"/>
  <c r="I441" i="86"/>
  <c r="E441" i="86"/>
  <c r="C441" i="86"/>
  <c r="R440" i="86"/>
  <c r="S440" i="86" s="1"/>
  <c r="Q440" i="86"/>
  <c r="O440" i="86"/>
  <c r="M440" i="86"/>
  <c r="K440" i="86"/>
  <c r="I440" i="86"/>
  <c r="E440" i="86"/>
  <c r="C440" i="86"/>
  <c r="R439" i="86"/>
  <c r="S439" i="86" s="1"/>
  <c r="Q439" i="86"/>
  <c r="O439" i="86"/>
  <c r="M439" i="86"/>
  <c r="K439" i="86"/>
  <c r="I439" i="86"/>
  <c r="E439" i="86"/>
  <c r="C439" i="86"/>
  <c r="R438" i="86"/>
  <c r="S438" i="86" s="1"/>
  <c r="Q438" i="86"/>
  <c r="O438" i="86"/>
  <c r="M438" i="86"/>
  <c r="K438" i="86"/>
  <c r="I438" i="86"/>
  <c r="E438" i="86"/>
  <c r="C438" i="86"/>
  <c r="R437" i="86"/>
  <c r="S437" i="86" s="1"/>
  <c r="Q437" i="86"/>
  <c r="O437" i="86"/>
  <c r="M437" i="86"/>
  <c r="K437" i="86"/>
  <c r="I437" i="86"/>
  <c r="E437" i="86"/>
  <c r="C437" i="86"/>
  <c r="R436" i="86"/>
  <c r="S436" i="86" s="1"/>
  <c r="Q436" i="86"/>
  <c r="O436" i="86"/>
  <c r="M436" i="86"/>
  <c r="K436" i="86"/>
  <c r="I436" i="86"/>
  <c r="E436" i="86"/>
  <c r="C436" i="86"/>
  <c r="R435" i="86"/>
  <c r="S435" i="86" s="1"/>
  <c r="Q435" i="86"/>
  <c r="O435" i="86"/>
  <c r="M435" i="86"/>
  <c r="K435" i="86"/>
  <c r="I435" i="86"/>
  <c r="E435" i="86"/>
  <c r="C435" i="86"/>
  <c r="R434" i="86"/>
  <c r="S434" i="86" s="1"/>
  <c r="Q434" i="86"/>
  <c r="O434" i="86"/>
  <c r="M434" i="86"/>
  <c r="K434" i="86"/>
  <c r="I434" i="86"/>
  <c r="E434" i="86"/>
  <c r="C434" i="86"/>
  <c r="R433" i="86"/>
  <c r="S433" i="86" s="1"/>
  <c r="Q433" i="86"/>
  <c r="O433" i="86"/>
  <c r="M433" i="86"/>
  <c r="K433" i="86"/>
  <c r="I433" i="86"/>
  <c r="E433" i="86"/>
  <c r="C433" i="86"/>
  <c r="R432" i="86"/>
  <c r="S432" i="86" s="1"/>
  <c r="Q432" i="86"/>
  <c r="O432" i="86"/>
  <c r="M432" i="86"/>
  <c r="K432" i="86"/>
  <c r="I432" i="86"/>
  <c r="E432" i="86"/>
  <c r="C432" i="86"/>
  <c r="R431" i="86"/>
  <c r="S431" i="86" s="1"/>
  <c r="Q431" i="86"/>
  <c r="O431" i="86"/>
  <c r="M431" i="86"/>
  <c r="K431" i="86"/>
  <c r="I431" i="86"/>
  <c r="E431" i="86"/>
  <c r="C431" i="86"/>
  <c r="R430" i="86"/>
  <c r="S430" i="86" s="1"/>
  <c r="Q430" i="86"/>
  <c r="O430" i="86"/>
  <c r="M430" i="86"/>
  <c r="K430" i="86"/>
  <c r="I430" i="86"/>
  <c r="E430" i="86"/>
  <c r="C430" i="86"/>
  <c r="R429" i="86"/>
  <c r="S429" i="86" s="1"/>
  <c r="Q429" i="86"/>
  <c r="O429" i="86"/>
  <c r="M429" i="86"/>
  <c r="K429" i="86"/>
  <c r="I429" i="86"/>
  <c r="E429" i="86"/>
  <c r="C429" i="86"/>
  <c r="R428" i="86"/>
  <c r="S428" i="86" s="1"/>
  <c r="Q428" i="86"/>
  <c r="O428" i="86"/>
  <c r="M428" i="86"/>
  <c r="K428" i="86"/>
  <c r="I428" i="86"/>
  <c r="E428" i="86"/>
  <c r="C428" i="86"/>
  <c r="R427" i="86"/>
  <c r="S427" i="86" s="1"/>
  <c r="Q427" i="86"/>
  <c r="O427" i="86"/>
  <c r="M427" i="86"/>
  <c r="K427" i="86"/>
  <c r="I427" i="86"/>
  <c r="E427" i="86"/>
  <c r="C427" i="86"/>
  <c r="R426" i="86"/>
  <c r="S426" i="86" s="1"/>
  <c r="Q426" i="86"/>
  <c r="O426" i="86"/>
  <c r="M426" i="86"/>
  <c r="K426" i="86"/>
  <c r="I426" i="86"/>
  <c r="E426" i="86"/>
  <c r="C426" i="86"/>
  <c r="R425" i="86"/>
  <c r="S425" i="86" s="1"/>
  <c r="Q425" i="86"/>
  <c r="O425" i="86"/>
  <c r="M425" i="86"/>
  <c r="K425" i="86"/>
  <c r="I425" i="86"/>
  <c r="E425" i="86"/>
  <c r="C425" i="86"/>
  <c r="R424" i="86"/>
  <c r="S424" i="86" s="1"/>
  <c r="Q424" i="86"/>
  <c r="O424" i="86"/>
  <c r="M424" i="86"/>
  <c r="K424" i="86"/>
  <c r="I424" i="86"/>
  <c r="E424" i="86"/>
  <c r="C424" i="86"/>
  <c r="R423" i="86"/>
  <c r="S423" i="86" s="1"/>
  <c r="Q423" i="86"/>
  <c r="O423" i="86"/>
  <c r="M423" i="86"/>
  <c r="K423" i="86"/>
  <c r="I423" i="86"/>
  <c r="E423" i="86"/>
  <c r="C423" i="86"/>
  <c r="R422" i="86"/>
  <c r="S422" i="86" s="1"/>
  <c r="Q422" i="86"/>
  <c r="O422" i="86"/>
  <c r="M422" i="86"/>
  <c r="K422" i="86"/>
  <c r="I422" i="86"/>
  <c r="E422" i="86"/>
  <c r="C422" i="86"/>
  <c r="R421" i="86"/>
  <c r="S421" i="86" s="1"/>
  <c r="Q421" i="86"/>
  <c r="O421" i="86"/>
  <c r="M421" i="86"/>
  <c r="K421" i="86"/>
  <c r="I421" i="86"/>
  <c r="E421" i="86"/>
  <c r="C421" i="86"/>
  <c r="R420" i="86"/>
  <c r="S420" i="86" s="1"/>
  <c r="Q420" i="86"/>
  <c r="O420" i="86"/>
  <c r="M420" i="86"/>
  <c r="K420" i="86"/>
  <c r="I420" i="86"/>
  <c r="E420" i="86"/>
  <c r="C420" i="86"/>
  <c r="R419" i="86"/>
  <c r="S419" i="86" s="1"/>
  <c r="Q419" i="86"/>
  <c r="O419" i="86"/>
  <c r="M419" i="86"/>
  <c r="K419" i="86"/>
  <c r="I419" i="86"/>
  <c r="E419" i="86"/>
  <c r="C419" i="86"/>
  <c r="R418" i="86"/>
  <c r="S418" i="86" s="1"/>
  <c r="Q418" i="86"/>
  <c r="O418" i="86"/>
  <c r="M418" i="86"/>
  <c r="K418" i="86"/>
  <c r="I418" i="86"/>
  <c r="E418" i="86"/>
  <c r="C418" i="86"/>
  <c r="R417" i="86"/>
  <c r="S417" i="86" s="1"/>
  <c r="Q417" i="86"/>
  <c r="O417" i="86"/>
  <c r="M417" i="86"/>
  <c r="K417" i="86"/>
  <c r="I417" i="86"/>
  <c r="E417" i="86"/>
  <c r="C417" i="86"/>
  <c r="R416" i="86"/>
  <c r="S416" i="86" s="1"/>
  <c r="Q416" i="86"/>
  <c r="O416" i="86"/>
  <c r="M416" i="86"/>
  <c r="K416" i="86"/>
  <c r="I416" i="86"/>
  <c r="E416" i="86"/>
  <c r="C416" i="86"/>
  <c r="R415" i="86"/>
  <c r="S415" i="86" s="1"/>
  <c r="Q415" i="86"/>
  <c r="O415" i="86"/>
  <c r="M415" i="86"/>
  <c r="K415" i="86"/>
  <c r="I415" i="86"/>
  <c r="E415" i="86"/>
  <c r="C415" i="86"/>
  <c r="R414" i="86"/>
  <c r="S414" i="86" s="1"/>
  <c r="Q414" i="86"/>
  <c r="O414" i="86"/>
  <c r="M414" i="86"/>
  <c r="K414" i="86"/>
  <c r="I414" i="86"/>
  <c r="E414" i="86"/>
  <c r="C414" i="86"/>
  <c r="R413" i="86"/>
  <c r="S413" i="86" s="1"/>
  <c r="Q413" i="86"/>
  <c r="O413" i="86"/>
  <c r="M413" i="86"/>
  <c r="K413" i="86"/>
  <c r="I413" i="86"/>
  <c r="E413" i="86"/>
  <c r="C413" i="86"/>
  <c r="R412" i="86"/>
  <c r="S412" i="86" s="1"/>
  <c r="Q412" i="86"/>
  <c r="O412" i="86"/>
  <c r="M412" i="86"/>
  <c r="K412" i="86"/>
  <c r="I412" i="86"/>
  <c r="E412" i="86"/>
  <c r="C412" i="86"/>
  <c r="R411" i="86"/>
  <c r="S411" i="86" s="1"/>
  <c r="Q411" i="86"/>
  <c r="O411" i="86"/>
  <c r="M411" i="86"/>
  <c r="K411" i="86"/>
  <c r="I411" i="86"/>
  <c r="E411" i="86"/>
  <c r="C411" i="86"/>
  <c r="R410" i="86"/>
  <c r="S410" i="86" s="1"/>
  <c r="Q410" i="86"/>
  <c r="O410" i="86"/>
  <c r="M410" i="86"/>
  <c r="K410" i="86"/>
  <c r="I410" i="86"/>
  <c r="E410" i="86"/>
  <c r="C410" i="86"/>
  <c r="R409" i="86"/>
  <c r="S409" i="86" s="1"/>
  <c r="Q409" i="86"/>
  <c r="O409" i="86"/>
  <c r="M409" i="86"/>
  <c r="K409" i="86"/>
  <c r="I409" i="86"/>
  <c r="E409" i="86"/>
  <c r="C409" i="86"/>
  <c r="R408" i="86"/>
  <c r="S408" i="86" s="1"/>
  <c r="Q408" i="86"/>
  <c r="O408" i="86"/>
  <c r="M408" i="86"/>
  <c r="K408" i="86"/>
  <c r="I408" i="86"/>
  <c r="E408" i="86"/>
  <c r="C408" i="86"/>
  <c r="R407" i="86"/>
  <c r="S407" i="86" s="1"/>
  <c r="Q407" i="86"/>
  <c r="O407" i="86"/>
  <c r="M407" i="86"/>
  <c r="K407" i="86"/>
  <c r="I407" i="86"/>
  <c r="E407" i="86"/>
  <c r="C407" i="86"/>
  <c r="R406" i="86"/>
  <c r="S406" i="86" s="1"/>
  <c r="Q406" i="86"/>
  <c r="O406" i="86"/>
  <c r="M406" i="86"/>
  <c r="K406" i="86"/>
  <c r="I406" i="86"/>
  <c r="E406" i="86"/>
  <c r="C406" i="86"/>
  <c r="R405" i="86"/>
  <c r="S405" i="86" s="1"/>
  <c r="Q405" i="86"/>
  <c r="O405" i="86"/>
  <c r="M405" i="86"/>
  <c r="K405" i="86"/>
  <c r="I405" i="86"/>
  <c r="E405" i="86"/>
  <c r="C405" i="86"/>
  <c r="R404" i="86"/>
  <c r="S404" i="86" s="1"/>
  <c r="Q404" i="86"/>
  <c r="O404" i="86"/>
  <c r="M404" i="86"/>
  <c r="K404" i="86"/>
  <c r="I404" i="86"/>
  <c r="E404" i="86"/>
  <c r="C404" i="86"/>
  <c r="R403" i="86"/>
  <c r="S403" i="86" s="1"/>
  <c r="Q403" i="86"/>
  <c r="O403" i="86"/>
  <c r="M403" i="86"/>
  <c r="K403" i="86"/>
  <c r="I403" i="86"/>
  <c r="E403" i="86"/>
  <c r="C403" i="86"/>
  <c r="R402" i="86"/>
  <c r="S402" i="86" s="1"/>
  <c r="Q402" i="86"/>
  <c r="O402" i="86"/>
  <c r="M402" i="86"/>
  <c r="K402" i="86"/>
  <c r="I402" i="86"/>
  <c r="E402" i="86"/>
  <c r="C402" i="86"/>
  <c r="R401" i="86"/>
  <c r="S401" i="86" s="1"/>
  <c r="Q401" i="86"/>
  <c r="O401" i="86"/>
  <c r="M401" i="86"/>
  <c r="K401" i="86"/>
  <c r="I401" i="86"/>
  <c r="E401" i="86"/>
  <c r="C401" i="86"/>
  <c r="R400" i="86"/>
  <c r="S400" i="86" s="1"/>
  <c r="Q400" i="86"/>
  <c r="O400" i="86"/>
  <c r="M400" i="86"/>
  <c r="K400" i="86"/>
  <c r="I400" i="86"/>
  <c r="E400" i="86"/>
  <c r="C400" i="86"/>
  <c r="R399" i="86"/>
  <c r="S399" i="86" s="1"/>
  <c r="Q399" i="86"/>
  <c r="O399" i="86"/>
  <c r="M399" i="86"/>
  <c r="K399" i="86"/>
  <c r="I399" i="86"/>
  <c r="E399" i="86"/>
  <c r="C399" i="86"/>
  <c r="R398" i="86"/>
  <c r="S398" i="86" s="1"/>
  <c r="Q398" i="86"/>
  <c r="O398" i="86"/>
  <c r="M398" i="86"/>
  <c r="K398" i="86"/>
  <c r="I398" i="86"/>
  <c r="E398" i="86"/>
  <c r="C398" i="86"/>
  <c r="R397" i="86"/>
  <c r="S397" i="86" s="1"/>
  <c r="Q397" i="86"/>
  <c r="O397" i="86"/>
  <c r="M397" i="86"/>
  <c r="K397" i="86"/>
  <c r="I397" i="86"/>
  <c r="E397" i="86"/>
  <c r="C397" i="86"/>
  <c r="R396" i="86"/>
  <c r="S396" i="86" s="1"/>
  <c r="Q396" i="86"/>
  <c r="O396" i="86"/>
  <c r="M396" i="86"/>
  <c r="K396" i="86"/>
  <c r="I396" i="86"/>
  <c r="E396" i="86"/>
  <c r="C396" i="86"/>
  <c r="R395" i="86"/>
  <c r="S395" i="86" s="1"/>
  <c r="Q395" i="86"/>
  <c r="O395" i="86"/>
  <c r="M395" i="86"/>
  <c r="K395" i="86"/>
  <c r="I395" i="86"/>
  <c r="E395" i="86"/>
  <c r="C395" i="86"/>
  <c r="R394" i="86"/>
  <c r="S394" i="86" s="1"/>
  <c r="Q394" i="86"/>
  <c r="O394" i="86"/>
  <c r="M394" i="86"/>
  <c r="K394" i="86"/>
  <c r="I394" i="86"/>
  <c r="E394" i="86"/>
  <c r="C394" i="86"/>
  <c r="R393" i="86"/>
  <c r="S393" i="86" s="1"/>
  <c r="Q393" i="86"/>
  <c r="O393" i="86"/>
  <c r="M393" i="86"/>
  <c r="K393" i="86"/>
  <c r="I393" i="86"/>
  <c r="E393" i="86"/>
  <c r="C393" i="86"/>
  <c r="R392" i="86"/>
  <c r="S392" i="86" s="1"/>
  <c r="Q392" i="86"/>
  <c r="O392" i="86"/>
  <c r="M392" i="86"/>
  <c r="K392" i="86"/>
  <c r="I392" i="86"/>
  <c r="E392" i="86"/>
  <c r="C392" i="86"/>
  <c r="R391" i="86"/>
  <c r="S391" i="86" s="1"/>
  <c r="Q391" i="86"/>
  <c r="O391" i="86"/>
  <c r="M391" i="86"/>
  <c r="K391" i="86"/>
  <c r="I391" i="86"/>
  <c r="E391" i="86"/>
  <c r="C391" i="86"/>
  <c r="R390" i="86"/>
  <c r="S390" i="86" s="1"/>
  <c r="Q390" i="86"/>
  <c r="O390" i="86"/>
  <c r="M390" i="86"/>
  <c r="K390" i="86"/>
  <c r="I390" i="86"/>
  <c r="E390" i="86"/>
  <c r="C390" i="86"/>
  <c r="R389" i="86"/>
  <c r="S389" i="86" s="1"/>
  <c r="Q389" i="86"/>
  <c r="O389" i="86"/>
  <c r="M389" i="86"/>
  <c r="K389" i="86"/>
  <c r="I389" i="86"/>
  <c r="E389" i="86"/>
  <c r="C389" i="86"/>
  <c r="R388" i="86"/>
  <c r="S388" i="86" s="1"/>
  <c r="Q388" i="86"/>
  <c r="O388" i="86"/>
  <c r="M388" i="86"/>
  <c r="K388" i="86"/>
  <c r="I388" i="86"/>
  <c r="E388" i="86"/>
  <c r="C388" i="86"/>
  <c r="R387" i="86"/>
  <c r="S387" i="86" s="1"/>
  <c r="Q387" i="86"/>
  <c r="O387" i="86"/>
  <c r="M387" i="86"/>
  <c r="K387" i="86"/>
  <c r="I387" i="86"/>
  <c r="E387" i="86"/>
  <c r="C387" i="86"/>
  <c r="R386" i="86"/>
  <c r="S386" i="86" s="1"/>
  <c r="Q386" i="86"/>
  <c r="O386" i="86"/>
  <c r="M386" i="86"/>
  <c r="K386" i="86"/>
  <c r="I386" i="86"/>
  <c r="E386" i="86"/>
  <c r="C386" i="86"/>
  <c r="R385" i="86"/>
  <c r="S385" i="86" s="1"/>
  <c r="Q385" i="86"/>
  <c r="O385" i="86"/>
  <c r="M385" i="86"/>
  <c r="K385" i="86"/>
  <c r="I385" i="86"/>
  <c r="E385" i="86"/>
  <c r="C385" i="86"/>
  <c r="R384" i="86"/>
  <c r="S384" i="86" s="1"/>
  <c r="Q384" i="86"/>
  <c r="O384" i="86"/>
  <c r="M384" i="86"/>
  <c r="K384" i="86"/>
  <c r="I384" i="86"/>
  <c r="E384" i="86"/>
  <c r="C384" i="86"/>
  <c r="R383" i="86"/>
  <c r="S383" i="86" s="1"/>
  <c r="Q383" i="86"/>
  <c r="O383" i="86"/>
  <c r="M383" i="86"/>
  <c r="K383" i="86"/>
  <c r="I383" i="86"/>
  <c r="E383" i="86"/>
  <c r="C383" i="86"/>
  <c r="R382" i="86"/>
  <c r="S382" i="86" s="1"/>
  <c r="Q382" i="86"/>
  <c r="O382" i="86"/>
  <c r="M382" i="86"/>
  <c r="K382" i="86"/>
  <c r="I382" i="86"/>
  <c r="E382" i="86"/>
  <c r="C382" i="86"/>
  <c r="R381" i="86"/>
  <c r="S381" i="86" s="1"/>
  <c r="Q381" i="86"/>
  <c r="O381" i="86"/>
  <c r="M381" i="86"/>
  <c r="K381" i="86"/>
  <c r="I381" i="86"/>
  <c r="E381" i="86"/>
  <c r="C381" i="86"/>
  <c r="R380" i="86"/>
  <c r="S380" i="86" s="1"/>
  <c r="Q380" i="86"/>
  <c r="O380" i="86"/>
  <c r="M380" i="86"/>
  <c r="K380" i="86"/>
  <c r="I380" i="86"/>
  <c r="E380" i="86"/>
  <c r="C380" i="86"/>
  <c r="R379" i="86"/>
  <c r="S379" i="86" s="1"/>
  <c r="Q379" i="86"/>
  <c r="O379" i="86"/>
  <c r="M379" i="86"/>
  <c r="K379" i="86"/>
  <c r="I379" i="86"/>
  <c r="E379" i="86"/>
  <c r="C379" i="86"/>
  <c r="R378" i="86"/>
  <c r="S378" i="86" s="1"/>
  <c r="Q378" i="86"/>
  <c r="O378" i="86"/>
  <c r="M378" i="86"/>
  <c r="K378" i="86"/>
  <c r="I378" i="86"/>
  <c r="E378" i="86"/>
  <c r="C378" i="86"/>
  <c r="R377" i="86"/>
  <c r="S377" i="86" s="1"/>
  <c r="Q377" i="86"/>
  <c r="O377" i="86"/>
  <c r="M377" i="86"/>
  <c r="K377" i="86"/>
  <c r="I377" i="86"/>
  <c r="E377" i="86"/>
  <c r="C377" i="86"/>
  <c r="R376" i="86"/>
  <c r="S376" i="86" s="1"/>
  <c r="Q376" i="86"/>
  <c r="O376" i="86"/>
  <c r="M376" i="86"/>
  <c r="K376" i="86"/>
  <c r="I376" i="86"/>
  <c r="E376" i="86"/>
  <c r="C376" i="86"/>
  <c r="R375" i="86"/>
  <c r="S375" i="86" s="1"/>
  <c r="Q375" i="86"/>
  <c r="O375" i="86"/>
  <c r="M375" i="86"/>
  <c r="K375" i="86"/>
  <c r="I375" i="86"/>
  <c r="E375" i="86"/>
  <c r="C375" i="86"/>
  <c r="R374" i="86"/>
  <c r="S374" i="86" s="1"/>
  <c r="Q374" i="86"/>
  <c r="O374" i="86"/>
  <c r="M374" i="86"/>
  <c r="K374" i="86"/>
  <c r="I374" i="86"/>
  <c r="E374" i="86"/>
  <c r="C374" i="86"/>
  <c r="R373" i="86"/>
  <c r="S373" i="86" s="1"/>
  <c r="Q373" i="86"/>
  <c r="O373" i="86"/>
  <c r="M373" i="86"/>
  <c r="K373" i="86"/>
  <c r="I373" i="86"/>
  <c r="E373" i="86"/>
  <c r="C373" i="86"/>
  <c r="R372" i="86"/>
  <c r="S372" i="86" s="1"/>
  <c r="Q372" i="86"/>
  <c r="O372" i="86"/>
  <c r="M372" i="86"/>
  <c r="K372" i="86"/>
  <c r="I372" i="86"/>
  <c r="E372" i="86"/>
  <c r="C372" i="86"/>
  <c r="R371" i="86"/>
  <c r="S371" i="86" s="1"/>
  <c r="Q371" i="86"/>
  <c r="O371" i="86"/>
  <c r="M371" i="86"/>
  <c r="K371" i="86"/>
  <c r="I371" i="86"/>
  <c r="E371" i="86"/>
  <c r="C371" i="86"/>
  <c r="R370" i="86"/>
  <c r="S370" i="86" s="1"/>
  <c r="Q370" i="86"/>
  <c r="O370" i="86"/>
  <c r="M370" i="86"/>
  <c r="K370" i="86"/>
  <c r="I370" i="86"/>
  <c r="E370" i="86"/>
  <c r="C370" i="86"/>
  <c r="R369" i="86"/>
  <c r="S369" i="86" s="1"/>
  <c r="Q369" i="86"/>
  <c r="O369" i="86"/>
  <c r="M369" i="86"/>
  <c r="K369" i="86"/>
  <c r="I369" i="86"/>
  <c r="E369" i="86"/>
  <c r="C369" i="86"/>
  <c r="R368" i="86"/>
  <c r="S368" i="86" s="1"/>
  <c r="Q368" i="86"/>
  <c r="O368" i="86"/>
  <c r="M368" i="86"/>
  <c r="K368" i="86"/>
  <c r="I368" i="86"/>
  <c r="E368" i="86"/>
  <c r="C368" i="86"/>
  <c r="R367" i="86"/>
  <c r="S367" i="86" s="1"/>
  <c r="Q367" i="86"/>
  <c r="O367" i="86"/>
  <c r="M367" i="86"/>
  <c r="K367" i="86"/>
  <c r="I367" i="86"/>
  <c r="E367" i="86"/>
  <c r="C367" i="86"/>
  <c r="R366" i="86"/>
  <c r="S366" i="86" s="1"/>
  <c r="Q366" i="86"/>
  <c r="O366" i="86"/>
  <c r="M366" i="86"/>
  <c r="K366" i="86"/>
  <c r="I366" i="86"/>
  <c r="E366" i="86"/>
  <c r="C366" i="86"/>
  <c r="R365" i="86"/>
  <c r="S365" i="86" s="1"/>
  <c r="Q365" i="86"/>
  <c r="O365" i="86"/>
  <c r="M365" i="86"/>
  <c r="K365" i="86"/>
  <c r="I365" i="86"/>
  <c r="E365" i="86"/>
  <c r="C365" i="86"/>
  <c r="R364" i="86"/>
  <c r="S364" i="86" s="1"/>
  <c r="Q364" i="86"/>
  <c r="O364" i="86"/>
  <c r="M364" i="86"/>
  <c r="K364" i="86"/>
  <c r="I364" i="86"/>
  <c r="E364" i="86"/>
  <c r="C364" i="86"/>
  <c r="R363" i="86"/>
  <c r="S363" i="86" s="1"/>
  <c r="Q363" i="86"/>
  <c r="O363" i="86"/>
  <c r="M363" i="86"/>
  <c r="K363" i="86"/>
  <c r="I363" i="86"/>
  <c r="E363" i="86"/>
  <c r="C363" i="86"/>
  <c r="R362" i="86"/>
  <c r="S362" i="86" s="1"/>
  <c r="Q362" i="86"/>
  <c r="O362" i="86"/>
  <c r="M362" i="86"/>
  <c r="K362" i="86"/>
  <c r="I362" i="86"/>
  <c r="E362" i="86"/>
  <c r="C362" i="86"/>
  <c r="R361" i="86"/>
  <c r="S361" i="86" s="1"/>
  <c r="Q361" i="86"/>
  <c r="O361" i="86"/>
  <c r="M361" i="86"/>
  <c r="K361" i="86"/>
  <c r="I361" i="86"/>
  <c r="E361" i="86"/>
  <c r="C361" i="86"/>
  <c r="R360" i="86"/>
  <c r="S360" i="86" s="1"/>
  <c r="Q360" i="86"/>
  <c r="O360" i="86"/>
  <c r="M360" i="86"/>
  <c r="K360" i="86"/>
  <c r="I360" i="86"/>
  <c r="E360" i="86"/>
  <c r="C360" i="86"/>
  <c r="R359" i="86"/>
  <c r="S359" i="86" s="1"/>
  <c r="Q359" i="86"/>
  <c r="O359" i="86"/>
  <c r="M359" i="86"/>
  <c r="K359" i="86"/>
  <c r="I359" i="86"/>
  <c r="E359" i="86"/>
  <c r="C359" i="86"/>
  <c r="R358" i="86"/>
  <c r="S358" i="86" s="1"/>
  <c r="Q358" i="86"/>
  <c r="O358" i="86"/>
  <c r="M358" i="86"/>
  <c r="K358" i="86"/>
  <c r="I358" i="86"/>
  <c r="E358" i="86"/>
  <c r="C358" i="86"/>
  <c r="R357" i="86"/>
  <c r="S357" i="86" s="1"/>
  <c r="Q357" i="86"/>
  <c r="O357" i="86"/>
  <c r="M357" i="86"/>
  <c r="K357" i="86"/>
  <c r="I357" i="86"/>
  <c r="E357" i="86"/>
  <c r="C357" i="86"/>
  <c r="R356" i="86"/>
  <c r="S356" i="86" s="1"/>
  <c r="Q356" i="86"/>
  <c r="O356" i="86"/>
  <c r="M356" i="86"/>
  <c r="K356" i="86"/>
  <c r="I356" i="86"/>
  <c r="E356" i="86"/>
  <c r="C356" i="86"/>
  <c r="R355" i="86"/>
  <c r="S355" i="86" s="1"/>
  <c r="Q355" i="86"/>
  <c r="O355" i="86"/>
  <c r="M355" i="86"/>
  <c r="K355" i="86"/>
  <c r="I355" i="86"/>
  <c r="E355" i="86"/>
  <c r="C355" i="86"/>
  <c r="R354" i="86"/>
  <c r="S354" i="86" s="1"/>
  <c r="Q354" i="86"/>
  <c r="O354" i="86"/>
  <c r="M354" i="86"/>
  <c r="K354" i="86"/>
  <c r="I354" i="86"/>
  <c r="E354" i="86"/>
  <c r="C354" i="86"/>
  <c r="R353" i="86"/>
  <c r="S353" i="86" s="1"/>
  <c r="Q353" i="86"/>
  <c r="O353" i="86"/>
  <c r="M353" i="86"/>
  <c r="K353" i="86"/>
  <c r="I353" i="86"/>
  <c r="E353" i="86"/>
  <c r="C353" i="86"/>
  <c r="R352" i="86"/>
  <c r="S352" i="86" s="1"/>
  <c r="Q352" i="86"/>
  <c r="O352" i="86"/>
  <c r="M352" i="86"/>
  <c r="K352" i="86"/>
  <c r="I352" i="86"/>
  <c r="E352" i="86"/>
  <c r="C352" i="86"/>
  <c r="R351" i="86"/>
  <c r="S351" i="86" s="1"/>
  <c r="Q351" i="86"/>
  <c r="O351" i="86"/>
  <c r="M351" i="86"/>
  <c r="K351" i="86"/>
  <c r="I351" i="86"/>
  <c r="E351" i="86"/>
  <c r="C351" i="86"/>
  <c r="R350" i="86"/>
  <c r="S350" i="86" s="1"/>
  <c r="Q350" i="86"/>
  <c r="O350" i="86"/>
  <c r="M350" i="86"/>
  <c r="K350" i="86"/>
  <c r="I350" i="86"/>
  <c r="E350" i="86"/>
  <c r="C350" i="86"/>
  <c r="R349" i="86"/>
  <c r="S349" i="86" s="1"/>
  <c r="Q349" i="86"/>
  <c r="O349" i="86"/>
  <c r="M349" i="86"/>
  <c r="K349" i="86"/>
  <c r="I349" i="86"/>
  <c r="E349" i="86"/>
  <c r="C349" i="86"/>
  <c r="R348" i="86"/>
  <c r="S348" i="86" s="1"/>
  <c r="Q348" i="86"/>
  <c r="O348" i="86"/>
  <c r="M348" i="86"/>
  <c r="K348" i="86"/>
  <c r="I348" i="86"/>
  <c r="E348" i="86"/>
  <c r="C348" i="86"/>
  <c r="R347" i="86"/>
  <c r="S347" i="86" s="1"/>
  <c r="Q347" i="86"/>
  <c r="O347" i="86"/>
  <c r="M347" i="86"/>
  <c r="K347" i="86"/>
  <c r="I347" i="86"/>
  <c r="E347" i="86"/>
  <c r="C347" i="86"/>
  <c r="R346" i="86"/>
  <c r="S346" i="86" s="1"/>
  <c r="Q346" i="86"/>
  <c r="O346" i="86"/>
  <c r="M346" i="86"/>
  <c r="K346" i="86"/>
  <c r="I346" i="86"/>
  <c r="E346" i="86"/>
  <c r="C346" i="86"/>
  <c r="R345" i="86"/>
  <c r="S345" i="86" s="1"/>
  <c r="Q345" i="86"/>
  <c r="O345" i="86"/>
  <c r="M345" i="86"/>
  <c r="K345" i="86"/>
  <c r="I345" i="86"/>
  <c r="E345" i="86"/>
  <c r="C345" i="86"/>
  <c r="R344" i="86"/>
  <c r="S344" i="86" s="1"/>
  <c r="Q344" i="86"/>
  <c r="O344" i="86"/>
  <c r="M344" i="86"/>
  <c r="K344" i="86"/>
  <c r="I344" i="86"/>
  <c r="E344" i="86"/>
  <c r="C344" i="86"/>
  <c r="R343" i="86"/>
  <c r="S343" i="86" s="1"/>
  <c r="Q343" i="86"/>
  <c r="O343" i="86"/>
  <c r="M343" i="86"/>
  <c r="K343" i="86"/>
  <c r="I343" i="86"/>
  <c r="E343" i="86"/>
  <c r="C343" i="86"/>
  <c r="R342" i="86"/>
  <c r="S342" i="86" s="1"/>
  <c r="Q342" i="86"/>
  <c r="O342" i="86"/>
  <c r="M342" i="86"/>
  <c r="K342" i="86"/>
  <c r="I342" i="86"/>
  <c r="E342" i="86"/>
  <c r="C342" i="86"/>
  <c r="R341" i="86"/>
  <c r="S341" i="86" s="1"/>
  <c r="Q341" i="86"/>
  <c r="O341" i="86"/>
  <c r="M341" i="86"/>
  <c r="K341" i="86"/>
  <c r="I341" i="86"/>
  <c r="E341" i="86"/>
  <c r="C341" i="86"/>
  <c r="R340" i="86"/>
  <c r="S340" i="86" s="1"/>
  <c r="Q340" i="86"/>
  <c r="O340" i="86"/>
  <c r="M340" i="86"/>
  <c r="K340" i="86"/>
  <c r="I340" i="86"/>
  <c r="E340" i="86"/>
  <c r="C340" i="86"/>
  <c r="R339" i="86"/>
  <c r="S339" i="86" s="1"/>
  <c r="Q339" i="86"/>
  <c r="O339" i="86"/>
  <c r="M339" i="86"/>
  <c r="K339" i="86"/>
  <c r="I339" i="86"/>
  <c r="E339" i="86"/>
  <c r="C339" i="86"/>
  <c r="R338" i="86"/>
  <c r="S338" i="86" s="1"/>
  <c r="Q338" i="86"/>
  <c r="O338" i="86"/>
  <c r="M338" i="86"/>
  <c r="K338" i="86"/>
  <c r="I338" i="86"/>
  <c r="E338" i="86"/>
  <c r="C338" i="86"/>
  <c r="R337" i="86"/>
  <c r="S337" i="86" s="1"/>
  <c r="Q337" i="86"/>
  <c r="O337" i="86"/>
  <c r="M337" i="86"/>
  <c r="K337" i="86"/>
  <c r="I337" i="86"/>
  <c r="E337" i="86"/>
  <c r="C337" i="86"/>
  <c r="R336" i="86"/>
  <c r="S336" i="86" s="1"/>
  <c r="Q336" i="86"/>
  <c r="O336" i="86"/>
  <c r="M336" i="86"/>
  <c r="K336" i="86"/>
  <c r="I336" i="86"/>
  <c r="E336" i="86"/>
  <c r="C336" i="86"/>
  <c r="R335" i="86"/>
  <c r="S335" i="86" s="1"/>
  <c r="Q335" i="86"/>
  <c r="O335" i="86"/>
  <c r="M335" i="86"/>
  <c r="K335" i="86"/>
  <c r="I335" i="86"/>
  <c r="E335" i="86"/>
  <c r="C335" i="86"/>
  <c r="R334" i="86"/>
  <c r="S334" i="86" s="1"/>
  <c r="Q334" i="86"/>
  <c r="O334" i="86"/>
  <c r="M334" i="86"/>
  <c r="K334" i="86"/>
  <c r="I334" i="86"/>
  <c r="E334" i="86"/>
  <c r="C334" i="86"/>
  <c r="R333" i="86"/>
  <c r="S333" i="86" s="1"/>
  <c r="Q333" i="86"/>
  <c r="O333" i="86"/>
  <c r="M333" i="86"/>
  <c r="K333" i="86"/>
  <c r="I333" i="86"/>
  <c r="E333" i="86"/>
  <c r="C333" i="86"/>
  <c r="R332" i="86"/>
  <c r="S332" i="86" s="1"/>
  <c r="Q332" i="86"/>
  <c r="O332" i="86"/>
  <c r="M332" i="86"/>
  <c r="K332" i="86"/>
  <c r="I332" i="86"/>
  <c r="E332" i="86"/>
  <c r="C332" i="86"/>
  <c r="R331" i="86"/>
  <c r="S331" i="86" s="1"/>
  <c r="Q331" i="86"/>
  <c r="O331" i="86"/>
  <c r="M331" i="86"/>
  <c r="K331" i="86"/>
  <c r="I331" i="86"/>
  <c r="E331" i="86"/>
  <c r="C331" i="86"/>
  <c r="R330" i="86"/>
  <c r="S330" i="86" s="1"/>
  <c r="Q330" i="86"/>
  <c r="O330" i="86"/>
  <c r="M330" i="86"/>
  <c r="K330" i="86"/>
  <c r="I330" i="86"/>
  <c r="E330" i="86"/>
  <c r="C330" i="86"/>
  <c r="R329" i="86"/>
  <c r="S329" i="86" s="1"/>
  <c r="Q329" i="86"/>
  <c r="O329" i="86"/>
  <c r="M329" i="86"/>
  <c r="K329" i="86"/>
  <c r="I329" i="86"/>
  <c r="E329" i="86"/>
  <c r="C329" i="86"/>
  <c r="R328" i="86"/>
  <c r="S328" i="86" s="1"/>
  <c r="Q328" i="86"/>
  <c r="O328" i="86"/>
  <c r="M328" i="86"/>
  <c r="K328" i="86"/>
  <c r="I328" i="86"/>
  <c r="E328" i="86"/>
  <c r="C328" i="86"/>
  <c r="R327" i="86"/>
  <c r="S327" i="86" s="1"/>
  <c r="Q327" i="86"/>
  <c r="O327" i="86"/>
  <c r="M327" i="86"/>
  <c r="K327" i="86"/>
  <c r="I327" i="86"/>
  <c r="E327" i="86"/>
  <c r="C327" i="86"/>
  <c r="R326" i="86"/>
  <c r="S326" i="86" s="1"/>
  <c r="Q326" i="86"/>
  <c r="O326" i="86"/>
  <c r="M326" i="86"/>
  <c r="K326" i="86"/>
  <c r="I326" i="86"/>
  <c r="E326" i="86"/>
  <c r="C326" i="86"/>
  <c r="R325" i="86"/>
  <c r="S325" i="86" s="1"/>
  <c r="Q325" i="86"/>
  <c r="O325" i="86"/>
  <c r="M325" i="86"/>
  <c r="K325" i="86"/>
  <c r="I325" i="86"/>
  <c r="E325" i="86"/>
  <c r="C325" i="86"/>
  <c r="R324" i="86"/>
  <c r="S324" i="86" s="1"/>
  <c r="Q324" i="86"/>
  <c r="O324" i="86"/>
  <c r="M324" i="86"/>
  <c r="K324" i="86"/>
  <c r="I324" i="86"/>
  <c r="E324" i="86"/>
  <c r="C324" i="86"/>
  <c r="R323" i="86"/>
  <c r="S323" i="86" s="1"/>
  <c r="Q323" i="86"/>
  <c r="O323" i="86"/>
  <c r="M323" i="86"/>
  <c r="K323" i="86"/>
  <c r="I323" i="86"/>
  <c r="E323" i="86"/>
  <c r="C323" i="86"/>
  <c r="R322" i="86"/>
  <c r="S322" i="86" s="1"/>
  <c r="Q322" i="86"/>
  <c r="O322" i="86"/>
  <c r="M322" i="86"/>
  <c r="K322" i="86"/>
  <c r="I322" i="86"/>
  <c r="E322" i="86"/>
  <c r="C322" i="86"/>
  <c r="R321" i="86"/>
  <c r="S321" i="86" s="1"/>
  <c r="Q321" i="86"/>
  <c r="O321" i="86"/>
  <c r="M321" i="86"/>
  <c r="K321" i="86"/>
  <c r="I321" i="86"/>
  <c r="E321" i="86"/>
  <c r="C321" i="86"/>
  <c r="R320" i="86"/>
  <c r="S320" i="86" s="1"/>
  <c r="Q320" i="86"/>
  <c r="O320" i="86"/>
  <c r="M320" i="86"/>
  <c r="K320" i="86"/>
  <c r="I320" i="86"/>
  <c r="E320" i="86"/>
  <c r="C320" i="86"/>
  <c r="R319" i="86"/>
  <c r="S319" i="86" s="1"/>
  <c r="Q319" i="86"/>
  <c r="O319" i="86"/>
  <c r="M319" i="86"/>
  <c r="K319" i="86"/>
  <c r="I319" i="86"/>
  <c r="E319" i="86"/>
  <c r="C319" i="86"/>
  <c r="R318" i="86"/>
  <c r="S318" i="86" s="1"/>
  <c r="Q318" i="86"/>
  <c r="O318" i="86"/>
  <c r="M318" i="86"/>
  <c r="K318" i="86"/>
  <c r="I318" i="86"/>
  <c r="E318" i="86"/>
  <c r="C318" i="86"/>
  <c r="R317" i="86"/>
  <c r="S317" i="86" s="1"/>
  <c r="Q317" i="86"/>
  <c r="O317" i="86"/>
  <c r="M317" i="86"/>
  <c r="K317" i="86"/>
  <c r="I317" i="86"/>
  <c r="E317" i="86"/>
  <c r="C317" i="86"/>
  <c r="R316" i="86"/>
  <c r="S316" i="86" s="1"/>
  <c r="Q316" i="86"/>
  <c r="O316" i="86"/>
  <c r="M316" i="86"/>
  <c r="K316" i="86"/>
  <c r="I316" i="86"/>
  <c r="E316" i="86"/>
  <c r="C316" i="86"/>
  <c r="R315" i="86"/>
  <c r="S315" i="86" s="1"/>
  <c r="Q315" i="86"/>
  <c r="O315" i="86"/>
  <c r="M315" i="86"/>
  <c r="K315" i="86"/>
  <c r="I315" i="86"/>
  <c r="E315" i="86"/>
  <c r="C315" i="86"/>
  <c r="R314" i="86"/>
  <c r="S314" i="86" s="1"/>
  <c r="Q314" i="86"/>
  <c r="O314" i="86"/>
  <c r="M314" i="86"/>
  <c r="K314" i="86"/>
  <c r="I314" i="86"/>
  <c r="E314" i="86"/>
  <c r="C314" i="86"/>
  <c r="R313" i="86"/>
  <c r="S313" i="86" s="1"/>
  <c r="Q313" i="86"/>
  <c r="O313" i="86"/>
  <c r="M313" i="86"/>
  <c r="K313" i="86"/>
  <c r="I313" i="86"/>
  <c r="E313" i="86"/>
  <c r="C313" i="86"/>
  <c r="R312" i="86"/>
  <c r="S312" i="86" s="1"/>
  <c r="Q312" i="86"/>
  <c r="O312" i="86"/>
  <c r="M312" i="86"/>
  <c r="K312" i="86"/>
  <c r="I312" i="86"/>
  <c r="E312" i="86"/>
  <c r="C312" i="86"/>
  <c r="R311" i="86"/>
  <c r="S311" i="86" s="1"/>
  <c r="Q311" i="86"/>
  <c r="O311" i="86"/>
  <c r="M311" i="86"/>
  <c r="K311" i="86"/>
  <c r="I311" i="86"/>
  <c r="E311" i="86"/>
  <c r="C311" i="86"/>
  <c r="R310" i="86"/>
  <c r="S310" i="86" s="1"/>
  <c r="Q310" i="86"/>
  <c r="O310" i="86"/>
  <c r="M310" i="86"/>
  <c r="K310" i="86"/>
  <c r="I310" i="86"/>
  <c r="E310" i="86"/>
  <c r="C310" i="86"/>
  <c r="R309" i="86"/>
  <c r="S309" i="86" s="1"/>
  <c r="Q309" i="86"/>
  <c r="O309" i="86"/>
  <c r="M309" i="86"/>
  <c r="K309" i="86"/>
  <c r="I309" i="86"/>
  <c r="E309" i="86"/>
  <c r="C309" i="86"/>
  <c r="R308" i="86"/>
  <c r="S308" i="86" s="1"/>
  <c r="Q308" i="86"/>
  <c r="O308" i="86"/>
  <c r="M308" i="86"/>
  <c r="K308" i="86"/>
  <c r="I308" i="86"/>
  <c r="E308" i="86"/>
  <c r="C308" i="86"/>
  <c r="R307" i="86"/>
  <c r="S307" i="86" s="1"/>
  <c r="Q307" i="86"/>
  <c r="O307" i="86"/>
  <c r="M307" i="86"/>
  <c r="K307" i="86"/>
  <c r="I307" i="86"/>
  <c r="E307" i="86"/>
  <c r="C307" i="86"/>
  <c r="R306" i="86"/>
  <c r="S306" i="86" s="1"/>
  <c r="Q306" i="86"/>
  <c r="O306" i="86"/>
  <c r="M306" i="86"/>
  <c r="K306" i="86"/>
  <c r="I306" i="86"/>
  <c r="E306" i="86"/>
  <c r="C306" i="86"/>
  <c r="R305" i="86"/>
  <c r="S305" i="86" s="1"/>
  <c r="Q305" i="86"/>
  <c r="O305" i="86"/>
  <c r="M305" i="86"/>
  <c r="K305" i="86"/>
  <c r="I305" i="86"/>
  <c r="E305" i="86"/>
  <c r="C305" i="86"/>
  <c r="R304" i="86"/>
  <c r="S304" i="86" s="1"/>
  <c r="Q304" i="86"/>
  <c r="O304" i="86"/>
  <c r="M304" i="86"/>
  <c r="K304" i="86"/>
  <c r="I304" i="86"/>
  <c r="E304" i="86"/>
  <c r="C304" i="86"/>
  <c r="R303" i="86"/>
  <c r="S303" i="86" s="1"/>
  <c r="Q303" i="86"/>
  <c r="O303" i="86"/>
  <c r="M303" i="86"/>
  <c r="K303" i="86"/>
  <c r="I303" i="86"/>
  <c r="E303" i="86"/>
  <c r="C303" i="86"/>
  <c r="R302" i="86"/>
  <c r="S302" i="86" s="1"/>
  <c r="Q302" i="86"/>
  <c r="O302" i="86"/>
  <c r="M302" i="86"/>
  <c r="K302" i="86"/>
  <c r="I302" i="86"/>
  <c r="E302" i="86"/>
  <c r="C302" i="86"/>
  <c r="R301" i="86"/>
  <c r="S301" i="86" s="1"/>
  <c r="Q301" i="86"/>
  <c r="O301" i="86"/>
  <c r="M301" i="86"/>
  <c r="K301" i="86"/>
  <c r="I301" i="86"/>
  <c r="E301" i="86"/>
  <c r="C301" i="86"/>
  <c r="R300" i="86"/>
  <c r="S300" i="86" s="1"/>
  <c r="Q300" i="86"/>
  <c r="O300" i="86"/>
  <c r="M300" i="86"/>
  <c r="K300" i="86"/>
  <c r="I300" i="86"/>
  <c r="E300" i="86"/>
  <c r="C300" i="86"/>
  <c r="R299" i="86"/>
  <c r="S299" i="86" s="1"/>
  <c r="Q299" i="86"/>
  <c r="O299" i="86"/>
  <c r="M299" i="86"/>
  <c r="K299" i="86"/>
  <c r="I299" i="86"/>
  <c r="E299" i="86"/>
  <c r="C299" i="86"/>
  <c r="R298" i="86"/>
  <c r="S298" i="86" s="1"/>
  <c r="Q298" i="86"/>
  <c r="O298" i="86"/>
  <c r="M298" i="86"/>
  <c r="K298" i="86"/>
  <c r="I298" i="86"/>
  <c r="E298" i="86"/>
  <c r="C298" i="86"/>
  <c r="R297" i="86"/>
  <c r="S297" i="86" s="1"/>
  <c r="Q297" i="86"/>
  <c r="O297" i="86"/>
  <c r="M297" i="86"/>
  <c r="K297" i="86"/>
  <c r="I297" i="86"/>
  <c r="E297" i="86"/>
  <c r="C297" i="86"/>
  <c r="R296" i="86"/>
  <c r="S296" i="86" s="1"/>
  <c r="Q296" i="86"/>
  <c r="O296" i="86"/>
  <c r="M296" i="86"/>
  <c r="K296" i="86"/>
  <c r="I296" i="86"/>
  <c r="E296" i="86"/>
  <c r="C296" i="86"/>
  <c r="R295" i="86"/>
  <c r="S295" i="86" s="1"/>
  <c r="Q295" i="86"/>
  <c r="O295" i="86"/>
  <c r="M295" i="86"/>
  <c r="K295" i="86"/>
  <c r="I295" i="86"/>
  <c r="E295" i="86"/>
  <c r="C295" i="86"/>
  <c r="R294" i="86"/>
  <c r="S294" i="86" s="1"/>
  <c r="Q294" i="86"/>
  <c r="O294" i="86"/>
  <c r="M294" i="86"/>
  <c r="K294" i="86"/>
  <c r="I294" i="86"/>
  <c r="E294" i="86"/>
  <c r="C294" i="86"/>
  <c r="R293" i="86"/>
  <c r="S293" i="86" s="1"/>
  <c r="Q293" i="86"/>
  <c r="O293" i="86"/>
  <c r="M293" i="86"/>
  <c r="K293" i="86"/>
  <c r="I293" i="86"/>
  <c r="E293" i="86"/>
  <c r="C293" i="86"/>
  <c r="R292" i="86"/>
  <c r="S292" i="86" s="1"/>
  <c r="Q292" i="86"/>
  <c r="O292" i="86"/>
  <c r="M292" i="86"/>
  <c r="K292" i="86"/>
  <c r="I292" i="86"/>
  <c r="E292" i="86"/>
  <c r="C292" i="86"/>
  <c r="R291" i="86"/>
  <c r="S291" i="86" s="1"/>
  <c r="Q291" i="86"/>
  <c r="O291" i="86"/>
  <c r="M291" i="86"/>
  <c r="K291" i="86"/>
  <c r="I291" i="86"/>
  <c r="E291" i="86"/>
  <c r="C291" i="86"/>
  <c r="R290" i="86"/>
  <c r="S290" i="86" s="1"/>
  <c r="Q290" i="86"/>
  <c r="O290" i="86"/>
  <c r="M290" i="86"/>
  <c r="K290" i="86"/>
  <c r="I290" i="86"/>
  <c r="E290" i="86"/>
  <c r="C290" i="86"/>
  <c r="R289" i="86"/>
  <c r="S289" i="86" s="1"/>
  <c r="Q289" i="86"/>
  <c r="O289" i="86"/>
  <c r="M289" i="86"/>
  <c r="K289" i="86"/>
  <c r="I289" i="86"/>
  <c r="E289" i="86"/>
  <c r="C289" i="86"/>
  <c r="R288" i="86"/>
  <c r="S288" i="86" s="1"/>
  <c r="Q288" i="86"/>
  <c r="O288" i="86"/>
  <c r="M288" i="86"/>
  <c r="K288" i="86"/>
  <c r="I288" i="86"/>
  <c r="E288" i="86"/>
  <c r="C288" i="86"/>
  <c r="R287" i="86"/>
  <c r="S287" i="86" s="1"/>
  <c r="Q287" i="86"/>
  <c r="O287" i="86"/>
  <c r="M287" i="86"/>
  <c r="K287" i="86"/>
  <c r="I287" i="86"/>
  <c r="E287" i="86"/>
  <c r="C287" i="86"/>
  <c r="R286" i="86"/>
  <c r="S286" i="86" s="1"/>
  <c r="Q286" i="86"/>
  <c r="O286" i="86"/>
  <c r="M286" i="86"/>
  <c r="K286" i="86"/>
  <c r="I286" i="86"/>
  <c r="E286" i="86"/>
  <c r="C286" i="86"/>
  <c r="R285" i="86"/>
  <c r="S285" i="86" s="1"/>
  <c r="Q285" i="86"/>
  <c r="O285" i="86"/>
  <c r="M285" i="86"/>
  <c r="K285" i="86"/>
  <c r="I285" i="86"/>
  <c r="E285" i="86"/>
  <c r="C285" i="86"/>
  <c r="R284" i="86"/>
  <c r="S284" i="86" s="1"/>
  <c r="Q284" i="86"/>
  <c r="O284" i="86"/>
  <c r="M284" i="86"/>
  <c r="K284" i="86"/>
  <c r="I284" i="86"/>
  <c r="E284" i="86"/>
  <c r="C284" i="86"/>
  <c r="R283" i="86"/>
  <c r="S283" i="86" s="1"/>
  <c r="Q283" i="86"/>
  <c r="O283" i="86"/>
  <c r="M283" i="86"/>
  <c r="K283" i="86"/>
  <c r="I283" i="86"/>
  <c r="E283" i="86"/>
  <c r="C283" i="86"/>
  <c r="R282" i="86"/>
  <c r="S282" i="86" s="1"/>
  <c r="Q282" i="86"/>
  <c r="O282" i="86"/>
  <c r="M282" i="86"/>
  <c r="K282" i="86"/>
  <c r="I282" i="86"/>
  <c r="E282" i="86"/>
  <c r="C282" i="86"/>
  <c r="R281" i="86"/>
  <c r="S281" i="86" s="1"/>
  <c r="Q281" i="86"/>
  <c r="O281" i="86"/>
  <c r="M281" i="86"/>
  <c r="K281" i="86"/>
  <c r="I281" i="86"/>
  <c r="E281" i="86"/>
  <c r="C281" i="86"/>
  <c r="R280" i="86"/>
  <c r="S280" i="86" s="1"/>
  <c r="Q280" i="86"/>
  <c r="O280" i="86"/>
  <c r="M280" i="86"/>
  <c r="K280" i="86"/>
  <c r="I280" i="86"/>
  <c r="E280" i="86"/>
  <c r="C280" i="86"/>
  <c r="R279" i="86"/>
  <c r="S279" i="86" s="1"/>
  <c r="Q279" i="86"/>
  <c r="O279" i="86"/>
  <c r="M279" i="86"/>
  <c r="K279" i="86"/>
  <c r="I279" i="86"/>
  <c r="E279" i="86"/>
  <c r="C279" i="86"/>
  <c r="R278" i="86"/>
  <c r="S278" i="86" s="1"/>
  <c r="Q278" i="86"/>
  <c r="O278" i="86"/>
  <c r="M278" i="86"/>
  <c r="K278" i="86"/>
  <c r="I278" i="86"/>
  <c r="E278" i="86"/>
  <c r="C278" i="86"/>
  <c r="R277" i="86"/>
  <c r="S277" i="86" s="1"/>
  <c r="Q277" i="86"/>
  <c r="O277" i="86"/>
  <c r="M277" i="86"/>
  <c r="K277" i="86"/>
  <c r="I277" i="86"/>
  <c r="E277" i="86"/>
  <c r="C277" i="86"/>
  <c r="R276" i="86"/>
  <c r="S276" i="86" s="1"/>
  <c r="Q276" i="86"/>
  <c r="O276" i="86"/>
  <c r="M276" i="86"/>
  <c r="K276" i="86"/>
  <c r="I276" i="86"/>
  <c r="E276" i="86"/>
  <c r="C276" i="86"/>
  <c r="R275" i="86"/>
  <c r="S275" i="86" s="1"/>
  <c r="Q275" i="86"/>
  <c r="O275" i="86"/>
  <c r="M275" i="86"/>
  <c r="K275" i="86"/>
  <c r="I275" i="86"/>
  <c r="E275" i="86"/>
  <c r="C275" i="86"/>
  <c r="R274" i="86"/>
  <c r="S274" i="86" s="1"/>
  <c r="Q274" i="86"/>
  <c r="O274" i="86"/>
  <c r="M274" i="86"/>
  <c r="K274" i="86"/>
  <c r="I274" i="86"/>
  <c r="E274" i="86"/>
  <c r="C274" i="86"/>
  <c r="R273" i="86"/>
  <c r="S273" i="86" s="1"/>
  <c r="Q273" i="86"/>
  <c r="O273" i="86"/>
  <c r="M273" i="86"/>
  <c r="K273" i="86"/>
  <c r="I273" i="86"/>
  <c r="E273" i="86"/>
  <c r="C273" i="86"/>
  <c r="R272" i="86"/>
  <c r="S272" i="86" s="1"/>
  <c r="Q272" i="86"/>
  <c r="O272" i="86"/>
  <c r="M272" i="86"/>
  <c r="K272" i="86"/>
  <c r="I272" i="86"/>
  <c r="E272" i="86"/>
  <c r="C272" i="86"/>
  <c r="R271" i="86"/>
  <c r="S271" i="86" s="1"/>
  <c r="Q271" i="86"/>
  <c r="O271" i="86"/>
  <c r="M271" i="86"/>
  <c r="K271" i="86"/>
  <c r="I271" i="86"/>
  <c r="E271" i="86"/>
  <c r="C271" i="86"/>
  <c r="R270" i="86"/>
  <c r="S270" i="86" s="1"/>
  <c r="Q270" i="86"/>
  <c r="O270" i="86"/>
  <c r="M270" i="86"/>
  <c r="K270" i="86"/>
  <c r="I270" i="86"/>
  <c r="E270" i="86"/>
  <c r="C270" i="86"/>
  <c r="R269" i="86"/>
  <c r="S269" i="86" s="1"/>
  <c r="Q269" i="86"/>
  <c r="O269" i="86"/>
  <c r="M269" i="86"/>
  <c r="K269" i="86"/>
  <c r="I269" i="86"/>
  <c r="E269" i="86"/>
  <c r="C269" i="86"/>
  <c r="R268" i="86"/>
  <c r="S268" i="86" s="1"/>
  <c r="Q268" i="86"/>
  <c r="O268" i="86"/>
  <c r="M268" i="86"/>
  <c r="K268" i="86"/>
  <c r="I268" i="86"/>
  <c r="E268" i="86"/>
  <c r="C268" i="86"/>
  <c r="R267" i="86"/>
  <c r="S267" i="86" s="1"/>
  <c r="Q267" i="86"/>
  <c r="O267" i="86"/>
  <c r="M267" i="86"/>
  <c r="K267" i="86"/>
  <c r="I267" i="86"/>
  <c r="E267" i="86"/>
  <c r="C267" i="86"/>
  <c r="R266" i="86"/>
  <c r="S266" i="86" s="1"/>
  <c r="Q266" i="86"/>
  <c r="O266" i="86"/>
  <c r="M266" i="86"/>
  <c r="K266" i="86"/>
  <c r="I266" i="86"/>
  <c r="E266" i="86"/>
  <c r="C266" i="86"/>
  <c r="R265" i="86"/>
  <c r="S265" i="86" s="1"/>
  <c r="Q265" i="86"/>
  <c r="O265" i="86"/>
  <c r="M265" i="86"/>
  <c r="K265" i="86"/>
  <c r="I265" i="86"/>
  <c r="E265" i="86"/>
  <c r="C265" i="86"/>
  <c r="R264" i="86"/>
  <c r="S264" i="86" s="1"/>
  <c r="Q264" i="86"/>
  <c r="O264" i="86"/>
  <c r="M264" i="86"/>
  <c r="K264" i="86"/>
  <c r="I264" i="86"/>
  <c r="E264" i="86"/>
  <c r="C264" i="86"/>
  <c r="R263" i="86"/>
  <c r="S263" i="86" s="1"/>
  <c r="Q263" i="86"/>
  <c r="O263" i="86"/>
  <c r="M263" i="86"/>
  <c r="K263" i="86"/>
  <c r="I263" i="86"/>
  <c r="E263" i="86"/>
  <c r="C263" i="86"/>
  <c r="R262" i="86"/>
  <c r="S262" i="86" s="1"/>
  <c r="Q262" i="86"/>
  <c r="O262" i="86"/>
  <c r="M262" i="86"/>
  <c r="K262" i="86"/>
  <c r="I262" i="86"/>
  <c r="E262" i="86"/>
  <c r="C262" i="86"/>
  <c r="R261" i="86"/>
  <c r="S261" i="86" s="1"/>
  <c r="Q261" i="86"/>
  <c r="O261" i="86"/>
  <c r="M261" i="86"/>
  <c r="K261" i="86"/>
  <c r="I261" i="86"/>
  <c r="E261" i="86"/>
  <c r="C261" i="86"/>
  <c r="R260" i="86"/>
  <c r="S260" i="86" s="1"/>
  <c r="Q260" i="86"/>
  <c r="O260" i="86"/>
  <c r="M260" i="86"/>
  <c r="K260" i="86"/>
  <c r="I260" i="86"/>
  <c r="E260" i="86"/>
  <c r="C260" i="86"/>
  <c r="R259" i="86"/>
  <c r="S259" i="86" s="1"/>
  <c r="Q259" i="86"/>
  <c r="O259" i="86"/>
  <c r="M259" i="86"/>
  <c r="K259" i="86"/>
  <c r="I259" i="86"/>
  <c r="E259" i="86"/>
  <c r="C259" i="86"/>
  <c r="R258" i="86"/>
  <c r="S258" i="86" s="1"/>
  <c r="Q258" i="86"/>
  <c r="O258" i="86"/>
  <c r="M258" i="86"/>
  <c r="K258" i="86"/>
  <c r="I258" i="86"/>
  <c r="E258" i="86"/>
  <c r="C258" i="86"/>
  <c r="R257" i="86"/>
  <c r="S257" i="86" s="1"/>
  <c r="Q257" i="86"/>
  <c r="O257" i="86"/>
  <c r="M257" i="86"/>
  <c r="K257" i="86"/>
  <c r="I257" i="86"/>
  <c r="E257" i="86"/>
  <c r="C257" i="86"/>
  <c r="R256" i="86"/>
  <c r="S256" i="86" s="1"/>
  <c r="Q256" i="86"/>
  <c r="O256" i="86"/>
  <c r="M256" i="86"/>
  <c r="K256" i="86"/>
  <c r="I256" i="86"/>
  <c r="E256" i="86"/>
  <c r="C256" i="86"/>
  <c r="R255" i="86"/>
  <c r="S255" i="86" s="1"/>
  <c r="Q255" i="86"/>
  <c r="O255" i="86"/>
  <c r="M255" i="86"/>
  <c r="K255" i="86"/>
  <c r="I255" i="86"/>
  <c r="E255" i="86"/>
  <c r="C255" i="86"/>
  <c r="R254" i="86"/>
  <c r="S254" i="86" s="1"/>
  <c r="Q254" i="86"/>
  <c r="O254" i="86"/>
  <c r="M254" i="86"/>
  <c r="K254" i="86"/>
  <c r="I254" i="86"/>
  <c r="E254" i="86"/>
  <c r="C254" i="86"/>
  <c r="R253" i="86"/>
  <c r="S253" i="86" s="1"/>
  <c r="Q253" i="86"/>
  <c r="O253" i="86"/>
  <c r="M253" i="86"/>
  <c r="K253" i="86"/>
  <c r="I253" i="86"/>
  <c r="E253" i="86"/>
  <c r="C253" i="86"/>
  <c r="R252" i="86"/>
  <c r="S252" i="86" s="1"/>
  <c r="Q252" i="86"/>
  <c r="O252" i="86"/>
  <c r="M252" i="86"/>
  <c r="K252" i="86"/>
  <c r="I252" i="86"/>
  <c r="E252" i="86"/>
  <c r="C252" i="86"/>
  <c r="R251" i="86"/>
  <c r="S251" i="86" s="1"/>
  <c r="Q251" i="86"/>
  <c r="O251" i="86"/>
  <c r="M251" i="86"/>
  <c r="K251" i="86"/>
  <c r="I251" i="86"/>
  <c r="E251" i="86"/>
  <c r="C251" i="86"/>
  <c r="R250" i="86"/>
  <c r="S250" i="86" s="1"/>
  <c r="Q250" i="86"/>
  <c r="O250" i="86"/>
  <c r="M250" i="86"/>
  <c r="K250" i="86"/>
  <c r="I250" i="86"/>
  <c r="E250" i="86"/>
  <c r="C250" i="86"/>
  <c r="R249" i="86"/>
  <c r="S249" i="86" s="1"/>
  <c r="Q249" i="86"/>
  <c r="O249" i="86"/>
  <c r="M249" i="86"/>
  <c r="K249" i="86"/>
  <c r="I249" i="86"/>
  <c r="E249" i="86"/>
  <c r="C249" i="86"/>
  <c r="R248" i="86"/>
  <c r="S248" i="86" s="1"/>
  <c r="Q248" i="86"/>
  <c r="O248" i="86"/>
  <c r="M248" i="86"/>
  <c r="K248" i="86"/>
  <c r="I248" i="86"/>
  <c r="E248" i="86"/>
  <c r="C248" i="86"/>
  <c r="R247" i="86"/>
  <c r="S247" i="86" s="1"/>
  <c r="Q247" i="86"/>
  <c r="O247" i="86"/>
  <c r="M247" i="86"/>
  <c r="K247" i="86"/>
  <c r="I247" i="86"/>
  <c r="E247" i="86"/>
  <c r="C247" i="86"/>
  <c r="R246" i="86"/>
  <c r="S246" i="86" s="1"/>
  <c r="Q246" i="86"/>
  <c r="O246" i="86"/>
  <c r="M246" i="86"/>
  <c r="K246" i="86"/>
  <c r="I246" i="86"/>
  <c r="E246" i="86"/>
  <c r="C246" i="86"/>
  <c r="R245" i="86"/>
  <c r="S245" i="86" s="1"/>
  <c r="Q245" i="86"/>
  <c r="O245" i="86"/>
  <c r="M245" i="86"/>
  <c r="K245" i="86"/>
  <c r="I245" i="86"/>
  <c r="E245" i="86"/>
  <c r="C245" i="86"/>
  <c r="R244" i="86"/>
  <c r="S244" i="86" s="1"/>
  <c r="Q244" i="86"/>
  <c r="O244" i="86"/>
  <c r="M244" i="86"/>
  <c r="K244" i="86"/>
  <c r="I244" i="86"/>
  <c r="E244" i="86"/>
  <c r="C244" i="86"/>
  <c r="R243" i="86"/>
  <c r="S243" i="86" s="1"/>
  <c r="Q243" i="86"/>
  <c r="O243" i="86"/>
  <c r="M243" i="86"/>
  <c r="K243" i="86"/>
  <c r="I243" i="86"/>
  <c r="E243" i="86"/>
  <c r="C243" i="86"/>
  <c r="R242" i="86"/>
  <c r="S242" i="86" s="1"/>
  <c r="Q242" i="86"/>
  <c r="O242" i="86"/>
  <c r="M242" i="86"/>
  <c r="K242" i="86"/>
  <c r="I242" i="86"/>
  <c r="E242" i="86"/>
  <c r="C242" i="86"/>
  <c r="R241" i="86"/>
  <c r="S241" i="86" s="1"/>
  <c r="Q241" i="86"/>
  <c r="O241" i="86"/>
  <c r="M241" i="86"/>
  <c r="K241" i="86"/>
  <c r="I241" i="86"/>
  <c r="E241" i="86"/>
  <c r="C241" i="86"/>
  <c r="R240" i="86"/>
  <c r="S240" i="86" s="1"/>
  <c r="Q240" i="86"/>
  <c r="O240" i="86"/>
  <c r="M240" i="86"/>
  <c r="K240" i="86"/>
  <c r="I240" i="86"/>
  <c r="E240" i="86"/>
  <c r="C240" i="86"/>
  <c r="R239" i="86"/>
  <c r="S239" i="86" s="1"/>
  <c r="Q239" i="86"/>
  <c r="O239" i="86"/>
  <c r="M239" i="86"/>
  <c r="K239" i="86"/>
  <c r="I239" i="86"/>
  <c r="E239" i="86"/>
  <c r="C239" i="86"/>
  <c r="R238" i="86"/>
  <c r="S238" i="86" s="1"/>
  <c r="Q238" i="86"/>
  <c r="O238" i="86"/>
  <c r="M238" i="86"/>
  <c r="K238" i="86"/>
  <c r="I238" i="86"/>
  <c r="E238" i="86"/>
  <c r="C238" i="86"/>
  <c r="R237" i="86"/>
  <c r="S237" i="86" s="1"/>
  <c r="Q237" i="86"/>
  <c r="O237" i="86"/>
  <c r="M237" i="86"/>
  <c r="K237" i="86"/>
  <c r="I237" i="86"/>
  <c r="E237" i="86"/>
  <c r="C237" i="86"/>
  <c r="R236" i="86"/>
  <c r="S236" i="86" s="1"/>
  <c r="Q236" i="86"/>
  <c r="O236" i="86"/>
  <c r="M236" i="86"/>
  <c r="K236" i="86"/>
  <c r="I236" i="86"/>
  <c r="E236" i="86"/>
  <c r="C236" i="86"/>
  <c r="R235" i="86"/>
  <c r="S235" i="86" s="1"/>
  <c r="Q235" i="86"/>
  <c r="O235" i="86"/>
  <c r="M235" i="86"/>
  <c r="K235" i="86"/>
  <c r="I235" i="86"/>
  <c r="E235" i="86"/>
  <c r="C235" i="86"/>
  <c r="R234" i="86"/>
  <c r="S234" i="86" s="1"/>
  <c r="Q234" i="86"/>
  <c r="O234" i="86"/>
  <c r="M234" i="86"/>
  <c r="K234" i="86"/>
  <c r="I234" i="86"/>
  <c r="E234" i="86"/>
  <c r="C234" i="86"/>
  <c r="R233" i="86"/>
  <c r="S233" i="86" s="1"/>
  <c r="Q233" i="86"/>
  <c r="O233" i="86"/>
  <c r="M233" i="86"/>
  <c r="K233" i="86"/>
  <c r="I233" i="86"/>
  <c r="E233" i="86"/>
  <c r="C233" i="86"/>
  <c r="R232" i="86"/>
  <c r="S232" i="86" s="1"/>
  <c r="Q232" i="86"/>
  <c r="O232" i="86"/>
  <c r="M232" i="86"/>
  <c r="K232" i="86"/>
  <c r="I232" i="86"/>
  <c r="E232" i="86"/>
  <c r="C232" i="86"/>
  <c r="R231" i="86"/>
  <c r="S231" i="86" s="1"/>
  <c r="Q231" i="86"/>
  <c r="O231" i="86"/>
  <c r="M231" i="86"/>
  <c r="K231" i="86"/>
  <c r="I231" i="86"/>
  <c r="E231" i="86"/>
  <c r="C231" i="86"/>
  <c r="R230" i="86"/>
  <c r="S230" i="86" s="1"/>
  <c r="Q230" i="86"/>
  <c r="O230" i="86"/>
  <c r="M230" i="86"/>
  <c r="K230" i="86"/>
  <c r="I230" i="86"/>
  <c r="E230" i="86"/>
  <c r="C230" i="86"/>
  <c r="R229" i="86"/>
  <c r="S229" i="86" s="1"/>
  <c r="Q229" i="86"/>
  <c r="O229" i="86"/>
  <c r="M229" i="86"/>
  <c r="K229" i="86"/>
  <c r="I229" i="86"/>
  <c r="E229" i="86"/>
  <c r="C229" i="86"/>
  <c r="R228" i="86"/>
  <c r="S228" i="86" s="1"/>
  <c r="Q228" i="86"/>
  <c r="O228" i="86"/>
  <c r="M228" i="86"/>
  <c r="K228" i="86"/>
  <c r="I228" i="86"/>
  <c r="E228" i="86"/>
  <c r="C228" i="86"/>
  <c r="R227" i="86"/>
  <c r="S227" i="86" s="1"/>
  <c r="Q227" i="86"/>
  <c r="O227" i="86"/>
  <c r="M227" i="86"/>
  <c r="K227" i="86"/>
  <c r="I227" i="86"/>
  <c r="E227" i="86"/>
  <c r="C227" i="86"/>
  <c r="R226" i="86"/>
  <c r="S226" i="86" s="1"/>
  <c r="Q226" i="86"/>
  <c r="O226" i="86"/>
  <c r="M226" i="86"/>
  <c r="K226" i="86"/>
  <c r="I226" i="86"/>
  <c r="E226" i="86"/>
  <c r="C226" i="86"/>
  <c r="R225" i="86"/>
  <c r="S225" i="86" s="1"/>
  <c r="Q225" i="86"/>
  <c r="O225" i="86"/>
  <c r="M225" i="86"/>
  <c r="K225" i="86"/>
  <c r="I225" i="86"/>
  <c r="E225" i="86"/>
  <c r="C225" i="86"/>
  <c r="R224" i="86"/>
  <c r="S224" i="86" s="1"/>
  <c r="Q224" i="86"/>
  <c r="O224" i="86"/>
  <c r="M224" i="86"/>
  <c r="K224" i="86"/>
  <c r="I224" i="86"/>
  <c r="E224" i="86"/>
  <c r="C224" i="86"/>
  <c r="R223" i="86"/>
  <c r="S223" i="86" s="1"/>
  <c r="Q223" i="86"/>
  <c r="O223" i="86"/>
  <c r="M223" i="86"/>
  <c r="K223" i="86"/>
  <c r="I223" i="86"/>
  <c r="E223" i="86"/>
  <c r="C223" i="86"/>
  <c r="R222" i="86"/>
  <c r="S222" i="86" s="1"/>
  <c r="Q222" i="86"/>
  <c r="O222" i="86"/>
  <c r="M222" i="86"/>
  <c r="K222" i="86"/>
  <c r="I222" i="86"/>
  <c r="E222" i="86"/>
  <c r="C222" i="86"/>
  <c r="R221" i="86"/>
  <c r="S221" i="86" s="1"/>
  <c r="Q221" i="86"/>
  <c r="O221" i="86"/>
  <c r="M221" i="86"/>
  <c r="K221" i="86"/>
  <c r="I221" i="86"/>
  <c r="E221" i="86"/>
  <c r="C221" i="86"/>
  <c r="R220" i="86"/>
  <c r="S220" i="86" s="1"/>
  <c r="Q220" i="86"/>
  <c r="O220" i="86"/>
  <c r="M220" i="86"/>
  <c r="K220" i="86"/>
  <c r="I220" i="86"/>
  <c r="E220" i="86"/>
  <c r="C220" i="86"/>
  <c r="R219" i="86"/>
  <c r="S219" i="86" s="1"/>
  <c r="Q219" i="86"/>
  <c r="O219" i="86"/>
  <c r="M219" i="86"/>
  <c r="K219" i="86"/>
  <c r="I219" i="86"/>
  <c r="E219" i="86"/>
  <c r="C219" i="86"/>
  <c r="R218" i="86"/>
  <c r="S218" i="86" s="1"/>
  <c r="Q218" i="86"/>
  <c r="O218" i="86"/>
  <c r="M218" i="86"/>
  <c r="K218" i="86"/>
  <c r="I218" i="86"/>
  <c r="E218" i="86"/>
  <c r="C218" i="86"/>
  <c r="R217" i="86"/>
  <c r="S217" i="86" s="1"/>
  <c r="Q217" i="86"/>
  <c r="O217" i="86"/>
  <c r="M217" i="86"/>
  <c r="K217" i="86"/>
  <c r="I217" i="86"/>
  <c r="E217" i="86"/>
  <c r="C217" i="86"/>
  <c r="R216" i="86"/>
  <c r="S216" i="86" s="1"/>
  <c r="Q216" i="86"/>
  <c r="O216" i="86"/>
  <c r="M216" i="86"/>
  <c r="K216" i="86"/>
  <c r="I216" i="86"/>
  <c r="E216" i="86"/>
  <c r="C216" i="86"/>
  <c r="R215" i="86"/>
  <c r="S215" i="86" s="1"/>
  <c r="Q215" i="86"/>
  <c r="O215" i="86"/>
  <c r="M215" i="86"/>
  <c r="K215" i="86"/>
  <c r="I215" i="86"/>
  <c r="E215" i="86"/>
  <c r="C215" i="86"/>
  <c r="R214" i="86"/>
  <c r="S214" i="86" s="1"/>
  <c r="Q214" i="86"/>
  <c r="O214" i="86"/>
  <c r="M214" i="86"/>
  <c r="K214" i="86"/>
  <c r="I214" i="86"/>
  <c r="E214" i="86"/>
  <c r="C214" i="86"/>
  <c r="R213" i="86"/>
  <c r="S213" i="86" s="1"/>
  <c r="Q213" i="86"/>
  <c r="O213" i="86"/>
  <c r="M213" i="86"/>
  <c r="K213" i="86"/>
  <c r="I213" i="86"/>
  <c r="E213" i="86"/>
  <c r="C213" i="86"/>
  <c r="R212" i="86"/>
  <c r="S212" i="86" s="1"/>
  <c r="Q212" i="86"/>
  <c r="O212" i="86"/>
  <c r="M212" i="86"/>
  <c r="K212" i="86"/>
  <c r="I212" i="86"/>
  <c r="E212" i="86"/>
  <c r="C212" i="86"/>
  <c r="R211" i="86"/>
  <c r="S211" i="86" s="1"/>
  <c r="Q211" i="86"/>
  <c r="O211" i="86"/>
  <c r="M211" i="86"/>
  <c r="K211" i="86"/>
  <c r="I211" i="86"/>
  <c r="E211" i="86"/>
  <c r="C211" i="86"/>
  <c r="R210" i="86"/>
  <c r="S210" i="86" s="1"/>
  <c r="Q210" i="86"/>
  <c r="O210" i="86"/>
  <c r="M210" i="86"/>
  <c r="K210" i="86"/>
  <c r="I210" i="86"/>
  <c r="E210" i="86"/>
  <c r="C210" i="86"/>
  <c r="R209" i="86"/>
  <c r="S209" i="86" s="1"/>
  <c r="Q209" i="86"/>
  <c r="O209" i="86"/>
  <c r="M209" i="86"/>
  <c r="K209" i="86"/>
  <c r="I209" i="86"/>
  <c r="E209" i="86"/>
  <c r="C209" i="86"/>
  <c r="R208" i="86"/>
  <c r="S208" i="86" s="1"/>
  <c r="Q208" i="86"/>
  <c r="O208" i="86"/>
  <c r="M208" i="86"/>
  <c r="K208" i="86"/>
  <c r="I208" i="86"/>
  <c r="E208" i="86"/>
  <c r="C208" i="86"/>
  <c r="R207" i="86"/>
  <c r="S207" i="86" s="1"/>
  <c r="Q207" i="86"/>
  <c r="O207" i="86"/>
  <c r="M207" i="86"/>
  <c r="K207" i="86"/>
  <c r="I207" i="86"/>
  <c r="E207" i="86"/>
  <c r="C207" i="86"/>
  <c r="R206" i="86"/>
  <c r="S206" i="86" s="1"/>
  <c r="Q206" i="86"/>
  <c r="O206" i="86"/>
  <c r="M206" i="86"/>
  <c r="K206" i="86"/>
  <c r="I206" i="86"/>
  <c r="E206" i="86"/>
  <c r="C206" i="86"/>
  <c r="R205" i="86"/>
  <c r="S205" i="86" s="1"/>
  <c r="Q205" i="86"/>
  <c r="O205" i="86"/>
  <c r="M205" i="86"/>
  <c r="K205" i="86"/>
  <c r="I205" i="86"/>
  <c r="E205" i="86"/>
  <c r="C205" i="86"/>
  <c r="R204" i="86"/>
  <c r="S204" i="86" s="1"/>
  <c r="Q204" i="86"/>
  <c r="O204" i="86"/>
  <c r="M204" i="86"/>
  <c r="K204" i="86"/>
  <c r="I204" i="86"/>
  <c r="E204" i="86"/>
  <c r="C204" i="86"/>
  <c r="R203" i="86"/>
  <c r="S203" i="86" s="1"/>
  <c r="Q203" i="86"/>
  <c r="O203" i="86"/>
  <c r="M203" i="86"/>
  <c r="K203" i="86"/>
  <c r="I203" i="86"/>
  <c r="E203" i="86"/>
  <c r="C203" i="86"/>
  <c r="R202" i="86"/>
  <c r="S202" i="86" s="1"/>
  <c r="Q202" i="86"/>
  <c r="O202" i="86"/>
  <c r="M202" i="86"/>
  <c r="K202" i="86"/>
  <c r="I202" i="86"/>
  <c r="E202" i="86"/>
  <c r="C202" i="86"/>
  <c r="R201" i="86"/>
  <c r="S201" i="86" s="1"/>
  <c r="Q201" i="86"/>
  <c r="O201" i="86"/>
  <c r="M201" i="86"/>
  <c r="K201" i="86"/>
  <c r="I201" i="86"/>
  <c r="E201" i="86"/>
  <c r="C201" i="86"/>
  <c r="R200" i="86"/>
  <c r="S200" i="86" s="1"/>
  <c r="Q200" i="86"/>
  <c r="O200" i="86"/>
  <c r="M200" i="86"/>
  <c r="K200" i="86"/>
  <c r="I200" i="86"/>
  <c r="E200" i="86"/>
  <c r="C200" i="86"/>
  <c r="R199" i="86"/>
  <c r="S199" i="86" s="1"/>
  <c r="Q199" i="86"/>
  <c r="O199" i="86"/>
  <c r="M199" i="86"/>
  <c r="K199" i="86"/>
  <c r="I199" i="86"/>
  <c r="E199" i="86"/>
  <c r="C199" i="86"/>
  <c r="R198" i="86"/>
  <c r="S198" i="86" s="1"/>
  <c r="Q198" i="86"/>
  <c r="O198" i="86"/>
  <c r="M198" i="86"/>
  <c r="K198" i="86"/>
  <c r="I198" i="86"/>
  <c r="E198" i="86"/>
  <c r="C198" i="86"/>
  <c r="R197" i="86"/>
  <c r="S197" i="86" s="1"/>
  <c r="Q197" i="86"/>
  <c r="O197" i="86"/>
  <c r="M197" i="86"/>
  <c r="K197" i="86"/>
  <c r="I197" i="86"/>
  <c r="E197" i="86"/>
  <c r="C197" i="86"/>
  <c r="R196" i="86"/>
  <c r="S196" i="86" s="1"/>
  <c r="Q196" i="86"/>
  <c r="O196" i="86"/>
  <c r="M196" i="86"/>
  <c r="K196" i="86"/>
  <c r="I196" i="86"/>
  <c r="E196" i="86"/>
  <c r="C196" i="86"/>
  <c r="R195" i="86"/>
  <c r="S195" i="86" s="1"/>
  <c r="Q195" i="86"/>
  <c r="O195" i="86"/>
  <c r="M195" i="86"/>
  <c r="K195" i="86"/>
  <c r="I195" i="86"/>
  <c r="E195" i="86"/>
  <c r="C195" i="86"/>
  <c r="R194" i="86"/>
  <c r="S194" i="86" s="1"/>
  <c r="Q194" i="86"/>
  <c r="O194" i="86"/>
  <c r="M194" i="86"/>
  <c r="K194" i="86"/>
  <c r="I194" i="86"/>
  <c r="E194" i="86"/>
  <c r="C194" i="86"/>
  <c r="R193" i="86"/>
  <c r="S193" i="86" s="1"/>
  <c r="Q193" i="86"/>
  <c r="O193" i="86"/>
  <c r="M193" i="86"/>
  <c r="K193" i="86"/>
  <c r="I193" i="86"/>
  <c r="E193" i="86"/>
  <c r="C193" i="86"/>
  <c r="R192" i="86"/>
  <c r="S192" i="86" s="1"/>
  <c r="Q192" i="86"/>
  <c r="O192" i="86"/>
  <c r="M192" i="86"/>
  <c r="K192" i="86"/>
  <c r="I192" i="86"/>
  <c r="E192" i="86"/>
  <c r="C192" i="86"/>
  <c r="R191" i="86"/>
  <c r="S191" i="86" s="1"/>
  <c r="Q191" i="86"/>
  <c r="O191" i="86"/>
  <c r="M191" i="86"/>
  <c r="K191" i="86"/>
  <c r="I191" i="86"/>
  <c r="E191" i="86"/>
  <c r="C191" i="86"/>
  <c r="R190" i="86"/>
  <c r="S190" i="86" s="1"/>
  <c r="Q190" i="86"/>
  <c r="O190" i="86"/>
  <c r="M190" i="86"/>
  <c r="K190" i="86"/>
  <c r="I190" i="86"/>
  <c r="E190" i="86"/>
  <c r="C190" i="86"/>
  <c r="R189" i="86"/>
  <c r="S189" i="86" s="1"/>
  <c r="Q189" i="86"/>
  <c r="O189" i="86"/>
  <c r="M189" i="86"/>
  <c r="K189" i="86"/>
  <c r="I189" i="86"/>
  <c r="E189" i="86"/>
  <c r="C189" i="86"/>
  <c r="R188" i="86"/>
  <c r="S188" i="86" s="1"/>
  <c r="Q188" i="86"/>
  <c r="O188" i="86"/>
  <c r="M188" i="86"/>
  <c r="K188" i="86"/>
  <c r="I188" i="86"/>
  <c r="E188" i="86"/>
  <c r="C188" i="86"/>
  <c r="R187" i="86"/>
  <c r="S187" i="86" s="1"/>
  <c r="Q187" i="86"/>
  <c r="O187" i="86"/>
  <c r="M187" i="86"/>
  <c r="K187" i="86"/>
  <c r="I187" i="86"/>
  <c r="E187" i="86"/>
  <c r="C187" i="86"/>
  <c r="R186" i="86"/>
  <c r="S186" i="86" s="1"/>
  <c r="Q186" i="86"/>
  <c r="O186" i="86"/>
  <c r="M186" i="86"/>
  <c r="K186" i="86"/>
  <c r="I186" i="86"/>
  <c r="E186" i="86"/>
  <c r="C186" i="86"/>
  <c r="R185" i="86"/>
  <c r="S185" i="86" s="1"/>
  <c r="Q185" i="86"/>
  <c r="O185" i="86"/>
  <c r="M185" i="86"/>
  <c r="K185" i="86"/>
  <c r="I185" i="86"/>
  <c r="E185" i="86"/>
  <c r="C185" i="86"/>
  <c r="R184" i="86"/>
  <c r="S184" i="86" s="1"/>
  <c r="Q184" i="86"/>
  <c r="O184" i="86"/>
  <c r="M184" i="86"/>
  <c r="K184" i="86"/>
  <c r="I184" i="86"/>
  <c r="E184" i="86"/>
  <c r="C184" i="86"/>
  <c r="R183" i="86"/>
  <c r="S183" i="86" s="1"/>
  <c r="Q183" i="86"/>
  <c r="O183" i="86"/>
  <c r="M183" i="86"/>
  <c r="K183" i="86"/>
  <c r="I183" i="86"/>
  <c r="E183" i="86"/>
  <c r="C183" i="86"/>
  <c r="R182" i="86"/>
  <c r="S182" i="86" s="1"/>
  <c r="Q182" i="86"/>
  <c r="O182" i="86"/>
  <c r="M182" i="86"/>
  <c r="K182" i="86"/>
  <c r="I182" i="86"/>
  <c r="E182" i="86"/>
  <c r="C182" i="86"/>
  <c r="R181" i="86"/>
  <c r="S181" i="86" s="1"/>
  <c r="Q181" i="86"/>
  <c r="O181" i="86"/>
  <c r="M181" i="86"/>
  <c r="K181" i="86"/>
  <c r="I181" i="86"/>
  <c r="E181" i="86"/>
  <c r="C181" i="86"/>
  <c r="R180" i="86"/>
  <c r="S180" i="86" s="1"/>
  <c r="Q180" i="86"/>
  <c r="O180" i="86"/>
  <c r="M180" i="86"/>
  <c r="K180" i="86"/>
  <c r="I180" i="86"/>
  <c r="E180" i="86"/>
  <c r="C180" i="86"/>
  <c r="R179" i="86"/>
  <c r="S179" i="86" s="1"/>
  <c r="Q179" i="86"/>
  <c r="O179" i="86"/>
  <c r="M179" i="86"/>
  <c r="K179" i="86"/>
  <c r="I179" i="86"/>
  <c r="E179" i="86"/>
  <c r="C179" i="86"/>
  <c r="R178" i="86"/>
  <c r="S178" i="86" s="1"/>
  <c r="Q178" i="86"/>
  <c r="O178" i="86"/>
  <c r="M178" i="86"/>
  <c r="K178" i="86"/>
  <c r="I178" i="86"/>
  <c r="E178" i="86"/>
  <c r="C178" i="86"/>
  <c r="R177" i="86"/>
  <c r="S177" i="86" s="1"/>
  <c r="Q177" i="86"/>
  <c r="O177" i="86"/>
  <c r="M177" i="86"/>
  <c r="K177" i="86"/>
  <c r="I177" i="86"/>
  <c r="E177" i="86"/>
  <c r="C177" i="86"/>
  <c r="R176" i="86"/>
  <c r="S176" i="86" s="1"/>
  <c r="Q176" i="86"/>
  <c r="O176" i="86"/>
  <c r="M176" i="86"/>
  <c r="K176" i="86"/>
  <c r="I176" i="86"/>
  <c r="E176" i="86"/>
  <c r="C176" i="86"/>
  <c r="R175" i="86"/>
  <c r="S175" i="86" s="1"/>
  <c r="Q175" i="86"/>
  <c r="O175" i="86"/>
  <c r="M175" i="86"/>
  <c r="K175" i="86"/>
  <c r="I175" i="86"/>
  <c r="E175" i="86"/>
  <c r="C175" i="86"/>
  <c r="R174" i="86"/>
  <c r="S174" i="86" s="1"/>
  <c r="Q174" i="86"/>
  <c r="O174" i="86"/>
  <c r="M174" i="86"/>
  <c r="K174" i="86"/>
  <c r="I174" i="86"/>
  <c r="E174" i="86"/>
  <c r="C174" i="86"/>
  <c r="R173" i="86"/>
  <c r="S173" i="86" s="1"/>
  <c r="Q173" i="86"/>
  <c r="O173" i="86"/>
  <c r="M173" i="86"/>
  <c r="K173" i="86"/>
  <c r="I173" i="86"/>
  <c r="E173" i="86"/>
  <c r="C173" i="86"/>
  <c r="R172" i="86"/>
  <c r="S172" i="86" s="1"/>
  <c r="Q172" i="86"/>
  <c r="O172" i="86"/>
  <c r="M172" i="86"/>
  <c r="K172" i="86"/>
  <c r="I172" i="86"/>
  <c r="E172" i="86"/>
  <c r="C172" i="86"/>
  <c r="R171" i="86"/>
  <c r="S171" i="86" s="1"/>
  <c r="Q171" i="86"/>
  <c r="O171" i="86"/>
  <c r="M171" i="86"/>
  <c r="K171" i="86"/>
  <c r="I171" i="86"/>
  <c r="E171" i="86"/>
  <c r="C171" i="86"/>
  <c r="R170" i="86"/>
  <c r="S170" i="86" s="1"/>
  <c r="Q170" i="86"/>
  <c r="O170" i="86"/>
  <c r="M170" i="86"/>
  <c r="K170" i="86"/>
  <c r="I170" i="86"/>
  <c r="E170" i="86"/>
  <c r="C170" i="86"/>
  <c r="R169" i="86"/>
  <c r="S169" i="86" s="1"/>
  <c r="Q169" i="86"/>
  <c r="O169" i="86"/>
  <c r="M169" i="86"/>
  <c r="K169" i="86"/>
  <c r="I169" i="86"/>
  <c r="E169" i="86"/>
  <c r="C169" i="86"/>
  <c r="R168" i="86"/>
  <c r="S168" i="86" s="1"/>
  <c r="Q168" i="86"/>
  <c r="O168" i="86"/>
  <c r="M168" i="86"/>
  <c r="K168" i="86"/>
  <c r="I168" i="86"/>
  <c r="E168" i="86"/>
  <c r="C168" i="86"/>
  <c r="R167" i="86"/>
  <c r="S167" i="86" s="1"/>
  <c r="Q167" i="86"/>
  <c r="O167" i="86"/>
  <c r="M167" i="86"/>
  <c r="K167" i="86"/>
  <c r="I167" i="86"/>
  <c r="E167" i="86"/>
  <c r="C167" i="86"/>
  <c r="R166" i="86"/>
  <c r="S166" i="86" s="1"/>
  <c r="Q166" i="86"/>
  <c r="O166" i="86"/>
  <c r="M166" i="86"/>
  <c r="K166" i="86"/>
  <c r="I166" i="86"/>
  <c r="E166" i="86"/>
  <c r="C166" i="86"/>
  <c r="R165" i="86"/>
  <c r="S165" i="86" s="1"/>
  <c r="Q165" i="86"/>
  <c r="O165" i="86"/>
  <c r="M165" i="86"/>
  <c r="K165" i="86"/>
  <c r="I165" i="86"/>
  <c r="E165" i="86"/>
  <c r="C165" i="86"/>
  <c r="R164" i="86"/>
  <c r="S164" i="86" s="1"/>
  <c r="Q164" i="86"/>
  <c r="O164" i="86"/>
  <c r="M164" i="86"/>
  <c r="K164" i="86"/>
  <c r="I164" i="86"/>
  <c r="E164" i="86"/>
  <c r="C164" i="86"/>
  <c r="R163" i="86"/>
  <c r="S163" i="86" s="1"/>
  <c r="Q163" i="86"/>
  <c r="O163" i="86"/>
  <c r="M163" i="86"/>
  <c r="K163" i="86"/>
  <c r="I163" i="86"/>
  <c r="E163" i="86"/>
  <c r="C163" i="86"/>
  <c r="R162" i="86"/>
  <c r="S162" i="86" s="1"/>
  <c r="Q162" i="86"/>
  <c r="O162" i="86"/>
  <c r="M162" i="86"/>
  <c r="K162" i="86"/>
  <c r="I162" i="86"/>
  <c r="E162" i="86"/>
  <c r="C162" i="86"/>
  <c r="R161" i="86"/>
  <c r="S161" i="86" s="1"/>
  <c r="Q161" i="86"/>
  <c r="O161" i="86"/>
  <c r="M161" i="86"/>
  <c r="K161" i="86"/>
  <c r="I161" i="86"/>
  <c r="E161" i="86"/>
  <c r="C161" i="86"/>
  <c r="R160" i="86"/>
  <c r="S160" i="86" s="1"/>
  <c r="Q160" i="86"/>
  <c r="O160" i="86"/>
  <c r="M160" i="86"/>
  <c r="K160" i="86"/>
  <c r="I160" i="86"/>
  <c r="E160" i="86"/>
  <c r="C160" i="86"/>
  <c r="R159" i="86"/>
  <c r="S159" i="86" s="1"/>
  <c r="Q159" i="86"/>
  <c r="O159" i="86"/>
  <c r="M159" i="86"/>
  <c r="K159" i="86"/>
  <c r="I159" i="86"/>
  <c r="E159" i="86"/>
  <c r="C159" i="86"/>
  <c r="R158" i="86"/>
  <c r="S158" i="86" s="1"/>
  <c r="Q158" i="86"/>
  <c r="O158" i="86"/>
  <c r="M158" i="86"/>
  <c r="K158" i="86"/>
  <c r="I158" i="86"/>
  <c r="E158" i="86"/>
  <c r="C158" i="86"/>
  <c r="R157" i="86"/>
  <c r="S157" i="86" s="1"/>
  <c r="Q157" i="86"/>
  <c r="O157" i="86"/>
  <c r="M157" i="86"/>
  <c r="K157" i="86"/>
  <c r="I157" i="86"/>
  <c r="E157" i="86"/>
  <c r="C157" i="86"/>
  <c r="R156" i="86"/>
  <c r="S156" i="86" s="1"/>
  <c r="Q156" i="86"/>
  <c r="O156" i="86"/>
  <c r="M156" i="86"/>
  <c r="K156" i="86"/>
  <c r="I156" i="86"/>
  <c r="E156" i="86"/>
  <c r="C156" i="86"/>
  <c r="R155" i="86"/>
  <c r="S155" i="86" s="1"/>
  <c r="Q155" i="86"/>
  <c r="O155" i="86"/>
  <c r="M155" i="86"/>
  <c r="K155" i="86"/>
  <c r="I155" i="86"/>
  <c r="E155" i="86"/>
  <c r="C155" i="86"/>
  <c r="R154" i="86"/>
  <c r="S154" i="86" s="1"/>
  <c r="Q154" i="86"/>
  <c r="O154" i="86"/>
  <c r="M154" i="86"/>
  <c r="K154" i="86"/>
  <c r="I154" i="86"/>
  <c r="E154" i="86"/>
  <c r="C154" i="86"/>
  <c r="R153" i="86"/>
  <c r="S153" i="86" s="1"/>
  <c r="Q153" i="86"/>
  <c r="O153" i="86"/>
  <c r="M153" i="86"/>
  <c r="K153" i="86"/>
  <c r="I153" i="86"/>
  <c r="E153" i="86"/>
  <c r="C153" i="86"/>
  <c r="R152" i="86"/>
  <c r="S152" i="86" s="1"/>
  <c r="Q152" i="86"/>
  <c r="O152" i="86"/>
  <c r="M152" i="86"/>
  <c r="K152" i="86"/>
  <c r="I152" i="86"/>
  <c r="E152" i="86"/>
  <c r="C152" i="86"/>
  <c r="R151" i="86"/>
  <c r="S151" i="86" s="1"/>
  <c r="Q151" i="86"/>
  <c r="O151" i="86"/>
  <c r="M151" i="86"/>
  <c r="K151" i="86"/>
  <c r="I151" i="86"/>
  <c r="E151" i="86"/>
  <c r="C151" i="86"/>
  <c r="R150" i="86"/>
  <c r="S150" i="86" s="1"/>
  <c r="Q150" i="86"/>
  <c r="O150" i="86"/>
  <c r="M150" i="86"/>
  <c r="K150" i="86"/>
  <c r="I150" i="86"/>
  <c r="E150" i="86"/>
  <c r="C150" i="86"/>
  <c r="R149" i="86"/>
  <c r="S149" i="86" s="1"/>
  <c r="Q149" i="86"/>
  <c r="O149" i="86"/>
  <c r="M149" i="86"/>
  <c r="K149" i="86"/>
  <c r="I149" i="86"/>
  <c r="E149" i="86"/>
  <c r="C149" i="86"/>
  <c r="R148" i="86"/>
  <c r="S148" i="86" s="1"/>
  <c r="Q148" i="86"/>
  <c r="O148" i="86"/>
  <c r="M148" i="86"/>
  <c r="K148" i="86"/>
  <c r="I148" i="86"/>
  <c r="E148" i="86"/>
  <c r="C148" i="86"/>
  <c r="R147" i="86"/>
  <c r="S147" i="86" s="1"/>
  <c r="Q147" i="86"/>
  <c r="O147" i="86"/>
  <c r="M147" i="86"/>
  <c r="K147" i="86"/>
  <c r="I147" i="86"/>
  <c r="E147" i="86"/>
  <c r="C147" i="86"/>
  <c r="R146" i="86"/>
  <c r="S146" i="86" s="1"/>
  <c r="Q146" i="86"/>
  <c r="O146" i="86"/>
  <c r="M146" i="86"/>
  <c r="K146" i="86"/>
  <c r="I146" i="86"/>
  <c r="E146" i="86"/>
  <c r="C146" i="86"/>
  <c r="R145" i="86"/>
  <c r="S145" i="86" s="1"/>
  <c r="Q145" i="86"/>
  <c r="O145" i="86"/>
  <c r="M145" i="86"/>
  <c r="K145" i="86"/>
  <c r="I145" i="86"/>
  <c r="E145" i="86"/>
  <c r="C145" i="86"/>
  <c r="R144" i="86"/>
  <c r="S144" i="86" s="1"/>
  <c r="Q144" i="86"/>
  <c r="O144" i="86"/>
  <c r="M144" i="86"/>
  <c r="K144" i="86"/>
  <c r="I144" i="86"/>
  <c r="E144" i="86"/>
  <c r="C144" i="86"/>
  <c r="R143" i="86"/>
  <c r="S143" i="86" s="1"/>
  <c r="Q143" i="86"/>
  <c r="O143" i="86"/>
  <c r="M143" i="86"/>
  <c r="K143" i="86"/>
  <c r="I143" i="86"/>
  <c r="E143" i="86"/>
  <c r="C143" i="86"/>
  <c r="R142" i="86"/>
  <c r="S142" i="86" s="1"/>
  <c r="Q142" i="86"/>
  <c r="O142" i="86"/>
  <c r="M142" i="86"/>
  <c r="K142" i="86"/>
  <c r="I142" i="86"/>
  <c r="E142" i="86"/>
  <c r="C142" i="86"/>
  <c r="R141" i="86"/>
  <c r="S141" i="86" s="1"/>
  <c r="Q141" i="86"/>
  <c r="O141" i="86"/>
  <c r="M141" i="86"/>
  <c r="K141" i="86"/>
  <c r="I141" i="86"/>
  <c r="E141" i="86"/>
  <c r="C141" i="86"/>
  <c r="R140" i="86"/>
  <c r="S140" i="86" s="1"/>
  <c r="Q140" i="86"/>
  <c r="O140" i="86"/>
  <c r="M140" i="86"/>
  <c r="K140" i="86"/>
  <c r="I140" i="86"/>
  <c r="E140" i="86"/>
  <c r="C140" i="86"/>
  <c r="R139" i="86"/>
  <c r="S139" i="86" s="1"/>
  <c r="Q139" i="86"/>
  <c r="O139" i="86"/>
  <c r="M139" i="86"/>
  <c r="K139" i="86"/>
  <c r="I139" i="86"/>
  <c r="E139" i="86"/>
  <c r="C139" i="86"/>
  <c r="R138" i="86"/>
  <c r="S138" i="86" s="1"/>
  <c r="Q138" i="86"/>
  <c r="O138" i="86"/>
  <c r="M138" i="86"/>
  <c r="K138" i="86"/>
  <c r="I138" i="86"/>
  <c r="E138" i="86"/>
  <c r="C138" i="86"/>
  <c r="R137" i="86"/>
  <c r="S137" i="86" s="1"/>
  <c r="Q137" i="86"/>
  <c r="O137" i="86"/>
  <c r="M137" i="86"/>
  <c r="K137" i="86"/>
  <c r="I137" i="86"/>
  <c r="E137" i="86"/>
  <c r="C137" i="86"/>
  <c r="R136" i="86"/>
  <c r="S136" i="86" s="1"/>
  <c r="Q136" i="86"/>
  <c r="O136" i="86"/>
  <c r="M136" i="86"/>
  <c r="K136" i="86"/>
  <c r="I136" i="86"/>
  <c r="E136" i="86"/>
  <c r="C136" i="86"/>
  <c r="R135" i="86"/>
  <c r="S135" i="86" s="1"/>
  <c r="Q135" i="86"/>
  <c r="O135" i="86"/>
  <c r="M135" i="86"/>
  <c r="K135" i="86"/>
  <c r="I135" i="86"/>
  <c r="E135" i="86"/>
  <c r="C135" i="86"/>
  <c r="R134" i="86"/>
  <c r="S134" i="86" s="1"/>
  <c r="Q134" i="86"/>
  <c r="O134" i="86"/>
  <c r="M134" i="86"/>
  <c r="K134" i="86"/>
  <c r="I134" i="86"/>
  <c r="E134" i="86"/>
  <c r="C134" i="86"/>
  <c r="R133" i="86"/>
  <c r="S133" i="86" s="1"/>
  <c r="Q133" i="86"/>
  <c r="O133" i="86"/>
  <c r="M133" i="86"/>
  <c r="K133" i="86"/>
  <c r="I133" i="86"/>
  <c r="E133" i="86"/>
  <c r="C133" i="86"/>
  <c r="R132" i="86"/>
  <c r="S132" i="86" s="1"/>
  <c r="Q132" i="86"/>
  <c r="O132" i="86"/>
  <c r="M132" i="86"/>
  <c r="K132" i="86"/>
  <c r="I132" i="86"/>
  <c r="E132" i="86"/>
  <c r="C132" i="86"/>
  <c r="R131" i="86"/>
  <c r="S131" i="86" s="1"/>
  <c r="Q131" i="86"/>
  <c r="O131" i="86"/>
  <c r="M131" i="86"/>
  <c r="K131" i="86"/>
  <c r="I131" i="86"/>
  <c r="E131" i="86"/>
  <c r="C131" i="86"/>
  <c r="R130" i="86"/>
  <c r="S130" i="86" s="1"/>
  <c r="Q130" i="86"/>
  <c r="O130" i="86"/>
  <c r="M130" i="86"/>
  <c r="K130" i="86"/>
  <c r="I130" i="86"/>
  <c r="E130" i="86"/>
  <c r="C130" i="86"/>
  <c r="R129" i="86"/>
  <c r="S129" i="86" s="1"/>
  <c r="Q129" i="86"/>
  <c r="O129" i="86"/>
  <c r="M129" i="86"/>
  <c r="K129" i="86"/>
  <c r="I129" i="86"/>
  <c r="E129" i="86"/>
  <c r="C129" i="86"/>
  <c r="R128" i="86"/>
  <c r="S128" i="86" s="1"/>
  <c r="Q128" i="86"/>
  <c r="O128" i="86"/>
  <c r="M128" i="86"/>
  <c r="K128" i="86"/>
  <c r="I128" i="86"/>
  <c r="E128" i="86"/>
  <c r="C128" i="86"/>
  <c r="R127" i="86"/>
  <c r="S127" i="86" s="1"/>
  <c r="Q127" i="86"/>
  <c r="O127" i="86"/>
  <c r="M127" i="86"/>
  <c r="K127" i="86"/>
  <c r="I127" i="86"/>
  <c r="E127" i="86"/>
  <c r="C127" i="86"/>
  <c r="R126" i="86"/>
  <c r="S126" i="86" s="1"/>
  <c r="Q126" i="86"/>
  <c r="O126" i="86"/>
  <c r="M126" i="86"/>
  <c r="K126" i="86"/>
  <c r="I126" i="86"/>
  <c r="E126" i="86"/>
  <c r="C126" i="86"/>
  <c r="R125" i="86"/>
  <c r="S125" i="86" s="1"/>
  <c r="Q125" i="86"/>
  <c r="O125" i="86"/>
  <c r="M125" i="86"/>
  <c r="K125" i="86"/>
  <c r="I125" i="86"/>
  <c r="E125" i="86"/>
  <c r="C125" i="86"/>
  <c r="R124" i="86"/>
  <c r="S124" i="86" s="1"/>
  <c r="Q124" i="86"/>
  <c r="O124" i="86"/>
  <c r="M124" i="86"/>
  <c r="K124" i="86"/>
  <c r="I124" i="86"/>
  <c r="E124" i="86"/>
  <c r="C124" i="86"/>
  <c r="R123" i="86"/>
  <c r="S123" i="86" s="1"/>
  <c r="Q123" i="86"/>
  <c r="O123" i="86"/>
  <c r="M123" i="86"/>
  <c r="K123" i="86"/>
  <c r="I123" i="86"/>
  <c r="E123" i="86"/>
  <c r="C123" i="86"/>
  <c r="R122" i="86"/>
  <c r="S122" i="86" s="1"/>
  <c r="Q122" i="86"/>
  <c r="O122" i="86"/>
  <c r="M122" i="86"/>
  <c r="K122" i="86"/>
  <c r="I122" i="86"/>
  <c r="E122" i="86"/>
  <c r="C122" i="86"/>
  <c r="R121" i="86"/>
  <c r="S121" i="86" s="1"/>
  <c r="Q121" i="86"/>
  <c r="O121" i="86"/>
  <c r="M121" i="86"/>
  <c r="K121" i="86"/>
  <c r="I121" i="86"/>
  <c r="E121" i="86"/>
  <c r="C121" i="86"/>
  <c r="R120" i="86"/>
  <c r="S120" i="86" s="1"/>
  <c r="Q120" i="86"/>
  <c r="O120" i="86"/>
  <c r="M120" i="86"/>
  <c r="K120" i="86"/>
  <c r="I120" i="86"/>
  <c r="E120" i="86"/>
  <c r="C120" i="86"/>
  <c r="R119" i="86"/>
  <c r="S119" i="86" s="1"/>
  <c r="Q119" i="86"/>
  <c r="O119" i="86"/>
  <c r="M119" i="86"/>
  <c r="K119" i="86"/>
  <c r="I119" i="86"/>
  <c r="E119" i="86"/>
  <c r="C119" i="86"/>
  <c r="R118" i="86"/>
  <c r="S118" i="86" s="1"/>
  <c r="Q118" i="86"/>
  <c r="O118" i="86"/>
  <c r="M118" i="86"/>
  <c r="K118" i="86"/>
  <c r="I118" i="86"/>
  <c r="E118" i="86"/>
  <c r="C118" i="86"/>
  <c r="R117" i="86"/>
  <c r="S117" i="86" s="1"/>
  <c r="Q117" i="86"/>
  <c r="O117" i="86"/>
  <c r="M117" i="86"/>
  <c r="K117" i="86"/>
  <c r="I117" i="86"/>
  <c r="E117" i="86"/>
  <c r="C117" i="86"/>
  <c r="R116" i="86"/>
  <c r="S116" i="86" s="1"/>
  <c r="Q116" i="86"/>
  <c r="O116" i="86"/>
  <c r="M116" i="86"/>
  <c r="K116" i="86"/>
  <c r="I116" i="86"/>
  <c r="E116" i="86"/>
  <c r="C116" i="86"/>
  <c r="R115" i="86"/>
  <c r="S115" i="86" s="1"/>
  <c r="Q115" i="86"/>
  <c r="O115" i="86"/>
  <c r="M115" i="86"/>
  <c r="K115" i="86"/>
  <c r="I115" i="86"/>
  <c r="E115" i="86"/>
  <c r="C115" i="86"/>
  <c r="R114" i="86"/>
  <c r="S114" i="86" s="1"/>
  <c r="Q114" i="86"/>
  <c r="O114" i="86"/>
  <c r="M114" i="86"/>
  <c r="K114" i="86"/>
  <c r="I114" i="86"/>
  <c r="E114" i="86"/>
  <c r="C114" i="86"/>
  <c r="R113" i="86"/>
  <c r="S113" i="86" s="1"/>
  <c r="Q113" i="86"/>
  <c r="O113" i="86"/>
  <c r="M113" i="86"/>
  <c r="K113" i="86"/>
  <c r="I113" i="86"/>
  <c r="E113" i="86"/>
  <c r="C113" i="86"/>
  <c r="R112" i="86"/>
  <c r="S112" i="86" s="1"/>
  <c r="Q112" i="86"/>
  <c r="O112" i="86"/>
  <c r="M112" i="86"/>
  <c r="K112" i="86"/>
  <c r="I112" i="86"/>
  <c r="E112" i="86"/>
  <c r="C112" i="86"/>
  <c r="R111" i="86"/>
  <c r="S111" i="86" s="1"/>
  <c r="Q111" i="86"/>
  <c r="O111" i="86"/>
  <c r="M111" i="86"/>
  <c r="K111" i="86"/>
  <c r="I111" i="86"/>
  <c r="E111" i="86"/>
  <c r="C111" i="86"/>
  <c r="R110" i="86"/>
  <c r="S110" i="86" s="1"/>
  <c r="Q110" i="86"/>
  <c r="O110" i="86"/>
  <c r="M110" i="86"/>
  <c r="K110" i="86"/>
  <c r="I110" i="86"/>
  <c r="E110" i="86"/>
  <c r="C110" i="86"/>
  <c r="R109" i="86"/>
  <c r="S109" i="86" s="1"/>
  <c r="Q109" i="86"/>
  <c r="O109" i="86"/>
  <c r="M109" i="86"/>
  <c r="K109" i="86"/>
  <c r="I109" i="86"/>
  <c r="E109" i="86"/>
  <c r="C109" i="86"/>
  <c r="R108" i="86"/>
  <c r="S108" i="86" s="1"/>
  <c r="Q108" i="86"/>
  <c r="O108" i="86"/>
  <c r="M108" i="86"/>
  <c r="K108" i="86"/>
  <c r="I108" i="86"/>
  <c r="E108" i="86"/>
  <c r="C108" i="86"/>
  <c r="R107" i="86"/>
  <c r="S107" i="86" s="1"/>
  <c r="Q107" i="86"/>
  <c r="O107" i="86"/>
  <c r="M107" i="86"/>
  <c r="K107" i="86"/>
  <c r="I107" i="86"/>
  <c r="E107" i="86"/>
  <c r="C107" i="86"/>
  <c r="R106" i="86"/>
  <c r="S106" i="86" s="1"/>
  <c r="Q106" i="86"/>
  <c r="O106" i="86"/>
  <c r="M106" i="86"/>
  <c r="K106" i="86"/>
  <c r="I106" i="86"/>
  <c r="E106" i="86"/>
  <c r="C106" i="86"/>
  <c r="R105" i="86"/>
  <c r="S105" i="86" s="1"/>
  <c r="Q105" i="86"/>
  <c r="O105" i="86"/>
  <c r="M105" i="86"/>
  <c r="K105" i="86"/>
  <c r="I105" i="86"/>
  <c r="E105" i="86"/>
  <c r="C105" i="86"/>
  <c r="R104" i="86"/>
  <c r="S104" i="86" s="1"/>
  <c r="Q104" i="86"/>
  <c r="O104" i="86"/>
  <c r="M104" i="86"/>
  <c r="K104" i="86"/>
  <c r="I104" i="86"/>
  <c r="E104" i="86"/>
  <c r="C104" i="86"/>
  <c r="R103" i="86"/>
  <c r="S103" i="86" s="1"/>
  <c r="Q103" i="86"/>
  <c r="O103" i="86"/>
  <c r="M103" i="86"/>
  <c r="K103" i="86"/>
  <c r="I103" i="86"/>
  <c r="E103" i="86"/>
  <c r="C103" i="86"/>
  <c r="R102" i="86"/>
  <c r="S102" i="86" s="1"/>
  <c r="Q102" i="86"/>
  <c r="O102" i="86"/>
  <c r="M102" i="86"/>
  <c r="K102" i="86"/>
  <c r="I102" i="86"/>
  <c r="E102" i="86"/>
  <c r="C102" i="86"/>
  <c r="R101" i="86"/>
  <c r="S101" i="86" s="1"/>
  <c r="Q101" i="86"/>
  <c r="O101" i="86"/>
  <c r="M101" i="86"/>
  <c r="K101" i="86"/>
  <c r="I101" i="86"/>
  <c r="E101" i="86"/>
  <c r="C101" i="86"/>
  <c r="R100" i="86"/>
  <c r="S100" i="86" s="1"/>
  <c r="Q100" i="86"/>
  <c r="O100" i="86"/>
  <c r="M100" i="86"/>
  <c r="K100" i="86"/>
  <c r="I100" i="86"/>
  <c r="E100" i="86"/>
  <c r="C100" i="86"/>
  <c r="R99" i="86"/>
  <c r="S99" i="86" s="1"/>
  <c r="Q99" i="86"/>
  <c r="O99" i="86"/>
  <c r="M99" i="86"/>
  <c r="K99" i="86"/>
  <c r="I99" i="86"/>
  <c r="E99" i="86"/>
  <c r="C99" i="86"/>
  <c r="R98" i="86"/>
  <c r="S98" i="86" s="1"/>
  <c r="Q98" i="86"/>
  <c r="O98" i="86"/>
  <c r="M98" i="86"/>
  <c r="K98" i="86"/>
  <c r="I98" i="86"/>
  <c r="E98" i="86"/>
  <c r="C98" i="86"/>
  <c r="R97" i="86"/>
  <c r="S97" i="86" s="1"/>
  <c r="Q97" i="86"/>
  <c r="O97" i="86"/>
  <c r="M97" i="86"/>
  <c r="K97" i="86"/>
  <c r="I97" i="86"/>
  <c r="E97" i="86"/>
  <c r="C97" i="86"/>
  <c r="R96" i="86"/>
  <c r="S96" i="86" s="1"/>
  <c r="Q96" i="86"/>
  <c r="O96" i="86"/>
  <c r="M96" i="86"/>
  <c r="K96" i="86"/>
  <c r="I96" i="86"/>
  <c r="E96" i="86"/>
  <c r="C96" i="86"/>
  <c r="R95" i="86"/>
  <c r="S95" i="86" s="1"/>
  <c r="Q95" i="86"/>
  <c r="O95" i="86"/>
  <c r="M95" i="86"/>
  <c r="K95" i="86"/>
  <c r="I95" i="86"/>
  <c r="E95" i="86"/>
  <c r="C95" i="86"/>
  <c r="R94" i="86"/>
  <c r="S94" i="86" s="1"/>
  <c r="Q94" i="86"/>
  <c r="O94" i="86"/>
  <c r="M94" i="86"/>
  <c r="K94" i="86"/>
  <c r="I94" i="86"/>
  <c r="E94" i="86"/>
  <c r="C94" i="86"/>
  <c r="R93" i="86"/>
  <c r="S93" i="86" s="1"/>
  <c r="Q93" i="86"/>
  <c r="O93" i="86"/>
  <c r="M93" i="86"/>
  <c r="K93" i="86"/>
  <c r="I93" i="86"/>
  <c r="E93" i="86"/>
  <c r="C93" i="86"/>
  <c r="R92" i="86"/>
  <c r="S92" i="86" s="1"/>
  <c r="Q92" i="86"/>
  <c r="O92" i="86"/>
  <c r="M92" i="86"/>
  <c r="K92" i="86"/>
  <c r="I92" i="86"/>
  <c r="E92" i="86"/>
  <c r="C92" i="86"/>
  <c r="R91" i="86"/>
  <c r="S91" i="86" s="1"/>
  <c r="Q91" i="86"/>
  <c r="O91" i="86"/>
  <c r="M91" i="86"/>
  <c r="K91" i="86"/>
  <c r="I91" i="86"/>
  <c r="E91" i="86"/>
  <c r="C91" i="86"/>
  <c r="R90" i="86"/>
  <c r="S90" i="86" s="1"/>
  <c r="Q90" i="86"/>
  <c r="O90" i="86"/>
  <c r="M90" i="86"/>
  <c r="K90" i="86"/>
  <c r="I90" i="86"/>
  <c r="E90" i="86"/>
  <c r="C90" i="86"/>
  <c r="R89" i="86"/>
  <c r="S89" i="86" s="1"/>
  <c r="Q89" i="86"/>
  <c r="O89" i="86"/>
  <c r="M89" i="86"/>
  <c r="K89" i="86"/>
  <c r="I89" i="86"/>
  <c r="E89" i="86"/>
  <c r="C89" i="86"/>
  <c r="R88" i="86"/>
  <c r="S88" i="86" s="1"/>
  <c r="Q88" i="86"/>
  <c r="O88" i="86"/>
  <c r="M88" i="86"/>
  <c r="K88" i="86"/>
  <c r="I88" i="86"/>
  <c r="E88" i="86"/>
  <c r="C88" i="86"/>
  <c r="R87" i="86"/>
  <c r="S87" i="86" s="1"/>
  <c r="Q87" i="86"/>
  <c r="O87" i="86"/>
  <c r="M87" i="86"/>
  <c r="K87" i="86"/>
  <c r="I87" i="86"/>
  <c r="E87" i="86"/>
  <c r="C87" i="86"/>
  <c r="R86" i="86"/>
  <c r="S86" i="86" s="1"/>
  <c r="Q86" i="86"/>
  <c r="O86" i="86"/>
  <c r="M86" i="86"/>
  <c r="K86" i="86"/>
  <c r="I86" i="86"/>
  <c r="E86" i="86"/>
  <c r="C86" i="86"/>
  <c r="R85" i="86"/>
  <c r="S85" i="86" s="1"/>
  <c r="Q85" i="86"/>
  <c r="O85" i="86"/>
  <c r="M85" i="86"/>
  <c r="K85" i="86"/>
  <c r="I85" i="86"/>
  <c r="E85" i="86"/>
  <c r="C85" i="86"/>
  <c r="R84" i="86"/>
  <c r="S84" i="86" s="1"/>
  <c r="Q84" i="86"/>
  <c r="O84" i="86"/>
  <c r="M84" i="86"/>
  <c r="K84" i="86"/>
  <c r="I84" i="86"/>
  <c r="E84" i="86"/>
  <c r="C84" i="86"/>
  <c r="R83" i="86"/>
  <c r="S83" i="86" s="1"/>
  <c r="Q83" i="86"/>
  <c r="O83" i="86"/>
  <c r="M83" i="86"/>
  <c r="K83" i="86"/>
  <c r="I83" i="86"/>
  <c r="E83" i="86"/>
  <c r="C83" i="86"/>
  <c r="R82" i="86"/>
  <c r="S82" i="86" s="1"/>
  <c r="Q82" i="86"/>
  <c r="O82" i="86"/>
  <c r="M82" i="86"/>
  <c r="K82" i="86"/>
  <c r="I82" i="86"/>
  <c r="E82" i="86"/>
  <c r="C82" i="86"/>
  <c r="R81" i="86"/>
  <c r="S81" i="86" s="1"/>
  <c r="Q81" i="86"/>
  <c r="O81" i="86"/>
  <c r="M81" i="86"/>
  <c r="K81" i="86"/>
  <c r="I81" i="86"/>
  <c r="E81" i="86"/>
  <c r="C81" i="86"/>
  <c r="R80" i="86"/>
  <c r="S80" i="86" s="1"/>
  <c r="Q80" i="86"/>
  <c r="O80" i="86"/>
  <c r="M80" i="86"/>
  <c r="K80" i="86"/>
  <c r="I80" i="86"/>
  <c r="E80" i="86"/>
  <c r="C80" i="86"/>
  <c r="R79" i="86"/>
  <c r="S79" i="86" s="1"/>
  <c r="Q79" i="86"/>
  <c r="O79" i="86"/>
  <c r="M79" i="86"/>
  <c r="K79" i="86"/>
  <c r="I79" i="86"/>
  <c r="E79" i="86"/>
  <c r="C79" i="86"/>
  <c r="R78" i="86"/>
  <c r="S78" i="86" s="1"/>
  <c r="Q78" i="86"/>
  <c r="O78" i="86"/>
  <c r="M78" i="86"/>
  <c r="K78" i="86"/>
  <c r="I78" i="86"/>
  <c r="E78" i="86"/>
  <c r="C78" i="86"/>
  <c r="R77" i="86"/>
  <c r="S77" i="86" s="1"/>
  <c r="Q77" i="86"/>
  <c r="O77" i="86"/>
  <c r="M77" i="86"/>
  <c r="K77" i="86"/>
  <c r="I77" i="86"/>
  <c r="E77" i="86"/>
  <c r="C77" i="86"/>
  <c r="R76" i="86"/>
  <c r="S76" i="86" s="1"/>
  <c r="Q76" i="86"/>
  <c r="O76" i="86"/>
  <c r="M76" i="86"/>
  <c r="K76" i="86"/>
  <c r="I76" i="86"/>
  <c r="E76" i="86"/>
  <c r="C76" i="86"/>
  <c r="R75" i="86"/>
  <c r="S75" i="86" s="1"/>
  <c r="Q75" i="86"/>
  <c r="O75" i="86"/>
  <c r="M75" i="86"/>
  <c r="K75" i="86"/>
  <c r="I75" i="86"/>
  <c r="E75" i="86"/>
  <c r="C75" i="86"/>
  <c r="R74" i="86"/>
  <c r="S74" i="86" s="1"/>
  <c r="Q74" i="86"/>
  <c r="O74" i="86"/>
  <c r="M74" i="86"/>
  <c r="K74" i="86"/>
  <c r="I74" i="86"/>
  <c r="E74" i="86"/>
  <c r="C74" i="86"/>
  <c r="R73" i="86"/>
  <c r="S73" i="86" s="1"/>
  <c r="Q73" i="86"/>
  <c r="O73" i="86"/>
  <c r="M73" i="86"/>
  <c r="K73" i="86"/>
  <c r="I73" i="86"/>
  <c r="E73" i="86"/>
  <c r="C73" i="86"/>
  <c r="R72" i="86"/>
  <c r="S72" i="86" s="1"/>
  <c r="Q72" i="86"/>
  <c r="O72" i="86"/>
  <c r="M72" i="86"/>
  <c r="K72" i="86"/>
  <c r="I72" i="86"/>
  <c r="E72" i="86"/>
  <c r="C72" i="86"/>
  <c r="R71" i="86"/>
  <c r="S71" i="86" s="1"/>
  <c r="Q71" i="86"/>
  <c r="O71" i="86"/>
  <c r="M71" i="86"/>
  <c r="K71" i="86"/>
  <c r="I71" i="86"/>
  <c r="E71" i="86"/>
  <c r="C71" i="86"/>
  <c r="R70" i="86"/>
  <c r="S70" i="86" s="1"/>
  <c r="Q70" i="86"/>
  <c r="O70" i="86"/>
  <c r="M70" i="86"/>
  <c r="K70" i="86"/>
  <c r="I70" i="86"/>
  <c r="E70" i="86"/>
  <c r="C70" i="86"/>
  <c r="R69" i="86"/>
  <c r="S69" i="86" s="1"/>
  <c r="Q69" i="86"/>
  <c r="O69" i="86"/>
  <c r="M69" i="86"/>
  <c r="K69" i="86"/>
  <c r="I69" i="86"/>
  <c r="E69" i="86"/>
  <c r="C69" i="86"/>
  <c r="R68" i="86"/>
  <c r="S68" i="86" s="1"/>
  <c r="Q68" i="86"/>
  <c r="O68" i="86"/>
  <c r="M68" i="86"/>
  <c r="K68" i="86"/>
  <c r="I68" i="86"/>
  <c r="E68" i="86"/>
  <c r="C68" i="86"/>
  <c r="R67" i="86"/>
  <c r="S67" i="86" s="1"/>
  <c r="Q67" i="86"/>
  <c r="O67" i="86"/>
  <c r="M67" i="86"/>
  <c r="K67" i="86"/>
  <c r="I67" i="86"/>
  <c r="E67" i="86"/>
  <c r="C67" i="86"/>
  <c r="R66" i="86"/>
  <c r="S66" i="86" s="1"/>
  <c r="Q66" i="86"/>
  <c r="O66" i="86"/>
  <c r="M66" i="86"/>
  <c r="K66" i="86"/>
  <c r="I66" i="86"/>
  <c r="E66" i="86"/>
  <c r="C66" i="86"/>
  <c r="R65" i="86"/>
  <c r="S65" i="86" s="1"/>
  <c r="Q65" i="86"/>
  <c r="O65" i="86"/>
  <c r="M65" i="86"/>
  <c r="K65" i="86"/>
  <c r="I65" i="86"/>
  <c r="E65" i="86"/>
  <c r="C65" i="86"/>
  <c r="R64" i="86"/>
  <c r="S64" i="86" s="1"/>
  <c r="Q64" i="86"/>
  <c r="O64" i="86"/>
  <c r="M64" i="86"/>
  <c r="K64" i="86"/>
  <c r="I64" i="86"/>
  <c r="E64" i="86"/>
  <c r="C64" i="86"/>
  <c r="R63" i="86"/>
  <c r="S63" i="86" s="1"/>
  <c r="Q63" i="86"/>
  <c r="O63" i="86"/>
  <c r="M63" i="86"/>
  <c r="K63" i="86"/>
  <c r="I63" i="86"/>
  <c r="E63" i="86"/>
  <c r="C63" i="86"/>
  <c r="R62" i="86"/>
  <c r="S62" i="86" s="1"/>
  <c r="Q62" i="86"/>
  <c r="O62" i="86"/>
  <c r="M62" i="86"/>
  <c r="K62" i="86"/>
  <c r="I62" i="86"/>
  <c r="E62" i="86"/>
  <c r="C62" i="86"/>
  <c r="R61" i="86"/>
  <c r="S61" i="86" s="1"/>
  <c r="Q61" i="86"/>
  <c r="O61" i="86"/>
  <c r="M61" i="86"/>
  <c r="K61" i="86"/>
  <c r="I61" i="86"/>
  <c r="E61" i="86"/>
  <c r="C61" i="86"/>
  <c r="R60" i="86"/>
  <c r="S60" i="86" s="1"/>
  <c r="Q60" i="86"/>
  <c r="O60" i="86"/>
  <c r="M60" i="86"/>
  <c r="K60" i="86"/>
  <c r="I60" i="86"/>
  <c r="E60" i="86"/>
  <c r="C60" i="86"/>
  <c r="R59" i="86"/>
  <c r="S59" i="86" s="1"/>
  <c r="Q59" i="86"/>
  <c r="O59" i="86"/>
  <c r="M59" i="86"/>
  <c r="K59" i="86"/>
  <c r="I59" i="86"/>
  <c r="E59" i="86"/>
  <c r="C59" i="86"/>
  <c r="R58" i="86"/>
  <c r="S58" i="86" s="1"/>
  <c r="Q58" i="86"/>
  <c r="O58" i="86"/>
  <c r="M58" i="86"/>
  <c r="K58" i="86"/>
  <c r="I58" i="86"/>
  <c r="E58" i="86"/>
  <c r="C58" i="86"/>
  <c r="R57" i="86"/>
  <c r="S57" i="86" s="1"/>
  <c r="Q57" i="86"/>
  <c r="O57" i="86"/>
  <c r="M57" i="86"/>
  <c r="K57" i="86"/>
  <c r="I57" i="86"/>
  <c r="E57" i="86"/>
  <c r="C57" i="86"/>
  <c r="R56" i="86"/>
  <c r="S56" i="86" s="1"/>
  <c r="Q56" i="86"/>
  <c r="O56" i="86"/>
  <c r="M56" i="86"/>
  <c r="K56" i="86"/>
  <c r="I56" i="86"/>
  <c r="E56" i="86"/>
  <c r="C56" i="86"/>
  <c r="R55" i="86"/>
  <c r="S55" i="86" s="1"/>
  <c r="Q55" i="86"/>
  <c r="O55" i="86"/>
  <c r="M55" i="86"/>
  <c r="K55" i="86"/>
  <c r="I55" i="86"/>
  <c r="E55" i="86"/>
  <c r="C55" i="86"/>
  <c r="R54" i="86"/>
  <c r="S54" i="86" s="1"/>
  <c r="Q54" i="86"/>
  <c r="O54" i="86"/>
  <c r="M54" i="86"/>
  <c r="K54" i="86"/>
  <c r="I54" i="86"/>
  <c r="E54" i="86"/>
  <c r="C54" i="86"/>
  <c r="R53" i="86"/>
  <c r="S53" i="86" s="1"/>
  <c r="Q53" i="86"/>
  <c r="O53" i="86"/>
  <c r="M53" i="86"/>
  <c r="K53" i="86"/>
  <c r="I53" i="86"/>
  <c r="E53" i="86"/>
  <c r="C53" i="86"/>
  <c r="R52" i="86"/>
  <c r="S52" i="86" s="1"/>
  <c r="Q52" i="86"/>
  <c r="O52" i="86"/>
  <c r="M52" i="86"/>
  <c r="K52" i="86"/>
  <c r="I52" i="86"/>
  <c r="E52" i="86"/>
  <c r="C52" i="86"/>
  <c r="R51" i="86"/>
  <c r="S51" i="86" s="1"/>
  <c r="Q51" i="86"/>
  <c r="O51" i="86"/>
  <c r="M51" i="86"/>
  <c r="K51" i="86"/>
  <c r="I51" i="86"/>
  <c r="E51" i="86"/>
  <c r="C51" i="86"/>
  <c r="R50" i="86"/>
  <c r="S50" i="86" s="1"/>
  <c r="Q50" i="86"/>
  <c r="O50" i="86"/>
  <c r="M50" i="86"/>
  <c r="K50" i="86"/>
  <c r="I50" i="86"/>
  <c r="E50" i="86"/>
  <c r="C50" i="86"/>
  <c r="R49" i="86"/>
  <c r="S49" i="86" s="1"/>
  <c r="Q49" i="86"/>
  <c r="O49" i="86"/>
  <c r="M49" i="86"/>
  <c r="K49" i="86"/>
  <c r="I49" i="86"/>
  <c r="E49" i="86"/>
  <c r="C49" i="86"/>
  <c r="R48" i="86"/>
  <c r="S48" i="86" s="1"/>
  <c r="Q48" i="86"/>
  <c r="O48" i="86"/>
  <c r="M48" i="86"/>
  <c r="K48" i="86"/>
  <c r="I48" i="86"/>
  <c r="E48" i="86"/>
  <c r="C48" i="86"/>
  <c r="R47" i="86"/>
  <c r="S47" i="86" s="1"/>
  <c r="Q47" i="86"/>
  <c r="O47" i="86"/>
  <c r="M47" i="86"/>
  <c r="K47" i="86"/>
  <c r="I47" i="86"/>
  <c r="E47" i="86"/>
  <c r="C47" i="86"/>
  <c r="R46" i="86"/>
  <c r="S46" i="86" s="1"/>
  <c r="Q46" i="86"/>
  <c r="O46" i="86"/>
  <c r="M46" i="86"/>
  <c r="K46" i="86"/>
  <c r="I46" i="86"/>
  <c r="E46" i="86"/>
  <c r="C46" i="86"/>
  <c r="R45" i="86"/>
  <c r="S45" i="86" s="1"/>
  <c r="Q45" i="86"/>
  <c r="O45" i="86"/>
  <c r="M45" i="86"/>
  <c r="K45" i="86"/>
  <c r="I45" i="86"/>
  <c r="E45" i="86"/>
  <c r="C45" i="86"/>
  <c r="R44" i="86"/>
  <c r="S44" i="86" s="1"/>
  <c r="Q44" i="86"/>
  <c r="O44" i="86"/>
  <c r="M44" i="86"/>
  <c r="K44" i="86"/>
  <c r="I44" i="86"/>
  <c r="E44" i="86"/>
  <c r="C44" i="86"/>
  <c r="R43" i="86"/>
  <c r="S43" i="86" s="1"/>
  <c r="Q43" i="86"/>
  <c r="O43" i="86"/>
  <c r="M43" i="86"/>
  <c r="K43" i="86"/>
  <c r="I43" i="86"/>
  <c r="E43" i="86"/>
  <c r="C43" i="86"/>
  <c r="R42" i="86"/>
  <c r="S42" i="86" s="1"/>
  <c r="Q42" i="86"/>
  <c r="O42" i="86"/>
  <c r="M42" i="86"/>
  <c r="K42" i="86"/>
  <c r="I42" i="86"/>
  <c r="E42" i="86"/>
  <c r="C42" i="86"/>
  <c r="R41" i="86"/>
  <c r="S41" i="86" s="1"/>
  <c r="Q41" i="86"/>
  <c r="O41" i="86"/>
  <c r="M41" i="86"/>
  <c r="K41" i="86"/>
  <c r="I41" i="86"/>
  <c r="E41" i="86"/>
  <c r="C41" i="86"/>
  <c r="R40" i="86"/>
  <c r="S40" i="86" s="1"/>
  <c r="Q40" i="86"/>
  <c r="O40" i="86"/>
  <c r="M40" i="86"/>
  <c r="K40" i="86"/>
  <c r="I40" i="86"/>
  <c r="E40" i="86"/>
  <c r="C40" i="86"/>
  <c r="R39" i="86"/>
  <c r="S39" i="86" s="1"/>
  <c r="Q39" i="86"/>
  <c r="O39" i="86"/>
  <c r="M39" i="86"/>
  <c r="K39" i="86"/>
  <c r="I39" i="86"/>
  <c r="E39" i="86"/>
  <c r="C39" i="86"/>
  <c r="R38" i="86"/>
  <c r="S38" i="86" s="1"/>
  <c r="Q38" i="86"/>
  <c r="O38" i="86"/>
  <c r="M38" i="86"/>
  <c r="K38" i="86"/>
  <c r="I38" i="86"/>
  <c r="E38" i="86"/>
  <c r="C38" i="86"/>
  <c r="R37" i="86"/>
  <c r="S37" i="86" s="1"/>
  <c r="Q37" i="86"/>
  <c r="O37" i="86"/>
  <c r="M37" i="86"/>
  <c r="K37" i="86"/>
  <c r="I37" i="86"/>
  <c r="E37" i="86"/>
  <c r="C37" i="86"/>
  <c r="R36" i="86"/>
  <c r="S36" i="86" s="1"/>
  <c r="Q36" i="86"/>
  <c r="O36" i="86"/>
  <c r="M36" i="86"/>
  <c r="K36" i="86"/>
  <c r="I36" i="86"/>
  <c r="E36" i="86"/>
  <c r="C36" i="86"/>
  <c r="R35" i="86"/>
  <c r="S35" i="86" s="1"/>
  <c r="Q35" i="86"/>
  <c r="O35" i="86"/>
  <c r="M35" i="86"/>
  <c r="K35" i="86"/>
  <c r="I35" i="86"/>
  <c r="E35" i="86"/>
  <c r="C35" i="86"/>
  <c r="R34" i="86"/>
  <c r="S34" i="86" s="1"/>
  <c r="Q34" i="86"/>
  <c r="O34" i="86"/>
  <c r="M34" i="86"/>
  <c r="K34" i="86"/>
  <c r="I34" i="86"/>
  <c r="E34" i="86"/>
  <c r="C34" i="86"/>
  <c r="R33" i="86"/>
  <c r="S33" i="86" s="1"/>
  <c r="Q33" i="86"/>
  <c r="O33" i="86"/>
  <c r="M33" i="86"/>
  <c r="K33" i="86"/>
  <c r="I33" i="86"/>
  <c r="E33" i="86"/>
  <c r="C33" i="86"/>
  <c r="R32" i="86"/>
  <c r="S32" i="86" s="1"/>
  <c r="Q32" i="86"/>
  <c r="O32" i="86"/>
  <c r="M32" i="86"/>
  <c r="K32" i="86"/>
  <c r="I32" i="86"/>
  <c r="E32" i="86"/>
  <c r="C32" i="86"/>
  <c r="R31" i="86"/>
  <c r="S31" i="86" s="1"/>
  <c r="Q31" i="86"/>
  <c r="O31" i="86"/>
  <c r="M31" i="86"/>
  <c r="K31" i="86"/>
  <c r="I31" i="86"/>
  <c r="E31" i="86"/>
  <c r="C31" i="86"/>
  <c r="Q30" i="86"/>
  <c r="O30" i="86"/>
  <c r="M30" i="86"/>
  <c r="K30" i="86"/>
  <c r="I30" i="86"/>
  <c r="E30" i="86"/>
  <c r="C30" i="86"/>
  <c r="Q29" i="86"/>
  <c r="O29" i="86"/>
  <c r="M29" i="86"/>
  <c r="K29" i="86"/>
  <c r="I29" i="86"/>
  <c r="E29" i="86"/>
  <c r="C29" i="86"/>
  <c r="Q28" i="86"/>
  <c r="O28" i="86"/>
  <c r="M28" i="86"/>
  <c r="K28" i="86"/>
  <c r="I28" i="86"/>
  <c r="E28" i="86"/>
  <c r="C28" i="86"/>
  <c r="Q27" i="86"/>
  <c r="O27" i="86"/>
  <c r="M27" i="86"/>
  <c r="K27" i="86"/>
  <c r="I27" i="86"/>
  <c r="E27" i="86"/>
  <c r="C27" i="86"/>
  <c r="Q26" i="86"/>
  <c r="O26" i="86"/>
  <c r="M26" i="86"/>
  <c r="K26" i="86"/>
  <c r="I26" i="86"/>
  <c r="E26" i="86"/>
  <c r="C26" i="86"/>
  <c r="Q25" i="86"/>
  <c r="O25" i="86"/>
  <c r="M25" i="86"/>
  <c r="K25" i="86"/>
  <c r="I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G67"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I47" i="33"/>
  <c r="E47" i="33"/>
  <c r="I47" i="82"/>
  <c r="G47" i="82"/>
  <c r="E47" i="82"/>
  <c r="G69" i="86" l="1"/>
  <c r="G25" i="86"/>
  <c r="G27" i="86"/>
  <c r="G29" i="86"/>
  <c r="G31" i="86"/>
  <c r="G33" i="86"/>
  <c r="G35" i="86"/>
  <c r="G37" i="86"/>
  <c r="G39" i="86"/>
  <c r="G41" i="86"/>
  <c r="G43" i="86"/>
  <c r="G45" i="86"/>
  <c r="G47" i="86"/>
  <c r="G49" i="86"/>
  <c r="G51" i="86"/>
  <c r="G53" i="86"/>
  <c r="G55" i="86"/>
  <c r="G57" i="86"/>
  <c r="G59" i="86"/>
  <c r="G61" i="86"/>
  <c r="G63" i="86"/>
  <c r="G65" i="86"/>
  <c r="G523" i="86"/>
  <c r="G521" i="86"/>
  <c r="G519" i="86"/>
  <c r="G517" i="86"/>
  <c r="G515" i="86"/>
  <c r="G513" i="86"/>
  <c r="G511" i="86"/>
  <c r="G509" i="86"/>
  <c r="G507" i="86"/>
  <c r="G505" i="86"/>
  <c r="G503" i="86"/>
  <c r="G501" i="86"/>
  <c r="G499" i="86"/>
  <c r="G497" i="86"/>
  <c r="G495" i="86"/>
  <c r="G493" i="86"/>
  <c r="G491" i="86"/>
  <c r="G489" i="86"/>
  <c r="G487" i="86"/>
  <c r="G485" i="86"/>
  <c r="G483" i="86"/>
  <c r="G481" i="86"/>
  <c r="G479" i="86"/>
  <c r="G477" i="86"/>
  <c r="G475" i="86"/>
  <c r="G473" i="86"/>
  <c r="G471" i="86"/>
  <c r="G469" i="86"/>
  <c r="G467" i="86"/>
  <c r="G465" i="86"/>
  <c r="G463" i="86"/>
  <c r="G461" i="86"/>
  <c r="G459" i="86"/>
  <c r="G457" i="86"/>
  <c r="G455" i="86"/>
  <c r="G453" i="86"/>
  <c r="G451" i="86"/>
  <c r="G449" i="86"/>
  <c r="G447" i="86"/>
  <c r="G445" i="86"/>
  <c r="G443" i="86"/>
  <c r="G441" i="86"/>
  <c r="G439" i="86"/>
  <c r="G437" i="86"/>
  <c r="G435" i="86"/>
  <c r="G433" i="86"/>
  <c r="G431" i="86"/>
  <c r="G429" i="86"/>
  <c r="G427"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462" i="86"/>
  <c r="G454" i="86"/>
  <c r="G446" i="86"/>
  <c r="G438" i="86"/>
  <c r="G430" i="86"/>
  <c r="G422" i="86"/>
  <c r="G414" i="86"/>
  <c r="G406" i="86"/>
  <c r="G398" i="86"/>
  <c r="G390" i="86"/>
  <c r="G382" i="86"/>
  <c r="G374" i="86"/>
  <c r="G366" i="86"/>
  <c r="G358"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522" i="86"/>
  <c r="G518" i="86"/>
  <c r="G514" i="86"/>
  <c r="G510" i="86"/>
  <c r="G506" i="86"/>
  <c r="G502" i="86"/>
  <c r="G498" i="86"/>
  <c r="G494" i="86"/>
  <c r="G490" i="86"/>
  <c r="G486" i="86"/>
  <c r="G482" i="86"/>
  <c r="G478" i="86"/>
  <c r="G474" i="86"/>
  <c r="G470" i="86"/>
  <c r="G464" i="86"/>
  <c r="G456" i="86"/>
  <c r="G448" i="86"/>
  <c r="G440" i="86"/>
  <c r="G432" i="86"/>
  <c r="G424" i="86"/>
  <c r="G416" i="86"/>
  <c r="G408" i="86"/>
  <c r="G400" i="86"/>
  <c r="G392" i="86"/>
  <c r="G384" i="86"/>
  <c r="G376" i="86"/>
  <c r="G368" i="86"/>
  <c r="G360" i="86"/>
  <c r="G466" i="86"/>
  <c r="G458" i="86"/>
  <c r="G450" i="86"/>
  <c r="G442" i="86"/>
  <c r="G434" i="86"/>
  <c r="G426" i="86"/>
  <c r="G418" i="86"/>
  <c r="G410" i="86"/>
  <c r="G402" i="86"/>
  <c r="G394" i="86"/>
  <c r="G386" i="86"/>
  <c r="G378" i="86"/>
  <c r="G370" i="86"/>
  <c r="G362"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2"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524" i="86"/>
  <c r="G520" i="86"/>
  <c r="G516" i="86"/>
  <c r="G512" i="86"/>
  <c r="G508" i="86"/>
  <c r="G504" i="86"/>
  <c r="G500" i="86"/>
  <c r="G496" i="86"/>
  <c r="G492" i="86"/>
  <c r="G488" i="86"/>
  <c r="G484" i="86"/>
  <c r="G480" i="86"/>
  <c r="G476" i="86"/>
  <c r="G472" i="86"/>
  <c r="G468" i="86"/>
  <c r="G460" i="86"/>
  <c r="G452" i="86"/>
  <c r="G444" i="86"/>
  <c r="G436" i="86"/>
  <c r="G428" i="86"/>
  <c r="G420" i="86"/>
  <c r="G412" i="86"/>
  <c r="G404" i="86"/>
  <c r="G396" i="86"/>
  <c r="G388" i="86"/>
  <c r="G380" i="86"/>
  <c r="G372" i="86"/>
  <c r="G364" i="86"/>
  <c r="G356" i="86"/>
  <c r="G242"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190" i="86"/>
  <c r="G188" i="86"/>
  <c r="G186" i="86"/>
  <c r="G184" i="86"/>
  <c r="G182" i="86"/>
  <c r="G180" i="86"/>
  <c r="G178" i="86"/>
  <c r="G176" i="86"/>
  <c r="G174" i="86"/>
  <c r="G172" i="86"/>
  <c r="G170" i="86"/>
  <c r="G168" i="86"/>
  <c r="G166" i="86"/>
  <c r="G164" i="86"/>
  <c r="G162" i="86"/>
  <c r="G160" i="86"/>
  <c r="G158" i="86"/>
  <c r="G156" i="86"/>
  <c r="G154" i="86"/>
  <c r="G152" i="86"/>
  <c r="G150" i="86"/>
  <c r="G148" i="86"/>
  <c r="G146" i="86"/>
  <c r="G144" i="86"/>
  <c r="G142" i="86"/>
  <c r="G140" i="86"/>
  <c r="G138" i="86"/>
  <c r="G136" i="86"/>
  <c r="G134" i="86"/>
  <c r="G132" i="86"/>
  <c r="G130" i="86"/>
  <c r="G128" i="86"/>
  <c r="G126" i="86"/>
  <c r="G124" i="86"/>
  <c r="G122" i="86"/>
  <c r="G120" i="86"/>
  <c r="G118" i="86"/>
  <c r="G116" i="86"/>
  <c r="G114" i="86"/>
  <c r="G112" i="86"/>
  <c r="G110" i="86"/>
  <c r="G108" i="86"/>
  <c r="G106" i="86"/>
  <c r="G104" i="86"/>
  <c r="G102" i="86"/>
  <c r="G100" i="86"/>
  <c r="G98" i="86"/>
  <c r="G96" i="86"/>
  <c r="G94" i="86"/>
  <c r="G92" i="86"/>
  <c r="G90" i="86"/>
  <c r="G88" i="86"/>
  <c r="G86" i="86"/>
  <c r="G84" i="86"/>
  <c r="G82" i="86"/>
  <c r="G80" i="86"/>
  <c r="G78" i="86"/>
  <c r="G76" i="86"/>
  <c r="G74" i="86"/>
  <c r="G72" i="86"/>
  <c r="G70" i="86"/>
  <c r="G68" i="86"/>
  <c r="G238" i="86"/>
  <c r="G240"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185" i="86"/>
  <c r="G183" i="86"/>
  <c r="G181" i="86"/>
  <c r="G179" i="86"/>
  <c r="G177" i="86"/>
  <c r="G175" i="86"/>
  <c r="G173" i="86"/>
  <c r="G171" i="86"/>
  <c r="G169" i="86"/>
  <c r="G167" i="86"/>
  <c r="G165" i="86"/>
  <c r="G163" i="86"/>
  <c r="G161" i="86"/>
  <c r="G159" i="86"/>
  <c r="G157" i="86"/>
  <c r="G155" i="86"/>
  <c r="G153" i="86"/>
  <c r="G151" i="86"/>
  <c r="G149" i="86"/>
  <c r="G147" i="86"/>
  <c r="G145" i="86"/>
  <c r="G143" i="86"/>
  <c r="G141" i="86"/>
  <c r="G139" i="86"/>
  <c r="G137" i="86"/>
  <c r="G135" i="86"/>
  <c r="G133" i="86"/>
  <c r="G131" i="86"/>
  <c r="G129" i="86"/>
  <c r="G127" i="86"/>
  <c r="G125" i="86"/>
  <c r="G123" i="86"/>
  <c r="G121" i="86"/>
  <c r="G119" i="86"/>
  <c r="G117" i="86"/>
  <c r="G115" i="86"/>
  <c r="G113" i="86"/>
  <c r="G111" i="86"/>
  <c r="G109" i="86"/>
  <c r="G107" i="86"/>
  <c r="G105" i="86"/>
  <c r="G103" i="86"/>
  <c r="G101" i="86"/>
  <c r="G99" i="86"/>
  <c r="G97" i="86"/>
  <c r="G95" i="86"/>
  <c r="G93" i="86"/>
  <c r="G91" i="86"/>
  <c r="G89" i="86"/>
  <c r="G87" i="86"/>
  <c r="G85" i="86"/>
  <c r="G83" i="86"/>
  <c r="G81" i="86"/>
  <c r="G79" i="86"/>
  <c r="G77" i="86"/>
  <c r="G75" i="86"/>
  <c r="G73" i="86"/>
  <c r="G71" i="86"/>
  <c r="F8" i="86"/>
  <c r="G8" i="86" s="1"/>
  <c r="H8" i="86" s="1"/>
  <c r="I8" i="86" s="1"/>
  <c r="J8" i="86" s="1"/>
  <c r="K8" i="86" s="1"/>
  <c r="L8" i="86" s="1"/>
  <c r="M8" i="86" s="1"/>
  <c r="N8" i="86" s="1"/>
  <c r="O8" i="86" s="1"/>
  <c r="P8" i="86" s="1"/>
  <c r="Q8" i="86" s="1"/>
  <c r="R8" i="86" s="1"/>
  <c r="S8" i="86" s="1"/>
  <c r="G26" i="86"/>
  <c r="G28" i="86"/>
  <c r="G30" i="86"/>
  <c r="G32" i="86"/>
  <c r="G34" i="86"/>
  <c r="G36" i="86"/>
  <c r="G38" i="86"/>
  <c r="G40" i="86"/>
  <c r="G42" i="86"/>
  <c r="G44" i="86"/>
  <c r="G46" i="86"/>
  <c r="G48" i="86"/>
  <c r="G50" i="86"/>
  <c r="G52" i="86"/>
  <c r="G54" i="86"/>
  <c r="G56" i="86"/>
  <c r="G58" i="86"/>
  <c r="G60" i="86"/>
  <c r="G62" i="86"/>
  <c r="G64" i="86"/>
  <c r="G66" i="86"/>
  <c r="Q4" i="76"/>
  <c r="Q16" i="76"/>
  <c r="Q15" i="76"/>
  <c r="Q14" i="76"/>
  <c r="K43" i="33"/>
  <c r="K42" i="33"/>
  <c r="K39" i="33"/>
  <c r="K38" i="33"/>
  <c r="K37" i="33"/>
  <c r="K36" i="33"/>
  <c r="K35" i="33"/>
  <c r="K34" i="33"/>
  <c r="K32" i="33"/>
  <c r="K27" i="33"/>
  <c r="K25" i="33"/>
  <c r="K23" i="33"/>
  <c r="K21" i="33"/>
  <c r="K19" i="33"/>
  <c r="K17" i="33"/>
  <c r="K15" i="33"/>
  <c r="K11" i="33"/>
  <c r="K10" i="33"/>
  <c r="R524" i="84"/>
  <c r="S524" i="84" s="1"/>
  <c r="Q524" i="84"/>
  <c r="O524" i="84"/>
  <c r="M524" i="84"/>
  <c r="K524" i="84"/>
  <c r="I524" i="84"/>
  <c r="C524" i="84"/>
  <c r="R523" i="84"/>
  <c r="S523" i="84" s="1"/>
  <c r="Q523" i="84"/>
  <c r="O523" i="84"/>
  <c r="M523" i="84"/>
  <c r="K523" i="84"/>
  <c r="I523" i="84"/>
  <c r="C523" i="84"/>
  <c r="R522" i="84"/>
  <c r="S522" i="84" s="1"/>
  <c r="Q522" i="84"/>
  <c r="O522" i="84"/>
  <c r="M522" i="84"/>
  <c r="K522" i="84"/>
  <c r="I522" i="84"/>
  <c r="C522" i="84"/>
  <c r="R521" i="84"/>
  <c r="S521" i="84" s="1"/>
  <c r="Q521" i="84"/>
  <c r="O521" i="84"/>
  <c r="M521" i="84"/>
  <c r="K521" i="84"/>
  <c r="I521" i="84"/>
  <c r="C521" i="84"/>
  <c r="R520" i="84"/>
  <c r="S520" i="84" s="1"/>
  <c r="Q520" i="84"/>
  <c r="O520" i="84"/>
  <c r="M520" i="84"/>
  <c r="K520" i="84"/>
  <c r="I520" i="84"/>
  <c r="C520" i="84"/>
  <c r="R519" i="84"/>
  <c r="S519" i="84" s="1"/>
  <c r="Q519" i="84"/>
  <c r="O519" i="84"/>
  <c r="M519" i="84"/>
  <c r="K519" i="84"/>
  <c r="I519" i="84"/>
  <c r="C519" i="84"/>
  <c r="R518" i="84"/>
  <c r="S518" i="84" s="1"/>
  <c r="Q518" i="84"/>
  <c r="O518" i="84"/>
  <c r="M518" i="84"/>
  <c r="K518" i="84"/>
  <c r="I518" i="84"/>
  <c r="C518" i="84"/>
  <c r="R517" i="84"/>
  <c r="S517" i="84" s="1"/>
  <c r="Q517" i="84"/>
  <c r="O517" i="84"/>
  <c r="M517" i="84"/>
  <c r="K517" i="84"/>
  <c r="I517" i="84"/>
  <c r="C517" i="84"/>
  <c r="R516" i="84"/>
  <c r="S516" i="84" s="1"/>
  <c r="Q516" i="84"/>
  <c r="O516" i="84"/>
  <c r="M516" i="84"/>
  <c r="K516" i="84"/>
  <c r="I516" i="84"/>
  <c r="C516" i="84"/>
  <c r="R515" i="84"/>
  <c r="S515" i="84" s="1"/>
  <c r="Q515" i="84"/>
  <c r="O515" i="84"/>
  <c r="M515" i="84"/>
  <c r="K515" i="84"/>
  <c r="I515" i="84"/>
  <c r="C515" i="84"/>
  <c r="R514" i="84"/>
  <c r="S514" i="84" s="1"/>
  <c r="Q514" i="84"/>
  <c r="O514" i="84"/>
  <c r="M514" i="84"/>
  <c r="K514" i="84"/>
  <c r="I514" i="84"/>
  <c r="C514" i="84"/>
  <c r="R513" i="84"/>
  <c r="S513" i="84" s="1"/>
  <c r="Q513" i="84"/>
  <c r="O513" i="84"/>
  <c r="M513" i="84"/>
  <c r="K513" i="84"/>
  <c r="I513" i="84"/>
  <c r="C513" i="84"/>
  <c r="R512" i="84"/>
  <c r="S512" i="84" s="1"/>
  <c r="Q512" i="84"/>
  <c r="O512" i="84"/>
  <c r="M512" i="84"/>
  <c r="K512" i="84"/>
  <c r="I512" i="84"/>
  <c r="C512" i="84"/>
  <c r="R511" i="84"/>
  <c r="S511" i="84" s="1"/>
  <c r="Q511" i="84"/>
  <c r="O511" i="84"/>
  <c r="M511" i="84"/>
  <c r="K511" i="84"/>
  <c r="I511" i="84"/>
  <c r="C511" i="84"/>
  <c r="R510" i="84"/>
  <c r="S510" i="84" s="1"/>
  <c r="Q510" i="84"/>
  <c r="O510" i="84"/>
  <c r="M510" i="84"/>
  <c r="K510" i="84"/>
  <c r="I510" i="84"/>
  <c r="C510" i="84"/>
  <c r="R509" i="84"/>
  <c r="S509" i="84" s="1"/>
  <c r="Q509" i="84"/>
  <c r="O509" i="84"/>
  <c r="M509" i="84"/>
  <c r="K509" i="84"/>
  <c r="I509" i="84"/>
  <c r="C509" i="84"/>
  <c r="R508" i="84"/>
  <c r="S508" i="84" s="1"/>
  <c r="Q508" i="84"/>
  <c r="O508" i="84"/>
  <c r="M508" i="84"/>
  <c r="K508" i="84"/>
  <c r="I508" i="84"/>
  <c r="C508" i="84"/>
  <c r="R507" i="84"/>
  <c r="S507" i="84" s="1"/>
  <c r="Q507" i="84"/>
  <c r="O507" i="84"/>
  <c r="M507" i="84"/>
  <c r="K507" i="84"/>
  <c r="I507" i="84"/>
  <c r="C507" i="84"/>
  <c r="R506" i="84"/>
  <c r="S506" i="84" s="1"/>
  <c r="Q506" i="84"/>
  <c r="O506" i="84"/>
  <c r="M506" i="84"/>
  <c r="K506" i="84"/>
  <c r="I506" i="84"/>
  <c r="C506" i="84"/>
  <c r="R505" i="84"/>
  <c r="S505" i="84" s="1"/>
  <c r="Q505" i="84"/>
  <c r="O505" i="84"/>
  <c r="M505" i="84"/>
  <c r="K505" i="84"/>
  <c r="I505" i="84"/>
  <c r="C505" i="84"/>
  <c r="R504" i="84"/>
  <c r="S504" i="84" s="1"/>
  <c r="Q504" i="84"/>
  <c r="O504" i="84"/>
  <c r="M504" i="84"/>
  <c r="K504" i="84"/>
  <c r="I504" i="84"/>
  <c r="C504" i="84"/>
  <c r="R503" i="84"/>
  <c r="S503" i="84" s="1"/>
  <c r="Q503" i="84"/>
  <c r="O503" i="84"/>
  <c r="M503" i="84"/>
  <c r="K503" i="84"/>
  <c r="I503" i="84"/>
  <c r="C503" i="84"/>
  <c r="R502" i="84"/>
  <c r="S502" i="84" s="1"/>
  <c r="Q502" i="84"/>
  <c r="O502" i="84"/>
  <c r="M502" i="84"/>
  <c r="K502" i="84"/>
  <c r="I502" i="84"/>
  <c r="C502" i="84"/>
  <c r="R501" i="84"/>
  <c r="S501" i="84" s="1"/>
  <c r="Q501" i="84"/>
  <c r="O501" i="84"/>
  <c r="M501" i="84"/>
  <c r="K501" i="84"/>
  <c r="I501" i="84"/>
  <c r="C501" i="84"/>
  <c r="R500" i="84"/>
  <c r="S500" i="84" s="1"/>
  <c r="Q500" i="84"/>
  <c r="O500" i="84"/>
  <c r="M500" i="84"/>
  <c r="K500" i="84"/>
  <c r="I500" i="84"/>
  <c r="C500" i="84"/>
  <c r="R499" i="84"/>
  <c r="S499" i="84" s="1"/>
  <c r="Q499" i="84"/>
  <c r="O499" i="84"/>
  <c r="M499" i="84"/>
  <c r="K499" i="84"/>
  <c r="I499" i="84"/>
  <c r="C499" i="84"/>
  <c r="R498" i="84"/>
  <c r="S498" i="84" s="1"/>
  <c r="Q498" i="84"/>
  <c r="O498" i="84"/>
  <c r="M498" i="84"/>
  <c r="K498" i="84"/>
  <c r="I498" i="84"/>
  <c r="C498" i="84"/>
  <c r="R497" i="84"/>
  <c r="S497" i="84" s="1"/>
  <c r="Q497" i="84"/>
  <c r="O497" i="84"/>
  <c r="M497" i="84"/>
  <c r="K497" i="84"/>
  <c r="I497" i="84"/>
  <c r="C497" i="84"/>
  <c r="R496" i="84"/>
  <c r="S496" i="84" s="1"/>
  <c r="Q496" i="84"/>
  <c r="O496" i="84"/>
  <c r="M496" i="84"/>
  <c r="K496" i="84"/>
  <c r="I496" i="84"/>
  <c r="C496" i="84"/>
  <c r="R495" i="84"/>
  <c r="S495" i="84" s="1"/>
  <c r="Q495" i="84"/>
  <c r="O495" i="84"/>
  <c r="M495" i="84"/>
  <c r="K495" i="84"/>
  <c r="I495" i="84"/>
  <c r="C495" i="84"/>
  <c r="R494" i="84"/>
  <c r="S494" i="84" s="1"/>
  <c r="Q494" i="84"/>
  <c r="O494" i="84"/>
  <c r="M494" i="84"/>
  <c r="K494" i="84"/>
  <c r="I494" i="84"/>
  <c r="C494" i="84"/>
  <c r="R493" i="84"/>
  <c r="S493" i="84" s="1"/>
  <c r="Q493" i="84"/>
  <c r="O493" i="84"/>
  <c r="M493" i="84"/>
  <c r="K493" i="84"/>
  <c r="I493" i="84"/>
  <c r="C493" i="84"/>
  <c r="R492" i="84"/>
  <c r="S492" i="84" s="1"/>
  <c r="Q492" i="84"/>
  <c r="O492" i="84"/>
  <c r="M492" i="84"/>
  <c r="K492" i="84"/>
  <c r="I492" i="84"/>
  <c r="C492" i="84"/>
  <c r="R491" i="84"/>
  <c r="S491" i="84" s="1"/>
  <c r="Q491" i="84"/>
  <c r="O491" i="84"/>
  <c r="M491" i="84"/>
  <c r="K491" i="84"/>
  <c r="I491" i="84"/>
  <c r="C491" i="84"/>
  <c r="R490" i="84"/>
  <c r="S490" i="84" s="1"/>
  <c r="Q490" i="84"/>
  <c r="O490" i="84"/>
  <c r="M490" i="84"/>
  <c r="K490" i="84"/>
  <c r="I490" i="84"/>
  <c r="C490" i="84"/>
  <c r="R489" i="84"/>
  <c r="S489" i="84" s="1"/>
  <c r="Q489" i="84"/>
  <c r="O489" i="84"/>
  <c r="M489" i="84"/>
  <c r="K489" i="84"/>
  <c r="I489" i="84"/>
  <c r="C489" i="84"/>
  <c r="R488" i="84"/>
  <c r="S488" i="84" s="1"/>
  <c r="Q488" i="84"/>
  <c r="O488" i="84"/>
  <c r="M488" i="84"/>
  <c r="K488" i="84"/>
  <c r="I488" i="84"/>
  <c r="C488" i="84"/>
  <c r="R487" i="84"/>
  <c r="S487" i="84" s="1"/>
  <c r="Q487" i="84"/>
  <c r="O487" i="84"/>
  <c r="M487" i="84"/>
  <c r="K487" i="84"/>
  <c r="I487" i="84"/>
  <c r="C487" i="84"/>
  <c r="R486" i="84"/>
  <c r="S486" i="84" s="1"/>
  <c r="Q486" i="84"/>
  <c r="O486" i="84"/>
  <c r="M486" i="84"/>
  <c r="K486" i="84"/>
  <c r="I486" i="84"/>
  <c r="C486" i="84"/>
  <c r="R485" i="84"/>
  <c r="S485" i="84" s="1"/>
  <c r="Q485" i="84"/>
  <c r="O485" i="84"/>
  <c r="M485" i="84"/>
  <c r="K485" i="84"/>
  <c r="I485" i="84"/>
  <c r="C485" i="84"/>
  <c r="R484" i="84"/>
  <c r="S484" i="84" s="1"/>
  <c r="Q484" i="84"/>
  <c r="O484" i="84"/>
  <c r="M484" i="84"/>
  <c r="K484" i="84"/>
  <c r="I484" i="84"/>
  <c r="C484" i="84"/>
  <c r="R483" i="84"/>
  <c r="S483" i="84" s="1"/>
  <c r="Q483" i="84"/>
  <c r="O483" i="84"/>
  <c r="M483" i="84"/>
  <c r="K483" i="84"/>
  <c r="I483" i="84"/>
  <c r="C483" i="84"/>
  <c r="R482" i="84"/>
  <c r="S482" i="84" s="1"/>
  <c r="Q482" i="84"/>
  <c r="O482" i="84"/>
  <c r="M482" i="84"/>
  <c r="K482" i="84"/>
  <c r="I482" i="84"/>
  <c r="C482" i="84"/>
  <c r="R481" i="84"/>
  <c r="S481" i="84" s="1"/>
  <c r="Q481" i="84"/>
  <c r="O481" i="84"/>
  <c r="M481" i="84"/>
  <c r="K481" i="84"/>
  <c r="I481" i="84"/>
  <c r="C481" i="84"/>
  <c r="R480" i="84"/>
  <c r="S480" i="84" s="1"/>
  <c r="Q480" i="84"/>
  <c r="O480" i="84"/>
  <c r="M480" i="84"/>
  <c r="K480" i="84"/>
  <c r="I480" i="84"/>
  <c r="C480" i="84"/>
  <c r="R479" i="84"/>
  <c r="S479" i="84" s="1"/>
  <c r="Q479" i="84"/>
  <c r="O479" i="84"/>
  <c r="M479" i="84"/>
  <c r="K479" i="84"/>
  <c r="I479" i="84"/>
  <c r="C479" i="84"/>
  <c r="R478" i="84"/>
  <c r="S478" i="84" s="1"/>
  <c r="Q478" i="84"/>
  <c r="O478" i="84"/>
  <c r="M478" i="84"/>
  <c r="K478" i="84"/>
  <c r="I478" i="84"/>
  <c r="C478" i="84"/>
  <c r="R477" i="84"/>
  <c r="S477" i="84" s="1"/>
  <c r="Q477" i="84"/>
  <c r="O477" i="84"/>
  <c r="M477" i="84"/>
  <c r="K477" i="84"/>
  <c r="I477" i="84"/>
  <c r="C477" i="84"/>
  <c r="R476" i="84"/>
  <c r="S476" i="84" s="1"/>
  <c r="Q476" i="84"/>
  <c r="O476" i="84"/>
  <c r="M476" i="84"/>
  <c r="K476" i="84"/>
  <c r="I476" i="84"/>
  <c r="C476" i="84"/>
  <c r="R475" i="84"/>
  <c r="S475" i="84" s="1"/>
  <c r="Q475" i="84"/>
  <c r="O475" i="84"/>
  <c r="M475" i="84"/>
  <c r="K475" i="84"/>
  <c r="I475" i="84"/>
  <c r="C475" i="84"/>
  <c r="R474" i="84"/>
  <c r="S474" i="84" s="1"/>
  <c r="Q474" i="84"/>
  <c r="O474" i="84"/>
  <c r="M474" i="84"/>
  <c r="K474" i="84"/>
  <c r="I474" i="84"/>
  <c r="C474" i="84"/>
  <c r="R473" i="84"/>
  <c r="S473" i="84" s="1"/>
  <c r="Q473" i="84"/>
  <c r="O473" i="84"/>
  <c r="M473" i="84"/>
  <c r="K473" i="84"/>
  <c r="I473" i="84"/>
  <c r="C473" i="84"/>
  <c r="R472" i="84"/>
  <c r="S472" i="84" s="1"/>
  <c r="Q472" i="84"/>
  <c r="O472" i="84"/>
  <c r="M472" i="84"/>
  <c r="K472" i="84"/>
  <c r="I472" i="84"/>
  <c r="C472" i="84"/>
  <c r="R471" i="84"/>
  <c r="S471" i="84" s="1"/>
  <c r="Q471" i="84"/>
  <c r="O471" i="84"/>
  <c r="M471" i="84"/>
  <c r="K471" i="84"/>
  <c r="I471" i="84"/>
  <c r="C471" i="84"/>
  <c r="R470" i="84"/>
  <c r="S470" i="84" s="1"/>
  <c r="Q470" i="84"/>
  <c r="O470" i="84"/>
  <c r="M470" i="84"/>
  <c r="K470" i="84"/>
  <c r="I470" i="84"/>
  <c r="C470" i="84"/>
  <c r="R469" i="84"/>
  <c r="S469" i="84" s="1"/>
  <c r="Q469" i="84"/>
  <c r="O469" i="84"/>
  <c r="M469" i="84"/>
  <c r="K469" i="84"/>
  <c r="I469" i="84"/>
  <c r="C469" i="84"/>
  <c r="R468" i="84"/>
  <c r="S468" i="84" s="1"/>
  <c r="Q468" i="84"/>
  <c r="O468" i="84"/>
  <c r="M468" i="84"/>
  <c r="K468" i="84"/>
  <c r="I468" i="84"/>
  <c r="C468" i="84"/>
  <c r="R467" i="84"/>
  <c r="S467" i="84" s="1"/>
  <c r="Q467" i="84"/>
  <c r="O467" i="84"/>
  <c r="M467" i="84"/>
  <c r="K467" i="84"/>
  <c r="I467" i="84"/>
  <c r="C467" i="84"/>
  <c r="R466" i="84"/>
  <c r="S466" i="84" s="1"/>
  <c r="Q466" i="84"/>
  <c r="O466" i="84"/>
  <c r="M466" i="84"/>
  <c r="K466" i="84"/>
  <c r="I466" i="84"/>
  <c r="C466" i="84"/>
  <c r="R465" i="84"/>
  <c r="S465" i="84" s="1"/>
  <c r="Q465" i="84"/>
  <c r="O465" i="84"/>
  <c r="M465" i="84"/>
  <c r="K465" i="84"/>
  <c r="I465" i="84"/>
  <c r="C465" i="84"/>
  <c r="R464" i="84"/>
  <c r="S464" i="84" s="1"/>
  <c r="Q464" i="84"/>
  <c r="O464" i="84"/>
  <c r="M464" i="84"/>
  <c r="K464" i="84"/>
  <c r="I464" i="84"/>
  <c r="C464" i="84"/>
  <c r="R463" i="84"/>
  <c r="S463" i="84" s="1"/>
  <c r="Q463" i="84"/>
  <c r="O463" i="84"/>
  <c r="M463" i="84"/>
  <c r="K463" i="84"/>
  <c r="I463" i="84"/>
  <c r="C463" i="84"/>
  <c r="R462" i="84"/>
  <c r="S462" i="84" s="1"/>
  <c r="Q462" i="84"/>
  <c r="O462" i="84"/>
  <c r="M462" i="84"/>
  <c r="K462" i="84"/>
  <c r="I462" i="84"/>
  <c r="C462" i="84"/>
  <c r="R461" i="84"/>
  <c r="S461" i="84" s="1"/>
  <c r="Q461" i="84"/>
  <c r="O461" i="84"/>
  <c r="M461" i="84"/>
  <c r="K461" i="84"/>
  <c r="I461" i="84"/>
  <c r="C461" i="84"/>
  <c r="R460" i="84"/>
  <c r="S460" i="84" s="1"/>
  <c r="Q460" i="84"/>
  <c r="O460" i="84"/>
  <c r="M460" i="84"/>
  <c r="K460" i="84"/>
  <c r="I460" i="84"/>
  <c r="C460" i="84"/>
  <c r="R459" i="84"/>
  <c r="S459" i="84" s="1"/>
  <c r="Q459" i="84"/>
  <c r="O459" i="84"/>
  <c r="M459" i="84"/>
  <c r="K459" i="84"/>
  <c r="I459" i="84"/>
  <c r="C459" i="84"/>
  <c r="R458" i="84"/>
  <c r="S458" i="84" s="1"/>
  <c r="Q458" i="84"/>
  <c r="O458" i="84"/>
  <c r="M458" i="84"/>
  <c r="K458" i="84"/>
  <c r="I458" i="84"/>
  <c r="C458" i="84"/>
  <c r="R457" i="84"/>
  <c r="S457" i="84" s="1"/>
  <c r="Q457" i="84"/>
  <c r="O457" i="84"/>
  <c r="M457" i="84"/>
  <c r="K457" i="84"/>
  <c r="I457" i="84"/>
  <c r="C457" i="84"/>
  <c r="R456" i="84"/>
  <c r="S456" i="84" s="1"/>
  <c r="Q456" i="84"/>
  <c r="O456" i="84"/>
  <c r="M456" i="84"/>
  <c r="K456" i="84"/>
  <c r="I456" i="84"/>
  <c r="C456" i="84"/>
  <c r="R455" i="84"/>
  <c r="S455" i="84" s="1"/>
  <c r="Q455" i="84"/>
  <c r="O455" i="84"/>
  <c r="M455" i="84"/>
  <c r="K455" i="84"/>
  <c r="I455" i="84"/>
  <c r="C455" i="84"/>
  <c r="R454" i="84"/>
  <c r="S454" i="84" s="1"/>
  <c r="Q454" i="84"/>
  <c r="O454" i="84"/>
  <c r="M454" i="84"/>
  <c r="K454" i="84"/>
  <c r="I454" i="84"/>
  <c r="C454" i="84"/>
  <c r="R453" i="84"/>
  <c r="S453" i="84" s="1"/>
  <c r="Q453" i="84"/>
  <c r="O453" i="84"/>
  <c r="M453" i="84"/>
  <c r="K453" i="84"/>
  <c r="I453" i="84"/>
  <c r="C453" i="84"/>
  <c r="R452" i="84"/>
  <c r="S452" i="84" s="1"/>
  <c r="Q452" i="84"/>
  <c r="O452" i="84"/>
  <c r="M452" i="84"/>
  <c r="K452" i="84"/>
  <c r="I452" i="84"/>
  <c r="C452" i="84"/>
  <c r="R451" i="84"/>
  <c r="S451" i="84" s="1"/>
  <c r="Q451" i="84"/>
  <c r="O451" i="84"/>
  <c r="M451" i="84"/>
  <c r="K451" i="84"/>
  <c r="I451" i="84"/>
  <c r="C451" i="84"/>
  <c r="R450" i="84"/>
  <c r="S450" i="84" s="1"/>
  <c r="Q450" i="84"/>
  <c r="O450" i="84"/>
  <c r="M450" i="84"/>
  <c r="K450" i="84"/>
  <c r="I450" i="84"/>
  <c r="C450" i="84"/>
  <c r="R449" i="84"/>
  <c r="S449" i="84" s="1"/>
  <c r="Q449" i="84"/>
  <c r="O449" i="84"/>
  <c r="M449" i="84"/>
  <c r="K449" i="84"/>
  <c r="I449" i="84"/>
  <c r="C449" i="84"/>
  <c r="R448" i="84"/>
  <c r="S448" i="84" s="1"/>
  <c r="Q448" i="84"/>
  <c r="O448" i="84"/>
  <c r="M448" i="84"/>
  <c r="K448" i="84"/>
  <c r="I448" i="84"/>
  <c r="C448" i="84"/>
  <c r="R447" i="84"/>
  <c r="S447" i="84" s="1"/>
  <c r="Q447" i="84"/>
  <c r="O447" i="84"/>
  <c r="M447" i="84"/>
  <c r="K447" i="84"/>
  <c r="I447" i="84"/>
  <c r="C447" i="84"/>
  <c r="R446" i="84"/>
  <c r="S446" i="84" s="1"/>
  <c r="Q446" i="84"/>
  <c r="O446" i="84"/>
  <c r="M446" i="84"/>
  <c r="K446" i="84"/>
  <c r="I446" i="84"/>
  <c r="C446" i="84"/>
  <c r="R445" i="84"/>
  <c r="S445" i="84" s="1"/>
  <c r="Q445" i="84"/>
  <c r="O445" i="84"/>
  <c r="M445" i="84"/>
  <c r="K445" i="84"/>
  <c r="I445" i="84"/>
  <c r="C445" i="84"/>
  <c r="R444" i="84"/>
  <c r="S444" i="84" s="1"/>
  <c r="Q444" i="84"/>
  <c r="O444" i="84"/>
  <c r="M444" i="84"/>
  <c r="K444" i="84"/>
  <c r="I444" i="84"/>
  <c r="C444" i="84"/>
  <c r="R443" i="84"/>
  <c r="S443" i="84" s="1"/>
  <c r="Q443" i="84"/>
  <c r="O443" i="84"/>
  <c r="M443" i="84"/>
  <c r="K443" i="84"/>
  <c r="I443" i="84"/>
  <c r="C443" i="84"/>
  <c r="R442" i="84"/>
  <c r="S442" i="84" s="1"/>
  <c r="Q442" i="84"/>
  <c r="O442" i="84"/>
  <c r="M442" i="84"/>
  <c r="K442" i="84"/>
  <c r="I442" i="84"/>
  <c r="C442" i="84"/>
  <c r="R441" i="84"/>
  <c r="S441" i="84" s="1"/>
  <c r="Q441" i="84"/>
  <c r="O441" i="84"/>
  <c r="M441" i="84"/>
  <c r="K441" i="84"/>
  <c r="I441" i="84"/>
  <c r="C441" i="84"/>
  <c r="R440" i="84"/>
  <c r="S440" i="84" s="1"/>
  <c r="Q440" i="84"/>
  <c r="O440" i="84"/>
  <c r="M440" i="84"/>
  <c r="K440" i="84"/>
  <c r="I440" i="84"/>
  <c r="C440" i="84"/>
  <c r="R439" i="84"/>
  <c r="S439" i="84" s="1"/>
  <c r="Q439" i="84"/>
  <c r="O439" i="84"/>
  <c r="M439" i="84"/>
  <c r="K439" i="84"/>
  <c r="I439" i="84"/>
  <c r="C439" i="84"/>
  <c r="R438" i="84"/>
  <c r="S438" i="84" s="1"/>
  <c r="Q438" i="84"/>
  <c r="O438" i="84"/>
  <c r="M438" i="84"/>
  <c r="K438" i="84"/>
  <c r="I438" i="84"/>
  <c r="C438" i="84"/>
  <c r="R437" i="84"/>
  <c r="S437" i="84" s="1"/>
  <c r="Q437" i="84"/>
  <c r="O437" i="84"/>
  <c r="M437" i="84"/>
  <c r="K437" i="84"/>
  <c r="I437" i="84"/>
  <c r="C437" i="84"/>
  <c r="R436" i="84"/>
  <c r="S436" i="84" s="1"/>
  <c r="Q436" i="84"/>
  <c r="O436" i="84"/>
  <c r="M436" i="84"/>
  <c r="K436" i="84"/>
  <c r="I436" i="84"/>
  <c r="C436" i="84"/>
  <c r="R435" i="84"/>
  <c r="S435" i="84" s="1"/>
  <c r="Q435" i="84"/>
  <c r="O435" i="84"/>
  <c r="M435" i="84"/>
  <c r="K435" i="84"/>
  <c r="I435" i="84"/>
  <c r="C435" i="84"/>
  <c r="R434" i="84"/>
  <c r="S434" i="84" s="1"/>
  <c r="Q434" i="84"/>
  <c r="O434" i="84"/>
  <c r="M434" i="84"/>
  <c r="K434" i="84"/>
  <c r="I434" i="84"/>
  <c r="C434" i="84"/>
  <c r="R433" i="84"/>
  <c r="S433" i="84" s="1"/>
  <c r="Q433" i="84"/>
  <c r="O433" i="84"/>
  <c r="M433" i="84"/>
  <c r="K433" i="84"/>
  <c r="I433" i="84"/>
  <c r="C433" i="84"/>
  <c r="R432" i="84"/>
  <c r="S432" i="84" s="1"/>
  <c r="Q432" i="84"/>
  <c r="O432" i="84"/>
  <c r="M432" i="84"/>
  <c r="K432" i="84"/>
  <c r="I432" i="84"/>
  <c r="C432" i="84"/>
  <c r="R431" i="84"/>
  <c r="S431" i="84" s="1"/>
  <c r="Q431" i="84"/>
  <c r="O431" i="84"/>
  <c r="M431" i="84"/>
  <c r="K431" i="84"/>
  <c r="I431" i="84"/>
  <c r="C431" i="84"/>
  <c r="R430" i="84"/>
  <c r="S430" i="84" s="1"/>
  <c r="Q430" i="84"/>
  <c r="O430" i="84"/>
  <c r="M430" i="84"/>
  <c r="K430" i="84"/>
  <c r="I430" i="84"/>
  <c r="C430" i="84"/>
  <c r="R429" i="84"/>
  <c r="S429" i="84" s="1"/>
  <c r="Q429" i="84"/>
  <c r="O429" i="84"/>
  <c r="M429" i="84"/>
  <c r="K429" i="84"/>
  <c r="I429" i="84"/>
  <c r="C429" i="84"/>
  <c r="R428" i="84"/>
  <c r="S428" i="84" s="1"/>
  <c r="Q428" i="84"/>
  <c r="O428" i="84"/>
  <c r="M428" i="84"/>
  <c r="K428" i="84"/>
  <c r="I428" i="84"/>
  <c r="C428" i="84"/>
  <c r="R427" i="84"/>
  <c r="S427" i="84" s="1"/>
  <c r="Q427" i="84"/>
  <c r="O427" i="84"/>
  <c r="M427" i="84"/>
  <c r="K427" i="84"/>
  <c r="I427" i="84"/>
  <c r="C427" i="84"/>
  <c r="R426" i="84"/>
  <c r="S426" i="84" s="1"/>
  <c r="Q426" i="84"/>
  <c r="O426" i="84"/>
  <c r="M426" i="84"/>
  <c r="K426" i="84"/>
  <c r="I426" i="84"/>
  <c r="C426" i="84"/>
  <c r="R425" i="84"/>
  <c r="S425" i="84" s="1"/>
  <c r="Q425" i="84"/>
  <c r="O425" i="84"/>
  <c r="M425" i="84"/>
  <c r="K425" i="84"/>
  <c r="I425" i="84"/>
  <c r="C425" i="84"/>
  <c r="R424" i="84"/>
  <c r="S424" i="84" s="1"/>
  <c r="Q424" i="84"/>
  <c r="O424" i="84"/>
  <c r="M424" i="84"/>
  <c r="K424" i="84"/>
  <c r="I424" i="84"/>
  <c r="C424" i="84"/>
  <c r="R423" i="84"/>
  <c r="S423" i="84" s="1"/>
  <c r="Q423" i="84"/>
  <c r="O423" i="84"/>
  <c r="M423" i="84"/>
  <c r="K423" i="84"/>
  <c r="I423" i="84"/>
  <c r="C423" i="84"/>
  <c r="R422" i="84"/>
  <c r="S422" i="84" s="1"/>
  <c r="Q422" i="84"/>
  <c r="O422" i="84"/>
  <c r="M422" i="84"/>
  <c r="K422" i="84"/>
  <c r="I422" i="84"/>
  <c r="C422" i="84"/>
  <c r="R421" i="84"/>
  <c r="S421" i="84" s="1"/>
  <c r="Q421" i="84"/>
  <c r="O421" i="84"/>
  <c r="M421" i="84"/>
  <c r="K421" i="84"/>
  <c r="I421" i="84"/>
  <c r="C421" i="84"/>
  <c r="R420" i="84"/>
  <c r="S420" i="84" s="1"/>
  <c r="Q420" i="84"/>
  <c r="O420" i="84"/>
  <c r="M420" i="84"/>
  <c r="K420" i="84"/>
  <c r="I420" i="84"/>
  <c r="C420" i="84"/>
  <c r="R419" i="84"/>
  <c r="S419" i="84" s="1"/>
  <c r="Q419" i="84"/>
  <c r="O419" i="84"/>
  <c r="M419" i="84"/>
  <c r="K419" i="84"/>
  <c r="I419" i="84"/>
  <c r="C419" i="84"/>
  <c r="R418" i="84"/>
  <c r="S418" i="84" s="1"/>
  <c r="Q418" i="84"/>
  <c r="O418" i="84"/>
  <c r="M418" i="84"/>
  <c r="K418" i="84"/>
  <c r="I418" i="84"/>
  <c r="C418" i="84"/>
  <c r="R417" i="84"/>
  <c r="S417" i="84" s="1"/>
  <c r="Q417" i="84"/>
  <c r="O417" i="84"/>
  <c r="M417" i="84"/>
  <c r="K417" i="84"/>
  <c r="I417" i="84"/>
  <c r="C417" i="84"/>
  <c r="R416" i="84"/>
  <c r="S416" i="84" s="1"/>
  <c r="Q416" i="84"/>
  <c r="O416" i="84"/>
  <c r="M416" i="84"/>
  <c r="K416" i="84"/>
  <c r="I416" i="84"/>
  <c r="C416" i="84"/>
  <c r="R415" i="84"/>
  <c r="S415" i="84" s="1"/>
  <c r="Q415" i="84"/>
  <c r="O415" i="84"/>
  <c r="M415" i="84"/>
  <c r="K415" i="84"/>
  <c r="I415" i="84"/>
  <c r="C415" i="84"/>
  <c r="R414" i="84"/>
  <c r="S414" i="84" s="1"/>
  <c r="Q414" i="84"/>
  <c r="O414" i="84"/>
  <c r="M414" i="84"/>
  <c r="K414" i="84"/>
  <c r="I414" i="84"/>
  <c r="C414" i="84"/>
  <c r="R413" i="84"/>
  <c r="S413" i="84" s="1"/>
  <c r="Q413" i="84"/>
  <c r="O413" i="84"/>
  <c r="M413" i="84"/>
  <c r="K413" i="84"/>
  <c r="I413" i="84"/>
  <c r="C413" i="84"/>
  <c r="R412" i="84"/>
  <c r="S412" i="84" s="1"/>
  <c r="Q412" i="84"/>
  <c r="O412" i="84"/>
  <c r="M412" i="84"/>
  <c r="K412" i="84"/>
  <c r="I412" i="84"/>
  <c r="C412" i="84"/>
  <c r="R411" i="84"/>
  <c r="S411" i="84" s="1"/>
  <c r="Q411" i="84"/>
  <c r="O411" i="84"/>
  <c r="M411" i="84"/>
  <c r="K411" i="84"/>
  <c r="I411" i="84"/>
  <c r="C411" i="84"/>
  <c r="R410" i="84"/>
  <c r="S410" i="84" s="1"/>
  <c r="Q410" i="84"/>
  <c r="O410" i="84"/>
  <c r="M410" i="84"/>
  <c r="K410" i="84"/>
  <c r="I410" i="84"/>
  <c r="C410" i="84"/>
  <c r="R409" i="84"/>
  <c r="S409" i="84" s="1"/>
  <c r="Q409" i="84"/>
  <c r="O409" i="84"/>
  <c r="M409" i="84"/>
  <c r="K409" i="84"/>
  <c r="I409" i="84"/>
  <c r="C409" i="84"/>
  <c r="R408" i="84"/>
  <c r="S408" i="84" s="1"/>
  <c r="Q408" i="84"/>
  <c r="O408" i="84"/>
  <c r="M408" i="84"/>
  <c r="K408" i="84"/>
  <c r="I408" i="84"/>
  <c r="C408" i="84"/>
  <c r="R407" i="84"/>
  <c r="S407" i="84" s="1"/>
  <c r="Q407" i="84"/>
  <c r="O407" i="84"/>
  <c r="M407" i="84"/>
  <c r="K407" i="84"/>
  <c r="I407" i="84"/>
  <c r="C407" i="84"/>
  <c r="R406" i="84"/>
  <c r="S406" i="84" s="1"/>
  <c r="Q406" i="84"/>
  <c r="O406" i="84"/>
  <c r="M406" i="84"/>
  <c r="K406" i="84"/>
  <c r="I406" i="84"/>
  <c r="C406" i="84"/>
  <c r="R405" i="84"/>
  <c r="S405" i="84" s="1"/>
  <c r="Q405" i="84"/>
  <c r="O405" i="84"/>
  <c r="M405" i="84"/>
  <c r="K405" i="84"/>
  <c r="I405" i="84"/>
  <c r="C405" i="84"/>
  <c r="R404" i="84"/>
  <c r="S404" i="84" s="1"/>
  <c r="Q404" i="84"/>
  <c r="O404" i="84"/>
  <c r="M404" i="84"/>
  <c r="K404" i="84"/>
  <c r="I404" i="84"/>
  <c r="C404" i="84"/>
  <c r="R403" i="84"/>
  <c r="S403" i="84" s="1"/>
  <c r="Q403" i="84"/>
  <c r="O403" i="84"/>
  <c r="M403" i="84"/>
  <c r="K403" i="84"/>
  <c r="I403" i="84"/>
  <c r="C403" i="84"/>
  <c r="R402" i="84"/>
  <c r="S402" i="84" s="1"/>
  <c r="Q402" i="84"/>
  <c r="O402" i="84"/>
  <c r="M402" i="84"/>
  <c r="K402" i="84"/>
  <c r="I402" i="84"/>
  <c r="C402" i="84"/>
  <c r="R401" i="84"/>
  <c r="S401" i="84" s="1"/>
  <c r="Q401" i="84"/>
  <c r="O401" i="84"/>
  <c r="M401" i="84"/>
  <c r="K401" i="84"/>
  <c r="I401" i="84"/>
  <c r="C401" i="84"/>
  <c r="R400" i="84"/>
  <c r="S400" i="84" s="1"/>
  <c r="Q400" i="84"/>
  <c r="O400" i="84"/>
  <c r="M400" i="84"/>
  <c r="K400" i="84"/>
  <c r="I400" i="84"/>
  <c r="C400" i="84"/>
  <c r="R399" i="84"/>
  <c r="S399" i="84" s="1"/>
  <c r="Q399" i="84"/>
  <c r="O399" i="84"/>
  <c r="M399" i="84"/>
  <c r="K399" i="84"/>
  <c r="I399" i="84"/>
  <c r="C399" i="84"/>
  <c r="R398" i="84"/>
  <c r="S398" i="84" s="1"/>
  <c r="Q398" i="84"/>
  <c r="O398" i="84"/>
  <c r="M398" i="84"/>
  <c r="K398" i="84"/>
  <c r="I398" i="84"/>
  <c r="C398" i="84"/>
  <c r="R397" i="84"/>
  <c r="S397" i="84" s="1"/>
  <c r="Q397" i="84"/>
  <c r="O397" i="84"/>
  <c r="M397" i="84"/>
  <c r="K397" i="84"/>
  <c r="I397" i="84"/>
  <c r="C397" i="84"/>
  <c r="R396" i="84"/>
  <c r="S396" i="84" s="1"/>
  <c r="Q396" i="84"/>
  <c r="O396" i="84"/>
  <c r="M396" i="84"/>
  <c r="K396" i="84"/>
  <c r="I396" i="84"/>
  <c r="C396" i="84"/>
  <c r="R395" i="84"/>
  <c r="S395" i="84" s="1"/>
  <c r="Q395" i="84"/>
  <c r="O395" i="84"/>
  <c r="M395" i="84"/>
  <c r="K395" i="84"/>
  <c r="I395" i="84"/>
  <c r="C395" i="84"/>
  <c r="R394" i="84"/>
  <c r="S394" i="84" s="1"/>
  <c r="Q394" i="84"/>
  <c r="O394" i="84"/>
  <c r="M394" i="84"/>
  <c r="K394" i="84"/>
  <c r="I394" i="84"/>
  <c r="C394" i="84"/>
  <c r="R393" i="84"/>
  <c r="S393" i="84" s="1"/>
  <c r="Q393" i="84"/>
  <c r="O393" i="84"/>
  <c r="M393" i="84"/>
  <c r="K393" i="84"/>
  <c r="I393" i="84"/>
  <c r="C393" i="84"/>
  <c r="R392" i="84"/>
  <c r="S392" i="84" s="1"/>
  <c r="Q392" i="84"/>
  <c r="O392" i="84"/>
  <c r="M392" i="84"/>
  <c r="K392" i="84"/>
  <c r="I392" i="84"/>
  <c r="C392" i="84"/>
  <c r="R391" i="84"/>
  <c r="S391" i="84" s="1"/>
  <c r="Q391" i="84"/>
  <c r="O391" i="84"/>
  <c r="M391" i="84"/>
  <c r="K391" i="84"/>
  <c r="I391" i="84"/>
  <c r="C391" i="84"/>
  <c r="R390" i="84"/>
  <c r="S390" i="84" s="1"/>
  <c r="Q390" i="84"/>
  <c r="O390" i="84"/>
  <c r="M390" i="84"/>
  <c r="K390" i="84"/>
  <c r="I390" i="84"/>
  <c r="C390" i="84"/>
  <c r="R389" i="84"/>
  <c r="S389" i="84" s="1"/>
  <c r="Q389" i="84"/>
  <c r="O389" i="84"/>
  <c r="M389" i="84"/>
  <c r="K389" i="84"/>
  <c r="I389" i="84"/>
  <c r="C389" i="84"/>
  <c r="R388" i="84"/>
  <c r="S388" i="84" s="1"/>
  <c r="Q388" i="84"/>
  <c r="O388" i="84"/>
  <c r="M388" i="84"/>
  <c r="K388" i="84"/>
  <c r="I388" i="84"/>
  <c r="C388" i="84"/>
  <c r="R387" i="84"/>
  <c r="S387" i="84" s="1"/>
  <c r="Q387" i="84"/>
  <c r="O387" i="84"/>
  <c r="M387" i="84"/>
  <c r="K387" i="84"/>
  <c r="I387" i="84"/>
  <c r="C387" i="84"/>
  <c r="R386" i="84"/>
  <c r="S386" i="84" s="1"/>
  <c r="Q386" i="84"/>
  <c r="O386" i="84"/>
  <c r="M386" i="84"/>
  <c r="K386" i="84"/>
  <c r="I386" i="84"/>
  <c r="C386" i="84"/>
  <c r="R385" i="84"/>
  <c r="S385" i="84" s="1"/>
  <c r="Q385" i="84"/>
  <c r="O385" i="84"/>
  <c r="M385" i="84"/>
  <c r="K385" i="84"/>
  <c r="I385" i="84"/>
  <c r="C385" i="84"/>
  <c r="R384" i="84"/>
  <c r="S384" i="84" s="1"/>
  <c r="Q384" i="84"/>
  <c r="O384" i="84"/>
  <c r="M384" i="84"/>
  <c r="K384" i="84"/>
  <c r="I384" i="84"/>
  <c r="C384" i="84"/>
  <c r="R383" i="84"/>
  <c r="S383" i="84" s="1"/>
  <c r="Q383" i="84"/>
  <c r="O383" i="84"/>
  <c r="M383" i="84"/>
  <c r="K383" i="84"/>
  <c r="I383" i="84"/>
  <c r="C383" i="84"/>
  <c r="R382" i="84"/>
  <c r="S382" i="84" s="1"/>
  <c r="Q382" i="84"/>
  <c r="O382" i="84"/>
  <c r="M382" i="84"/>
  <c r="K382" i="84"/>
  <c r="I382" i="84"/>
  <c r="C382" i="84"/>
  <c r="R381" i="84"/>
  <c r="S381" i="84" s="1"/>
  <c r="Q381" i="84"/>
  <c r="O381" i="84"/>
  <c r="M381" i="84"/>
  <c r="K381" i="84"/>
  <c r="I381" i="84"/>
  <c r="C381" i="84"/>
  <c r="R380" i="84"/>
  <c r="S380" i="84" s="1"/>
  <c r="Q380" i="84"/>
  <c r="O380" i="84"/>
  <c r="M380" i="84"/>
  <c r="K380" i="84"/>
  <c r="I380" i="84"/>
  <c r="C380" i="84"/>
  <c r="R379" i="84"/>
  <c r="S379" i="84" s="1"/>
  <c r="Q379" i="84"/>
  <c r="O379" i="84"/>
  <c r="M379" i="84"/>
  <c r="K379" i="84"/>
  <c r="I379" i="84"/>
  <c r="C379" i="84"/>
  <c r="R378" i="84"/>
  <c r="S378" i="84" s="1"/>
  <c r="Q378" i="84"/>
  <c r="O378" i="84"/>
  <c r="M378" i="84"/>
  <c r="K378" i="84"/>
  <c r="I378" i="84"/>
  <c r="C378" i="84"/>
  <c r="R377" i="84"/>
  <c r="S377" i="84" s="1"/>
  <c r="Q377" i="84"/>
  <c r="O377" i="84"/>
  <c r="M377" i="84"/>
  <c r="K377" i="84"/>
  <c r="I377" i="84"/>
  <c r="C377" i="84"/>
  <c r="R376" i="84"/>
  <c r="S376" i="84" s="1"/>
  <c r="Q376" i="84"/>
  <c r="O376" i="84"/>
  <c r="M376" i="84"/>
  <c r="K376" i="84"/>
  <c r="I376" i="84"/>
  <c r="C376" i="84"/>
  <c r="R375" i="84"/>
  <c r="S375" i="84" s="1"/>
  <c r="Q375" i="84"/>
  <c r="O375" i="84"/>
  <c r="M375" i="84"/>
  <c r="K375" i="84"/>
  <c r="I375" i="84"/>
  <c r="C375" i="84"/>
  <c r="R374" i="84"/>
  <c r="S374" i="84" s="1"/>
  <c r="Q374" i="84"/>
  <c r="O374" i="84"/>
  <c r="M374" i="84"/>
  <c r="K374" i="84"/>
  <c r="I374" i="84"/>
  <c r="C374" i="84"/>
  <c r="R373" i="84"/>
  <c r="S373" i="84" s="1"/>
  <c r="Q373" i="84"/>
  <c r="O373" i="84"/>
  <c r="M373" i="84"/>
  <c r="K373" i="84"/>
  <c r="I373" i="84"/>
  <c r="C373" i="84"/>
  <c r="R372" i="84"/>
  <c r="S372" i="84" s="1"/>
  <c r="Q372" i="84"/>
  <c r="O372" i="84"/>
  <c r="M372" i="84"/>
  <c r="K372" i="84"/>
  <c r="I372" i="84"/>
  <c r="C372" i="84"/>
  <c r="R371" i="84"/>
  <c r="S371" i="84" s="1"/>
  <c r="Q371" i="84"/>
  <c r="O371" i="84"/>
  <c r="M371" i="84"/>
  <c r="K371" i="84"/>
  <c r="I371" i="84"/>
  <c r="C371" i="84"/>
  <c r="R370" i="84"/>
  <c r="S370" i="84" s="1"/>
  <c r="Q370" i="84"/>
  <c r="O370" i="84"/>
  <c r="M370" i="84"/>
  <c r="K370" i="84"/>
  <c r="I370" i="84"/>
  <c r="C370" i="84"/>
  <c r="R369" i="84"/>
  <c r="S369" i="84" s="1"/>
  <c r="Q369" i="84"/>
  <c r="O369" i="84"/>
  <c r="M369" i="84"/>
  <c r="K369" i="84"/>
  <c r="I369" i="84"/>
  <c r="C369" i="84"/>
  <c r="R368" i="84"/>
  <c r="S368" i="84" s="1"/>
  <c r="Q368" i="84"/>
  <c r="O368" i="84"/>
  <c r="M368" i="84"/>
  <c r="K368" i="84"/>
  <c r="I368" i="84"/>
  <c r="C368" i="84"/>
  <c r="R367" i="84"/>
  <c r="S367" i="84" s="1"/>
  <c r="Q367" i="84"/>
  <c r="O367" i="84"/>
  <c r="M367" i="84"/>
  <c r="K367" i="84"/>
  <c r="I367" i="84"/>
  <c r="C367" i="84"/>
  <c r="R366" i="84"/>
  <c r="S366" i="84" s="1"/>
  <c r="Q366" i="84"/>
  <c r="O366" i="84"/>
  <c r="M366" i="84"/>
  <c r="K366" i="84"/>
  <c r="I366" i="84"/>
  <c r="C366" i="84"/>
  <c r="R365" i="84"/>
  <c r="S365" i="84" s="1"/>
  <c r="Q365" i="84"/>
  <c r="O365" i="84"/>
  <c r="M365" i="84"/>
  <c r="K365" i="84"/>
  <c r="I365" i="84"/>
  <c r="C365" i="84"/>
  <c r="R364" i="84"/>
  <c r="S364" i="84" s="1"/>
  <c r="Q364" i="84"/>
  <c r="O364" i="84"/>
  <c r="M364" i="84"/>
  <c r="K364" i="84"/>
  <c r="I364" i="84"/>
  <c r="C364" i="84"/>
  <c r="R363" i="84"/>
  <c r="S363" i="84" s="1"/>
  <c r="Q363" i="84"/>
  <c r="O363" i="84"/>
  <c r="M363" i="84"/>
  <c r="K363" i="84"/>
  <c r="I363" i="84"/>
  <c r="C363" i="84"/>
  <c r="R362" i="84"/>
  <c r="S362" i="84" s="1"/>
  <c r="Q362" i="84"/>
  <c r="O362" i="84"/>
  <c r="M362" i="84"/>
  <c r="K362" i="84"/>
  <c r="I362" i="84"/>
  <c r="C362" i="84"/>
  <c r="R361" i="84"/>
  <c r="S361" i="84" s="1"/>
  <c r="Q361" i="84"/>
  <c r="O361" i="84"/>
  <c r="M361" i="84"/>
  <c r="K361" i="84"/>
  <c r="I361" i="84"/>
  <c r="C361" i="84"/>
  <c r="R360" i="84"/>
  <c r="S360" i="84" s="1"/>
  <c r="Q360" i="84"/>
  <c r="O360" i="84"/>
  <c r="M360" i="84"/>
  <c r="K360" i="84"/>
  <c r="I360" i="84"/>
  <c r="C360" i="84"/>
  <c r="R359" i="84"/>
  <c r="S359" i="84" s="1"/>
  <c r="Q359" i="84"/>
  <c r="O359" i="84"/>
  <c r="M359" i="84"/>
  <c r="K359" i="84"/>
  <c r="I359" i="84"/>
  <c r="C359" i="84"/>
  <c r="R358" i="84"/>
  <c r="S358" i="84" s="1"/>
  <c r="Q358" i="84"/>
  <c r="O358" i="84"/>
  <c r="M358" i="84"/>
  <c r="K358" i="84"/>
  <c r="I358" i="84"/>
  <c r="C358" i="84"/>
  <c r="R357" i="84"/>
  <c r="S357" i="84" s="1"/>
  <c r="Q357" i="84"/>
  <c r="O357" i="84"/>
  <c r="M357" i="84"/>
  <c r="K357" i="84"/>
  <c r="I357" i="84"/>
  <c r="C357" i="84"/>
  <c r="R356" i="84"/>
  <c r="S356" i="84" s="1"/>
  <c r="Q356" i="84"/>
  <c r="O356" i="84"/>
  <c r="M356" i="84"/>
  <c r="K356" i="84"/>
  <c r="I356" i="84"/>
  <c r="C356" i="84"/>
  <c r="R355" i="84"/>
  <c r="S355" i="84" s="1"/>
  <c r="Q355" i="84"/>
  <c r="O355" i="84"/>
  <c r="M355" i="84"/>
  <c r="K355" i="84"/>
  <c r="I355" i="84"/>
  <c r="C355" i="84"/>
  <c r="R354" i="84"/>
  <c r="S354" i="84" s="1"/>
  <c r="Q354" i="84"/>
  <c r="O354" i="84"/>
  <c r="M354" i="84"/>
  <c r="K354" i="84"/>
  <c r="I354" i="84"/>
  <c r="C354" i="84"/>
  <c r="R353" i="84"/>
  <c r="S353" i="84" s="1"/>
  <c r="Q353" i="84"/>
  <c r="O353" i="84"/>
  <c r="M353" i="84"/>
  <c r="K353" i="84"/>
  <c r="I353" i="84"/>
  <c r="C353" i="84"/>
  <c r="R352" i="84"/>
  <c r="S352" i="84" s="1"/>
  <c r="Q352" i="84"/>
  <c r="O352" i="84"/>
  <c r="M352" i="84"/>
  <c r="K352" i="84"/>
  <c r="I352" i="84"/>
  <c r="C352" i="84"/>
  <c r="R351" i="84"/>
  <c r="S351" i="84" s="1"/>
  <c r="Q351" i="84"/>
  <c r="O351" i="84"/>
  <c r="M351" i="84"/>
  <c r="K351" i="84"/>
  <c r="I351" i="84"/>
  <c r="C351" i="84"/>
  <c r="R350" i="84"/>
  <c r="S350" i="84" s="1"/>
  <c r="Q350" i="84"/>
  <c r="O350" i="84"/>
  <c r="M350" i="84"/>
  <c r="K350" i="84"/>
  <c r="I350" i="84"/>
  <c r="C350" i="84"/>
  <c r="R349" i="84"/>
  <c r="S349" i="84" s="1"/>
  <c r="Q349" i="84"/>
  <c r="O349" i="84"/>
  <c r="M349" i="84"/>
  <c r="K349" i="84"/>
  <c r="I349" i="84"/>
  <c r="C349" i="84"/>
  <c r="R348" i="84"/>
  <c r="S348" i="84" s="1"/>
  <c r="Q348" i="84"/>
  <c r="O348" i="84"/>
  <c r="M348" i="84"/>
  <c r="K348" i="84"/>
  <c r="I348" i="84"/>
  <c r="C348" i="84"/>
  <c r="R347" i="84"/>
  <c r="S347" i="84" s="1"/>
  <c r="Q347" i="84"/>
  <c r="O347" i="84"/>
  <c r="M347" i="84"/>
  <c r="K347" i="84"/>
  <c r="I347" i="84"/>
  <c r="C347" i="84"/>
  <c r="R346" i="84"/>
  <c r="S346" i="84" s="1"/>
  <c r="Q346" i="84"/>
  <c r="O346" i="84"/>
  <c r="M346" i="84"/>
  <c r="K346" i="84"/>
  <c r="I346" i="84"/>
  <c r="C346" i="84"/>
  <c r="R345" i="84"/>
  <c r="S345" i="84" s="1"/>
  <c r="Q345" i="84"/>
  <c r="O345" i="84"/>
  <c r="M345" i="84"/>
  <c r="K345" i="84"/>
  <c r="I345" i="84"/>
  <c r="C345" i="84"/>
  <c r="R344" i="84"/>
  <c r="S344" i="84" s="1"/>
  <c r="Q344" i="84"/>
  <c r="O344" i="84"/>
  <c r="M344" i="84"/>
  <c r="K344" i="84"/>
  <c r="I344" i="84"/>
  <c r="C344" i="84"/>
  <c r="R343" i="84"/>
  <c r="S343" i="84" s="1"/>
  <c r="Q343" i="84"/>
  <c r="O343" i="84"/>
  <c r="M343" i="84"/>
  <c r="K343" i="84"/>
  <c r="I343" i="84"/>
  <c r="C343" i="84"/>
  <c r="R342" i="84"/>
  <c r="S342" i="84" s="1"/>
  <c r="Q342" i="84"/>
  <c r="O342" i="84"/>
  <c r="M342" i="84"/>
  <c r="K342" i="84"/>
  <c r="I342" i="84"/>
  <c r="C342" i="84"/>
  <c r="R341" i="84"/>
  <c r="S341" i="84" s="1"/>
  <c r="Q341" i="84"/>
  <c r="O341" i="84"/>
  <c r="M341" i="84"/>
  <c r="K341" i="84"/>
  <c r="I341" i="84"/>
  <c r="C341" i="84"/>
  <c r="R340" i="84"/>
  <c r="S340" i="84" s="1"/>
  <c r="Q340" i="84"/>
  <c r="O340" i="84"/>
  <c r="M340" i="84"/>
  <c r="K340" i="84"/>
  <c r="I340" i="84"/>
  <c r="C340" i="84"/>
  <c r="R339" i="84"/>
  <c r="S339" i="84" s="1"/>
  <c r="Q339" i="84"/>
  <c r="O339" i="84"/>
  <c r="M339" i="84"/>
  <c r="K339" i="84"/>
  <c r="I339" i="84"/>
  <c r="C339" i="84"/>
  <c r="R338" i="84"/>
  <c r="S338" i="84" s="1"/>
  <c r="Q338" i="84"/>
  <c r="O338" i="84"/>
  <c r="M338" i="84"/>
  <c r="K338" i="84"/>
  <c r="I338" i="84"/>
  <c r="C338" i="84"/>
  <c r="R337" i="84"/>
  <c r="S337" i="84" s="1"/>
  <c r="Q337" i="84"/>
  <c r="O337" i="84"/>
  <c r="M337" i="84"/>
  <c r="K337" i="84"/>
  <c r="I337" i="84"/>
  <c r="C337" i="84"/>
  <c r="R336" i="84"/>
  <c r="S336" i="84" s="1"/>
  <c r="Q336" i="84"/>
  <c r="O336" i="84"/>
  <c r="M336" i="84"/>
  <c r="K336" i="84"/>
  <c r="I336" i="84"/>
  <c r="C336" i="84"/>
  <c r="R335" i="84"/>
  <c r="S335" i="84" s="1"/>
  <c r="Q335" i="84"/>
  <c r="O335" i="84"/>
  <c r="M335" i="84"/>
  <c r="K335" i="84"/>
  <c r="I335" i="84"/>
  <c r="C335" i="84"/>
  <c r="R334" i="84"/>
  <c r="S334" i="84" s="1"/>
  <c r="Q334" i="84"/>
  <c r="O334" i="84"/>
  <c r="M334" i="84"/>
  <c r="K334" i="84"/>
  <c r="I334" i="84"/>
  <c r="C334" i="84"/>
  <c r="R333" i="84"/>
  <c r="S333" i="84" s="1"/>
  <c r="Q333" i="84"/>
  <c r="O333" i="84"/>
  <c r="M333" i="84"/>
  <c r="K333" i="84"/>
  <c r="I333" i="84"/>
  <c r="C333" i="84"/>
  <c r="R332" i="84"/>
  <c r="S332" i="84" s="1"/>
  <c r="Q332" i="84"/>
  <c r="O332" i="84"/>
  <c r="M332" i="84"/>
  <c r="K332" i="84"/>
  <c r="I332" i="84"/>
  <c r="C332" i="84"/>
  <c r="R331" i="84"/>
  <c r="S331" i="84" s="1"/>
  <c r="Q331" i="84"/>
  <c r="O331" i="84"/>
  <c r="M331" i="84"/>
  <c r="K331" i="84"/>
  <c r="I331" i="84"/>
  <c r="C331" i="84"/>
  <c r="R330" i="84"/>
  <c r="S330" i="84" s="1"/>
  <c r="Q330" i="84"/>
  <c r="O330" i="84"/>
  <c r="M330" i="84"/>
  <c r="K330" i="84"/>
  <c r="I330" i="84"/>
  <c r="C330" i="84"/>
  <c r="R329" i="84"/>
  <c r="S329" i="84" s="1"/>
  <c r="Q329" i="84"/>
  <c r="O329" i="84"/>
  <c r="M329" i="84"/>
  <c r="K329" i="84"/>
  <c r="I329" i="84"/>
  <c r="C329" i="84"/>
  <c r="R328" i="84"/>
  <c r="S328" i="84" s="1"/>
  <c r="Q328" i="84"/>
  <c r="O328" i="84"/>
  <c r="M328" i="84"/>
  <c r="K328" i="84"/>
  <c r="I328" i="84"/>
  <c r="C328" i="84"/>
  <c r="R327" i="84"/>
  <c r="S327" i="84" s="1"/>
  <c r="Q327" i="84"/>
  <c r="O327" i="84"/>
  <c r="M327" i="84"/>
  <c r="K327" i="84"/>
  <c r="I327" i="84"/>
  <c r="C327" i="84"/>
  <c r="R326" i="84"/>
  <c r="S326" i="84" s="1"/>
  <c r="Q326" i="84"/>
  <c r="O326" i="84"/>
  <c r="M326" i="84"/>
  <c r="K326" i="84"/>
  <c r="I326" i="84"/>
  <c r="C326" i="84"/>
  <c r="R325" i="84"/>
  <c r="S325" i="84" s="1"/>
  <c r="Q325" i="84"/>
  <c r="O325" i="84"/>
  <c r="M325" i="84"/>
  <c r="K325" i="84"/>
  <c r="I325" i="84"/>
  <c r="C325" i="84"/>
  <c r="R324" i="84"/>
  <c r="S324" i="84" s="1"/>
  <c r="Q324" i="84"/>
  <c r="O324" i="84"/>
  <c r="M324" i="84"/>
  <c r="K324" i="84"/>
  <c r="I324" i="84"/>
  <c r="C324" i="84"/>
  <c r="R323" i="84"/>
  <c r="S323" i="84" s="1"/>
  <c r="Q323" i="84"/>
  <c r="O323" i="84"/>
  <c r="M323" i="84"/>
  <c r="K323" i="84"/>
  <c r="I323" i="84"/>
  <c r="C323" i="84"/>
  <c r="R322" i="84"/>
  <c r="S322" i="84" s="1"/>
  <c r="Q322" i="84"/>
  <c r="O322" i="84"/>
  <c r="M322" i="84"/>
  <c r="K322" i="84"/>
  <c r="I322" i="84"/>
  <c r="C322" i="84"/>
  <c r="R321" i="84"/>
  <c r="S321" i="84" s="1"/>
  <c r="Q321" i="84"/>
  <c r="O321" i="84"/>
  <c r="M321" i="84"/>
  <c r="K321" i="84"/>
  <c r="I321" i="84"/>
  <c r="C321" i="84"/>
  <c r="R320" i="84"/>
  <c r="S320" i="84" s="1"/>
  <c r="Q320" i="84"/>
  <c r="O320" i="84"/>
  <c r="M320" i="84"/>
  <c r="K320" i="84"/>
  <c r="I320" i="84"/>
  <c r="C320" i="84"/>
  <c r="R319" i="84"/>
  <c r="S319" i="84" s="1"/>
  <c r="Q319" i="84"/>
  <c r="O319" i="84"/>
  <c r="M319" i="84"/>
  <c r="K319" i="84"/>
  <c r="I319" i="84"/>
  <c r="C319" i="84"/>
  <c r="R318" i="84"/>
  <c r="S318" i="84" s="1"/>
  <c r="Q318" i="84"/>
  <c r="O318" i="84"/>
  <c r="M318" i="84"/>
  <c r="K318" i="84"/>
  <c r="I318" i="84"/>
  <c r="C318" i="84"/>
  <c r="R317" i="84"/>
  <c r="S317" i="84" s="1"/>
  <c r="Q317" i="84"/>
  <c r="O317" i="84"/>
  <c r="M317" i="84"/>
  <c r="K317" i="84"/>
  <c r="I317" i="84"/>
  <c r="C317" i="84"/>
  <c r="R316" i="84"/>
  <c r="S316" i="84" s="1"/>
  <c r="Q316" i="84"/>
  <c r="O316" i="84"/>
  <c r="M316" i="84"/>
  <c r="K316" i="84"/>
  <c r="I316" i="84"/>
  <c r="C316" i="84"/>
  <c r="R315" i="84"/>
  <c r="S315" i="84" s="1"/>
  <c r="Q315" i="84"/>
  <c r="O315" i="84"/>
  <c r="M315" i="84"/>
  <c r="K315" i="84"/>
  <c r="I315" i="84"/>
  <c r="C315" i="84"/>
  <c r="R314" i="84"/>
  <c r="S314" i="84" s="1"/>
  <c r="Q314" i="84"/>
  <c r="O314" i="84"/>
  <c r="M314" i="84"/>
  <c r="K314" i="84"/>
  <c r="I314" i="84"/>
  <c r="C314" i="84"/>
  <c r="R313" i="84"/>
  <c r="S313" i="84" s="1"/>
  <c r="Q313" i="84"/>
  <c r="O313" i="84"/>
  <c r="M313" i="84"/>
  <c r="K313" i="84"/>
  <c r="I313" i="84"/>
  <c r="C313" i="84"/>
  <c r="R312" i="84"/>
  <c r="S312" i="84" s="1"/>
  <c r="Q312" i="84"/>
  <c r="O312" i="84"/>
  <c r="M312" i="84"/>
  <c r="K312" i="84"/>
  <c r="I312" i="84"/>
  <c r="C312" i="84"/>
  <c r="R311" i="84"/>
  <c r="S311" i="84" s="1"/>
  <c r="Q311" i="84"/>
  <c r="O311" i="84"/>
  <c r="M311" i="84"/>
  <c r="K311" i="84"/>
  <c r="I311" i="84"/>
  <c r="C311" i="84"/>
  <c r="R310" i="84"/>
  <c r="S310" i="84" s="1"/>
  <c r="Q310" i="84"/>
  <c r="O310" i="84"/>
  <c r="M310" i="84"/>
  <c r="K310" i="84"/>
  <c r="I310" i="84"/>
  <c r="C310" i="84"/>
  <c r="R309" i="84"/>
  <c r="S309" i="84" s="1"/>
  <c r="Q309" i="84"/>
  <c r="O309" i="84"/>
  <c r="M309" i="84"/>
  <c r="K309" i="84"/>
  <c r="I309" i="84"/>
  <c r="C309" i="84"/>
  <c r="R308" i="84"/>
  <c r="S308" i="84" s="1"/>
  <c r="Q308" i="84"/>
  <c r="O308" i="84"/>
  <c r="M308" i="84"/>
  <c r="K308" i="84"/>
  <c r="I308" i="84"/>
  <c r="C308" i="84"/>
  <c r="R307" i="84"/>
  <c r="S307" i="84" s="1"/>
  <c r="Q307" i="84"/>
  <c r="O307" i="84"/>
  <c r="M307" i="84"/>
  <c r="K307" i="84"/>
  <c r="I307" i="84"/>
  <c r="C307" i="84"/>
  <c r="R306" i="84"/>
  <c r="S306" i="84" s="1"/>
  <c r="Q306" i="84"/>
  <c r="O306" i="84"/>
  <c r="M306" i="84"/>
  <c r="K306" i="84"/>
  <c r="I306" i="84"/>
  <c r="C306" i="84"/>
  <c r="R305" i="84"/>
  <c r="S305" i="84" s="1"/>
  <c r="Q305" i="84"/>
  <c r="O305" i="84"/>
  <c r="M305" i="84"/>
  <c r="K305" i="84"/>
  <c r="I305" i="84"/>
  <c r="C305" i="84"/>
  <c r="R304" i="84"/>
  <c r="S304" i="84" s="1"/>
  <c r="Q304" i="84"/>
  <c r="O304" i="84"/>
  <c r="M304" i="84"/>
  <c r="K304" i="84"/>
  <c r="I304" i="84"/>
  <c r="C304" i="84"/>
  <c r="R303" i="84"/>
  <c r="S303" i="84" s="1"/>
  <c r="Q303" i="84"/>
  <c r="O303" i="84"/>
  <c r="M303" i="84"/>
  <c r="K303" i="84"/>
  <c r="I303" i="84"/>
  <c r="C303" i="84"/>
  <c r="R302" i="84"/>
  <c r="S302" i="84" s="1"/>
  <c r="Q302" i="84"/>
  <c r="O302" i="84"/>
  <c r="M302" i="84"/>
  <c r="K302" i="84"/>
  <c r="I302" i="84"/>
  <c r="C302" i="84"/>
  <c r="R301" i="84"/>
  <c r="S301" i="84" s="1"/>
  <c r="Q301" i="84"/>
  <c r="O301" i="84"/>
  <c r="M301" i="84"/>
  <c r="K301" i="84"/>
  <c r="I301" i="84"/>
  <c r="C301" i="84"/>
  <c r="R300" i="84"/>
  <c r="S300" i="84" s="1"/>
  <c r="Q300" i="84"/>
  <c r="O300" i="84"/>
  <c r="M300" i="84"/>
  <c r="K300" i="84"/>
  <c r="I300" i="84"/>
  <c r="C300" i="84"/>
  <c r="R299" i="84"/>
  <c r="S299" i="84" s="1"/>
  <c r="Q299" i="84"/>
  <c r="O299" i="84"/>
  <c r="M299" i="84"/>
  <c r="K299" i="84"/>
  <c r="I299" i="84"/>
  <c r="C299" i="84"/>
  <c r="R298" i="84"/>
  <c r="S298" i="84" s="1"/>
  <c r="Q298" i="84"/>
  <c r="O298" i="84"/>
  <c r="M298" i="84"/>
  <c r="K298" i="84"/>
  <c r="I298" i="84"/>
  <c r="C298" i="84"/>
  <c r="R297" i="84"/>
  <c r="S297" i="84" s="1"/>
  <c r="Q297" i="84"/>
  <c r="O297" i="84"/>
  <c r="M297" i="84"/>
  <c r="K297" i="84"/>
  <c r="I297" i="84"/>
  <c r="C297" i="84"/>
  <c r="R296" i="84"/>
  <c r="S296" i="84" s="1"/>
  <c r="Q296" i="84"/>
  <c r="O296" i="84"/>
  <c r="M296" i="84"/>
  <c r="K296" i="84"/>
  <c r="I296" i="84"/>
  <c r="C296" i="84"/>
  <c r="R295" i="84"/>
  <c r="S295" i="84" s="1"/>
  <c r="Q295" i="84"/>
  <c r="O295" i="84"/>
  <c r="M295" i="84"/>
  <c r="K295" i="84"/>
  <c r="I295" i="84"/>
  <c r="C295" i="84"/>
  <c r="R294" i="84"/>
  <c r="S294" i="84" s="1"/>
  <c r="Q294" i="84"/>
  <c r="O294" i="84"/>
  <c r="M294" i="84"/>
  <c r="K294" i="84"/>
  <c r="I294" i="84"/>
  <c r="C294" i="84"/>
  <c r="R293" i="84"/>
  <c r="S293" i="84" s="1"/>
  <c r="Q293" i="84"/>
  <c r="O293" i="84"/>
  <c r="M293" i="84"/>
  <c r="K293" i="84"/>
  <c r="I293" i="84"/>
  <c r="C293" i="84"/>
  <c r="R292" i="84"/>
  <c r="S292" i="84" s="1"/>
  <c r="Q292" i="84"/>
  <c r="O292" i="84"/>
  <c r="M292" i="84"/>
  <c r="K292" i="84"/>
  <c r="I292" i="84"/>
  <c r="C292" i="84"/>
  <c r="R291" i="84"/>
  <c r="S291" i="84" s="1"/>
  <c r="Q291" i="84"/>
  <c r="O291" i="84"/>
  <c r="M291" i="84"/>
  <c r="K291" i="84"/>
  <c r="I291" i="84"/>
  <c r="C291" i="84"/>
  <c r="R290" i="84"/>
  <c r="S290" i="84" s="1"/>
  <c r="Q290" i="84"/>
  <c r="O290" i="84"/>
  <c r="M290" i="84"/>
  <c r="K290" i="84"/>
  <c r="I290" i="84"/>
  <c r="C290" i="84"/>
  <c r="R289" i="84"/>
  <c r="S289" i="84" s="1"/>
  <c r="Q289" i="84"/>
  <c r="O289" i="84"/>
  <c r="M289" i="84"/>
  <c r="K289" i="84"/>
  <c r="I289" i="84"/>
  <c r="C289" i="84"/>
  <c r="R288" i="84"/>
  <c r="S288" i="84" s="1"/>
  <c r="Q288" i="84"/>
  <c r="O288" i="84"/>
  <c r="M288" i="84"/>
  <c r="K288" i="84"/>
  <c r="I288" i="84"/>
  <c r="C288" i="84"/>
  <c r="R287" i="84"/>
  <c r="S287" i="84" s="1"/>
  <c r="Q287" i="84"/>
  <c r="O287" i="84"/>
  <c r="M287" i="84"/>
  <c r="K287" i="84"/>
  <c r="I287" i="84"/>
  <c r="C287" i="84"/>
  <c r="R286" i="84"/>
  <c r="S286" i="84" s="1"/>
  <c r="Q286" i="84"/>
  <c r="O286" i="84"/>
  <c r="M286" i="84"/>
  <c r="K286" i="84"/>
  <c r="I286" i="84"/>
  <c r="C286" i="84"/>
  <c r="R285" i="84"/>
  <c r="S285" i="84" s="1"/>
  <c r="Q285" i="84"/>
  <c r="O285" i="84"/>
  <c r="M285" i="84"/>
  <c r="K285" i="84"/>
  <c r="I285" i="84"/>
  <c r="C285" i="84"/>
  <c r="R284" i="84"/>
  <c r="S284" i="84" s="1"/>
  <c r="Q284" i="84"/>
  <c r="O284" i="84"/>
  <c r="M284" i="84"/>
  <c r="K284" i="84"/>
  <c r="I284" i="84"/>
  <c r="C284" i="84"/>
  <c r="R283" i="84"/>
  <c r="S283" i="84" s="1"/>
  <c r="Q283" i="84"/>
  <c r="O283" i="84"/>
  <c r="M283" i="84"/>
  <c r="K283" i="84"/>
  <c r="I283" i="84"/>
  <c r="C283" i="84"/>
  <c r="R282" i="84"/>
  <c r="S282" i="84" s="1"/>
  <c r="Q282" i="84"/>
  <c r="O282" i="84"/>
  <c r="M282" i="84"/>
  <c r="K282" i="84"/>
  <c r="I282" i="84"/>
  <c r="C282" i="84"/>
  <c r="R281" i="84"/>
  <c r="S281" i="84" s="1"/>
  <c r="Q281" i="84"/>
  <c r="O281" i="84"/>
  <c r="M281" i="84"/>
  <c r="K281" i="84"/>
  <c r="I281" i="84"/>
  <c r="C281" i="84"/>
  <c r="R280" i="84"/>
  <c r="S280" i="84" s="1"/>
  <c r="Q280" i="84"/>
  <c r="O280" i="84"/>
  <c r="M280" i="84"/>
  <c r="K280" i="84"/>
  <c r="I280" i="84"/>
  <c r="C280" i="84"/>
  <c r="R279" i="84"/>
  <c r="S279" i="84" s="1"/>
  <c r="Q279" i="84"/>
  <c r="O279" i="84"/>
  <c r="M279" i="84"/>
  <c r="K279" i="84"/>
  <c r="I279" i="84"/>
  <c r="C279" i="84"/>
  <c r="R278" i="84"/>
  <c r="S278" i="84" s="1"/>
  <c r="Q278" i="84"/>
  <c r="O278" i="84"/>
  <c r="M278" i="84"/>
  <c r="K278" i="84"/>
  <c r="I278" i="84"/>
  <c r="C278" i="84"/>
  <c r="R277" i="84"/>
  <c r="S277" i="84" s="1"/>
  <c r="Q277" i="84"/>
  <c r="O277" i="84"/>
  <c r="M277" i="84"/>
  <c r="K277" i="84"/>
  <c r="I277" i="84"/>
  <c r="C277" i="84"/>
  <c r="R276" i="84"/>
  <c r="S276" i="84" s="1"/>
  <c r="Q276" i="84"/>
  <c r="O276" i="84"/>
  <c r="M276" i="84"/>
  <c r="K276" i="84"/>
  <c r="I276" i="84"/>
  <c r="C276" i="84"/>
  <c r="R275" i="84"/>
  <c r="S275" i="84" s="1"/>
  <c r="Q275" i="84"/>
  <c r="O275" i="84"/>
  <c r="M275" i="84"/>
  <c r="K275" i="84"/>
  <c r="I275" i="84"/>
  <c r="C275" i="84"/>
  <c r="R274" i="84"/>
  <c r="S274" i="84" s="1"/>
  <c r="Q274" i="84"/>
  <c r="O274" i="84"/>
  <c r="M274" i="84"/>
  <c r="K274" i="84"/>
  <c r="I274" i="84"/>
  <c r="C274" i="84"/>
  <c r="R273" i="84"/>
  <c r="S273" i="84" s="1"/>
  <c r="Q273" i="84"/>
  <c r="O273" i="84"/>
  <c r="M273" i="84"/>
  <c r="K273" i="84"/>
  <c r="I273" i="84"/>
  <c r="C273" i="84"/>
  <c r="R272" i="84"/>
  <c r="S272" i="84" s="1"/>
  <c r="Q272" i="84"/>
  <c r="O272" i="84"/>
  <c r="M272" i="84"/>
  <c r="K272" i="84"/>
  <c r="I272" i="84"/>
  <c r="C272" i="84"/>
  <c r="R271" i="84"/>
  <c r="S271" i="84" s="1"/>
  <c r="Q271" i="84"/>
  <c r="O271" i="84"/>
  <c r="M271" i="84"/>
  <c r="K271" i="84"/>
  <c r="I271" i="84"/>
  <c r="C271" i="84"/>
  <c r="R270" i="84"/>
  <c r="S270" i="84" s="1"/>
  <c r="Q270" i="84"/>
  <c r="O270" i="84"/>
  <c r="M270" i="84"/>
  <c r="K270" i="84"/>
  <c r="I270" i="84"/>
  <c r="C270" i="84"/>
  <c r="R269" i="84"/>
  <c r="S269" i="84" s="1"/>
  <c r="Q269" i="84"/>
  <c r="O269" i="84"/>
  <c r="M269" i="84"/>
  <c r="K269" i="84"/>
  <c r="I269" i="84"/>
  <c r="C269" i="84"/>
  <c r="R268" i="84"/>
  <c r="S268" i="84" s="1"/>
  <c r="Q268" i="84"/>
  <c r="O268" i="84"/>
  <c r="M268" i="84"/>
  <c r="K268" i="84"/>
  <c r="I268" i="84"/>
  <c r="C268" i="84"/>
  <c r="R267" i="84"/>
  <c r="S267" i="84" s="1"/>
  <c r="Q267" i="84"/>
  <c r="O267" i="84"/>
  <c r="M267" i="84"/>
  <c r="K267" i="84"/>
  <c r="I267" i="84"/>
  <c r="C267" i="84"/>
  <c r="R266" i="84"/>
  <c r="S266" i="84" s="1"/>
  <c r="Q266" i="84"/>
  <c r="O266" i="84"/>
  <c r="M266" i="84"/>
  <c r="K266" i="84"/>
  <c r="I266" i="84"/>
  <c r="C266" i="84"/>
  <c r="R265" i="84"/>
  <c r="S265" i="84" s="1"/>
  <c r="Q265" i="84"/>
  <c r="O265" i="84"/>
  <c r="M265" i="84"/>
  <c r="K265" i="84"/>
  <c r="I265" i="84"/>
  <c r="C265" i="84"/>
  <c r="R264" i="84"/>
  <c r="S264" i="84" s="1"/>
  <c r="Q264" i="84"/>
  <c r="O264" i="84"/>
  <c r="M264" i="84"/>
  <c r="K264" i="84"/>
  <c r="I264" i="84"/>
  <c r="C264" i="84"/>
  <c r="R263" i="84"/>
  <c r="S263" i="84" s="1"/>
  <c r="Q263" i="84"/>
  <c r="O263" i="84"/>
  <c r="M263" i="84"/>
  <c r="K263" i="84"/>
  <c r="I263" i="84"/>
  <c r="C263" i="84"/>
  <c r="R262" i="84"/>
  <c r="S262" i="84" s="1"/>
  <c r="Q262" i="84"/>
  <c r="O262" i="84"/>
  <c r="M262" i="84"/>
  <c r="K262" i="84"/>
  <c r="I262" i="84"/>
  <c r="C262" i="84"/>
  <c r="R261" i="84"/>
  <c r="S261" i="84" s="1"/>
  <c r="Q261" i="84"/>
  <c r="O261" i="84"/>
  <c r="M261" i="84"/>
  <c r="K261" i="84"/>
  <c r="I261" i="84"/>
  <c r="C261" i="84"/>
  <c r="R260" i="84"/>
  <c r="S260" i="84" s="1"/>
  <c r="Q260" i="84"/>
  <c r="O260" i="84"/>
  <c r="M260" i="84"/>
  <c r="K260" i="84"/>
  <c r="I260" i="84"/>
  <c r="C260" i="84"/>
  <c r="R259" i="84"/>
  <c r="S259" i="84" s="1"/>
  <c r="Q259" i="84"/>
  <c r="O259" i="84"/>
  <c r="M259" i="84"/>
  <c r="K259" i="84"/>
  <c r="I259" i="84"/>
  <c r="C259" i="84"/>
  <c r="R258" i="84"/>
  <c r="S258" i="84" s="1"/>
  <c r="Q258" i="84"/>
  <c r="O258" i="84"/>
  <c r="M258" i="84"/>
  <c r="K258" i="84"/>
  <c r="I258" i="84"/>
  <c r="C258" i="84"/>
  <c r="R257" i="84"/>
  <c r="S257" i="84" s="1"/>
  <c r="Q257" i="84"/>
  <c r="O257" i="84"/>
  <c r="M257" i="84"/>
  <c r="K257" i="84"/>
  <c r="I257" i="84"/>
  <c r="C257" i="84"/>
  <c r="R256" i="84"/>
  <c r="S256" i="84" s="1"/>
  <c r="Q256" i="84"/>
  <c r="O256" i="84"/>
  <c r="M256" i="84"/>
  <c r="K256" i="84"/>
  <c r="I256" i="84"/>
  <c r="C256" i="84"/>
  <c r="R255" i="84"/>
  <c r="S255" i="84" s="1"/>
  <c r="Q255" i="84"/>
  <c r="O255" i="84"/>
  <c r="M255" i="84"/>
  <c r="K255" i="84"/>
  <c r="I255" i="84"/>
  <c r="C255" i="84"/>
  <c r="R254" i="84"/>
  <c r="S254" i="84" s="1"/>
  <c r="Q254" i="84"/>
  <c r="O254" i="84"/>
  <c r="M254" i="84"/>
  <c r="K254" i="84"/>
  <c r="I254" i="84"/>
  <c r="C254" i="84"/>
  <c r="R253" i="84"/>
  <c r="S253" i="84" s="1"/>
  <c r="Q253" i="84"/>
  <c r="O253" i="84"/>
  <c r="M253" i="84"/>
  <c r="K253" i="84"/>
  <c r="I253" i="84"/>
  <c r="C253" i="84"/>
  <c r="R252" i="84"/>
  <c r="S252" i="84" s="1"/>
  <c r="Q252" i="84"/>
  <c r="O252" i="84"/>
  <c r="M252" i="84"/>
  <c r="K252" i="84"/>
  <c r="I252" i="84"/>
  <c r="C252" i="84"/>
  <c r="R251" i="84"/>
  <c r="S251" i="84" s="1"/>
  <c r="Q251" i="84"/>
  <c r="O251" i="84"/>
  <c r="M251" i="84"/>
  <c r="K251" i="84"/>
  <c r="I251" i="84"/>
  <c r="C251" i="84"/>
  <c r="R250" i="84"/>
  <c r="S250" i="84" s="1"/>
  <c r="Q250" i="84"/>
  <c r="O250" i="84"/>
  <c r="M250" i="84"/>
  <c r="K250" i="84"/>
  <c r="I250" i="84"/>
  <c r="C250" i="84"/>
  <c r="R249" i="84"/>
  <c r="S249" i="84" s="1"/>
  <c r="Q249" i="84"/>
  <c r="O249" i="84"/>
  <c r="M249" i="84"/>
  <c r="K249" i="84"/>
  <c r="I249" i="84"/>
  <c r="C249" i="84"/>
  <c r="R248" i="84"/>
  <c r="S248" i="84" s="1"/>
  <c r="Q248" i="84"/>
  <c r="O248" i="84"/>
  <c r="M248" i="84"/>
  <c r="K248" i="84"/>
  <c r="I248" i="84"/>
  <c r="C248" i="84"/>
  <c r="R247" i="84"/>
  <c r="S247" i="84" s="1"/>
  <c r="Q247" i="84"/>
  <c r="O247" i="84"/>
  <c r="M247" i="84"/>
  <c r="K247" i="84"/>
  <c r="I247" i="84"/>
  <c r="C247" i="84"/>
  <c r="R246" i="84"/>
  <c r="S246" i="84" s="1"/>
  <c r="Q246" i="84"/>
  <c r="O246" i="84"/>
  <c r="M246" i="84"/>
  <c r="K246" i="84"/>
  <c r="I246" i="84"/>
  <c r="C246" i="84"/>
  <c r="R245" i="84"/>
  <c r="S245" i="84" s="1"/>
  <c r="Q245" i="84"/>
  <c r="O245" i="84"/>
  <c r="M245" i="84"/>
  <c r="K245" i="84"/>
  <c r="I245" i="84"/>
  <c r="C245" i="84"/>
  <c r="R244" i="84"/>
  <c r="S244" i="84" s="1"/>
  <c r="Q244" i="84"/>
  <c r="O244" i="84"/>
  <c r="M244" i="84"/>
  <c r="K244" i="84"/>
  <c r="I244" i="84"/>
  <c r="C244" i="84"/>
  <c r="R243" i="84"/>
  <c r="S243" i="84" s="1"/>
  <c r="Q243" i="84"/>
  <c r="O243" i="84"/>
  <c r="M243" i="84"/>
  <c r="K243" i="84"/>
  <c r="I243" i="84"/>
  <c r="C243" i="84"/>
  <c r="R242" i="84"/>
  <c r="S242" i="84" s="1"/>
  <c r="Q242" i="84"/>
  <c r="O242" i="84"/>
  <c r="M242" i="84"/>
  <c r="K242" i="84"/>
  <c r="I242" i="84"/>
  <c r="C242" i="84"/>
  <c r="R241" i="84"/>
  <c r="S241" i="84" s="1"/>
  <c r="Q241" i="84"/>
  <c r="O241" i="84"/>
  <c r="M241" i="84"/>
  <c r="K241" i="84"/>
  <c r="I241" i="84"/>
  <c r="C241" i="84"/>
  <c r="R240" i="84"/>
  <c r="S240" i="84" s="1"/>
  <c r="Q240" i="84"/>
  <c r="O240" i="84"/>
  <c r="M240" i="84"/>
  <c r="K240" i="84"/>
  <c r="I240" i="84"/>
  <c r="C240" i="84"/>
  <c r="R239" i="84"/>
  <c r="S239" i="84" s="1"/>
  <c r="Q239" i="84"/>
  <c r="O239" i="84"/>
  <c r="M239" i="84"/>
  <c r="K239" i="84"/>
  <c r="I239" i="84"/>
  <c r="C239" i="84"/>
  <c r="R238" i="84"/>
  <c r="S238" i="84" s="1"/>
  <c r="Q238" i="84"/>
  <c r="O238" i="84"/>
  <c r="M238" i="84"/>
  <c r="K238" i="84"/>
  <c r="I238" i="84"/>
  <c r="C238" i="84"/>
  <c r="R237" i="84"/>
  <c r="S237" i="84" s="1"/>
  <c r="Q237" i="84"/>
  <c r="O237" i="84"/>
  <c r="M237" i="84"/>
  <c r="K237" i="84"/>
  <c r="I237" i="84"/>
  <c r="C237" i="84"/>
  <c r="R236" i="84"/>
  <c r="S236" i="84" s="1"/>
  <c r="Q236" i="84"/>
  <c r="O236" i="84"/>
  <c r="M236" i="84"/>
  <c r="K236" i="84"/>
  <c r="I236" i="84"/>
  <c r="C236" i="84"/>
  <c r="R235" i="84"/>
  <c r="S235" i="84" s="1"/>
  <c r="Q235" i="84"/>
  <c r="O235" i="84"/>
  <c r="M235" i="84"/>
  <c r="K235" i="84"/>
  <c r="I235" i="84"/>
  <c r="C235" i="84"/>
  <c r="R234" i="84"/>
  <c r="S234" i="84" s="1"/>
  <c r="Q234" i="84"/>
  <c r="O234" i="84"/>
  <c r="M234" i="84"/>
  <c r="K234" i="84"/>
  <c r="I234" i="84"/>
  <c r="C234" i="84"/>
  <c r="R233" i="84"/>
  <c r="S233" i="84" s="1"/>
  <c r="Q233" i="84"/>
  <c r="O233" i="84"/>
  <c r="M233" i="84"/>
  <c r="K233" i="84"/>
  <c r="I233" i="84"/>
  <c r="C233" i="84"/>
  <c r="R232" i="84"/>
  <c r="S232" i="84" s="1"/>
  <c r="Q232" i="84"/>
  <c r="O232" i="84"/>
  <c r="M232" i="84"/>
  <c r="K232" i="84"/>
  <c r="I232" i="84"/>
  <c r="C232" i="84"/>
  <c r="R231" i="84"/>
  <c r="S231" i="84" s="1"/>
  <c r="Q231" i="84"/>
  <c r="O231" i="84"/>
  <c r="M231" i="84"/>
  <c r="K231" i="84"/>
  <c r="I231" i="84"/>
  <c r="C231" i="84"/>
  <c r="R230" i="84"/>
  <c r="S230" i="84" s="1"/>
  <c r="Q230" i="84"/>
  <c r="O230" i="84"/>
  <c r="M230" i="84"/>
  <c r="K230" i="84"/>
  <c r="I230" i="84"/>
  <c r="C230" i="84"/>
  <c r="R229" i="84"/>
  <c r="S229" i="84" s="1"/>
  <c r="Q229" i="84"/>
  <c r="O229" i="84"/>
  <c r="M229" i="84"/>
  <c r="K229" i="84"/>
  <c r="I229" i="84"/>
  <c r="C229" i="84"/>
  <c r="R228" i="84"/>
  <c r="S228" i="84" s="1"/>
  <c r="Q228" i="84"/>
  <c r="O228" i="84"/>
  <c r="M228" i="84"/>
  <c r="K228" i="84"/>
  <c r="I228" i="84"/>
  <c r="C228" i="84"/>
  <c r="R227" i="84"/>
  <c r="S227" i="84" s="1"/>
  <c r="Q227" i="84"/>
  <c r="O227" i="84"/>
  <c r="M227" i="84"/>
  <c r="K227" i="84"/>
  <c r="I227" i="84"/>
  <c r="C227" i="84"/>
  <c r="R226" i="84"/>
  <c r="S226" i="84" s="1"/>
  <c r="Q226" i="84"/>
  <c r="O226" i="84"/>
  <c r="M226" i="84"/>
  <c r="K226" i="84"/>
  <c r="I226" i="84"/>
  <c r="C226" i="84"/>
  <c r="R225" i="84"/>
  <c r="S225" i="84" s="1"/>
  <c r="Q225" i="84"/>
  <c r="O225" i="84"/>
  <c r="M225" i="84"/>
  <c r="K225" i="84"/>
  <c r="I225" i="84"/>
  <c r="C225" i="84"/>
  <c r="R224" i="84"/>
  <c r="S224" i="84" s="1"/>
  <c r="Q224" i="84"/>
  <c r="O224" i="84"/>
  <c r="M224" i="84"/>
  <c r="K224" i="84"/>
  <c r="I224" i="84"/>
  <c r="C224" i="84"/>
  <c r="R223" i="84"/>
  <c r="S223" i="84" s="1"/>
  <c r="Q223" i="84"/>
  <c r="O223" i="84"/>
  <c r="M223" i="84"/>
  <c r="K223" i="84"/>
  <c r="I223" i="84"/>
  <c r="C223" i="84"/>
  <c r="R222" i="84"/>
  <c r="S222" i="84" s="1"/>
  <c r="Q222" i="84"/>
  <c r="O222" i="84"/>
  <c r="M222" i="84"/>
  <c r="K222" i="84"/>
  <c r="I222" i="84"/>
  <c r="C222" i="84"/>
  <c r="R221" i="84"/>
  <c r="S221" i="84" s="1"/>
  <c r="Q221" i="84"/>
  <c r="O221" i="84"/>
  <c r="M221" i="84"/>
  <c r="K221" i="84"/>
  <c r="I221" i="84"/>
  <c r="C221" i="84"/>
  <c r="R220" i="84"/>
  <c r="S220" i="84" s="1"/>
  <c r="Q220" i="84"/>
  <c r="O220" i="84"/>
  <c r="M220" i="84"/>
  <c r="K220" i="84"/>
  <c r="I220" i="84"/>
  <c r="C220" i="84"/>
  <c r="R219" i="84"/>
  <c r="S219" i="84" s="1"/>
  <c r="Q219" i="84"/>
  <c r="O219" i="84"/>
  <c r="M219" i="84"/>
  <c r="K219" i="84"/>
  <c r="I219" i="84"/>
  <c r="C219" i="84"/>
  <c r="R218" i="84"/>
  <c r="S218" i="84" s="1"/>
  <c r="Q218" i="84"/>
  <c r="O218" i="84"/>
  <c r="M218" i="84"/>
  <c r="K218" i="84"/>
  <c r="I218" i="84"/>
  <c r="C218" i="84"/>
  <c r="R217" i="84"/>
  <c r="S217" i="84" s="1"/>
  <c r="Q217" i="84"/>
  <c r="O217" i="84"/>
  <c r="M217" i="84"/>
  <c r="K217" i="84"/>
  <c r="I217" i="84"/>
  <c r="C217" i="84"/>
  <c r="R216" i="84"/>
  <c r="S216" i="84" s="1"/>
  <c r="Q216" i="84"/>
  <c r="O216" i="84"/>
  <c r="M216" i="84"/>
  <c r="K216" i="84"/>
  <c r="I216" i="84"/>
  <c r="C216" i="84"/>
  <c r="R215" i="84"/>
  <c r="S215" i="84" s="1"/>
  <c r="Q215" i="84"/>
  <c r="O215" i="84"/>
  <c r="M215" i="84"/>
  <c r="K215" i="84"/>
  <c r="I215" i="84"/>
  <c r="C215" i="84"/>
  <c r="R214" i="84"/>
  <c r="S214" i="84" s="1"/>
  <c r="Q214" i="84"/>
  <c r="O214" i="84"/>
  <c r="M214" i="84"/>
  <c r="K214" i="84"/>
  <c r="I214" i="84"/>
  <c r="C214" i="84"/>
  <c r="R213" i="84"/>
  <c r="S213" i="84" s="1"/>
  <c r="Q213" i="84"/>
  <c r="O213" i="84"/>
  <c r="M213" i="84"/>
  <c r="K213" i="84"/>
  <c r="I213" i="84"/>
  <c r="C213" i="84"/>
  <c r="R212" i="84"/>
  <c r="S212" i="84" s="1"/>
  <c r="Q212" i="84"/>
  <c r="O212" i="84"/>
  <c r="M212" i="84"/>
  <c r="K212" i="84"/>
  <c r="I212" i="84"/>
  <c r="C212" i="84"/>
  <c r="R211" i="84"/>
  <c r="S211" i="84" s="1"/>
  <c r="Q211" i="84"/>
  <c r="O211" i="84"/>
  <c r="M211" i="84"/>
  <c r="K211" i="84"/>
  <c r="I211" i="84"/>
  <c r="C211" i="84"/>
  <c r="R210" i="84"/>
  <c r="S210" i="84" s="1"/>
  <c r="Q210" i="84"/>
  <c r="O210" i="84"/>
  <c r="M210" i="84"/>
  <c r="K210" i="84"/>
  <c r="I210" i="84"/>
  <c r="C210" i="84"/>
  <c r="R209" i="84"/>
  <c r="S209" i="84" s="1"/>
  <c r="Q209" i="84"/>
  <c r="O209" i="84"/>
  <c r="M209" i="84"/>
  <c r="K209" i="84"/>
  <c r="I209" i="84"/>
  <c r="C209" i="84"/>
  <c r="R208" i="84"/>
  <c r="S208" i="84" s="1"/>
  <c r="Q208" i="84"/>
  <c r="O208" i="84"/>
  <c r="M208" i="84"/>
  <c r="K208" i="84"/>
  <c r="I208" i="84"/>
  <c r="C208" i="84"/>
  <c r="R207" i="84"/>
  <c r="S207" i="84" s="1"/>
  <c r="Q207" i="84"/>
  <c r="O207" i="84"/>
  <c r="M207" i="84"/>
  <c r="K207" i="84"/>
  <c r="I207" i="84"/>
  <c r="C207" i="84"/>
  <c r="R206" i="84"/>
  <c r="S206" i="84" s="1"/>
  <c r="Q206" i="84"/>
  <c r="O206" i="84"/>
  <c r="M206" i="84"/>
  <c r="K206" i="84"/>
  <c r="I206" i="84"/>
  <c r="C206" i="84"/>
  <c r="R205" i="84"/>
  <c r="S205" i="84" s="1"/>
  <c r="Q205" i="84"/>
  <c r="O205" i="84"/>
  <c r="M205" i="84"/>
  <c r="K205" i="84"/>
  <c r="I205" i="84"/>
  <c r="C205" i="84"/>
  <c r="R204" i="84"/>
  <c r="S204" i="84" s="1"/>
  <c r="Q204" i="84"/>
  <c r="O204" i="84"/>
  <c r="M204" i="84"/>
  <c r="K204" i="84"/>
  <c r="I204" i="84"/>
  <c r="C204" i="84"/>
  <c r="R203" i="84"/>
  <c r="S203" i="84" s="1"/>
  <c r="Q203" i="84"/>
  <c r="O203" i="84"/>
  <c r="M203" i="84"/>
  <c r="K203" i="84"/>
  <c r="I203" i="84"/>
  <c r="C203" i="84"/>
  <c r="R202" i="84"/>
  <c r="S202" i="84" s="1"/>
  <c r="Q202" i="84"/>
  <c r="O202" i="84"/>
  <c r="M202" i="84"/>
  <c r="K202" i="84"/>
  <c r="I202" i="84"/>
  <c r="C202" i="84"/>
  <c r="R201" i="84"/>
  <c r="S201" i="84" s="1"/>
  <c r="Q201" i="84"/>
  <c r="O201" i="84"/>
  <c r="M201" i="84"/>
  <c r="K201" i="84"/>
  <c r="I201" i="84"/>
  <c r="C201" i="84"/>
  <c r="R200" i="84"/>
  <c r="S200" i="84" s="1"/>
  <c r="Q200" i="84"/>
  <c r="O200" i="84"/>
  <c r="M200" i="84"/>
  <c r="K200" i="84"/>
  <c r="I200" i="84"/>
  <c r="C200" i="84"/>
  <c r="R199" i="84"/>
  <c r="S199" i="84" s="1"/>
  <c r="Q199" i="84"/>
  <c r="O199" i="84"/>
  <c r="M199" i="84"/>
  <c r="K199" i="84"/>
  <c r="I199" i="84"/>
  <c r="C199" i="84"/>
  <c r="R198" i="84"/>
  <c r="S198" i="84" s="1"/>
  <c r="Q198" i="84"/>
  <c r="O198" i="84"/>
  <c r="M198" i="84"/>
  <c r="K198" i="84"/>
  <c r="I198" i="84"/>
  <c r="C198" i="84"/>
  <c r="R197" i="84"/>
  <c r="S197" i="84" s="1"/>
  <c r="Q197" i="84"/>
  <c r="O197" i="84"/>
  <c r="M197" i="84"/>
  <c r="K197" i="84"/>
  <c r="I197" i="84"/>
  <c r="C197" i="84"/>
  <c r="R196" i="84"/>
  <c r="S196" i="84" s="1"/>
  <c r="Q196" i="84"/>
  <c r="O196" i="84"/>
  <c r="M196" i="84"/>
  <c r="K196" i="84"/>
  <c r="I196" i="84"/>
  <c r="C196" i="84"/>
  <c r="R195" i="84"/>
  <c r="S195" i="84" s="1"/>
  <c r="Q195" i="84"/>
  <c r="O195" i="84"/>
  <c r="M195" i="84"/>
  <c r="K195" i="84"/>
  <c r="I195" i="84"/>
  <c r="C195" i="84"/>
  <c r="R194" i="84"/>
  <c r="S194" i="84" s="1"/>
  <c r="Q194" i="84"/>
  <c r="O194" i="84"/>
  <c r="M194" i="84"/>
  <c r="K194" i="84"/>
  <c r="I194" i="84"/>
  <c r="C194" i="84"/>
  <c r="R193" i="84"/>
  <c r="S193" i="84" s="1"/>
  <c r="Q193" i="84"/>
  <c r="O193" i="84"/>
  <c r="M193" i="84"/>
  <c r="K193" i="84"/>
  <c r="I193" i="84"/>
  <c r="C193" i="84"/>
  <c r="R192" i="84"/>
  <c r="S192" i="84" s="1"/>
  <c r="Q192" i="84"/>
  <c r="O192" i="84"/>
  <c r="M192" i="84"/>
  <c r="K192" i="84"/>
  <c r="I192" i="84"/>
  <c r="C192" i="84"/>
  <c r="R191" i="84"/>
  <c r="S191" i="84" s="1"/>
  <c r="Q191" i="84"/>
  <c r="O191" i="84"/>
  <c r="M191" i="84"/>
  <c r="K191" i="84"/>
  <c r="I191" i="84"/>
  <c r="C191" i="84"/>
  <c r="R190" i="84"/>
  <c r="S190" i="84" s="1"/>
  <c r="Q190" i="84"/>
  <c r="O190" i="84"/>
  <c r="M190" i="84"/>
  <c r="K190" i="84"/>
  <c r="I190" i="84"/>
  <c r="C190" i="84"/>
  <c r="R189" i="84"/>
  <c r="S189" i="84" s="1"/>
  <c r="Q189" i="84"/>
  <c r="O189" i="84"/>
  <c r="M189" i="84"/>
  <c r="K189" i="84"/>
  <c r="I189" i="84"/>
  <c r="C189" i="84"/>
  <c r="R188" i="84"/>
  <c r="S188" i="84" s="1"/>
  <c r="Q188" i="84"/>
  <c r="O188" i="84"/>
  <c r="M188" i="84"/>
  <c r="K188" i="84"/>
  <c r="I188" i="84"/>
  <c r="C188" i="84"/>
  <c r="R187" i="84"/>
  <c r="S187" i="84" s="1"/>
  <c r="Q187" i="84"/>
  <c r="O187" i="84"/>
  <c r="M187" i="84"/>
  <c r="K187" i="84"/>
  <c r="I187" i="84"/>
  <c r="C187" i="84"/>
  <c r="R186" i="84"/>
  <c r="S186" i="84" s="1"/>
  <c r="Q186" i="84"/>
  <c r="O186" i="84"/>
  <c r="M186" i="84"/>
  <c r="K186" i="84"/>
  <c r="I186" i="84"/>
  <c r="C186" i="84"/>
  <c r="R185" i="84"/>
  <c r="S185" i="84" s="1"/>
  <c r="Q185" i="84"/>
  <c r="O185" i="84"/>
  <c r="M185" i="84"/>
  <c r="K185" i="84"/>
  <c r="I185" i="84"/>
  <c r="C185" i="84"/>
  <c r="R184" i="84"/>
  <c r="S184" i="84" s="1"/>
  <c r="Q184" i="84"/>
  <c r="O184" i="84"/>
  <c r="M184" i="84"/>
  <c r="K184" i="84"/>
  <c r="I184" i="84"/>
  <c r="C184" i="84"/>
  <c r="R183" i="84"/>
  <c r="S183" i="84" s="1"/>
  <c r="Q183" i="84"/>
  <c r="O183" i="84"/>
  <c r="M183" i="84"/>
  <c r="K183" i="84"/>
  <c r="I183" i="84"/>
  <c r="C183" i="84"/>
  <c r="R182" i="84"/>
  <c r="S182" i="84" s="1"/>
  <c r="Q182" i="84"/>
  <c r="O182" i="84"/>
  <c r="M182" i="84"/>
  <c r="K182" i="84"/>
  <c r="I182" i="84"/>
  <c r="C182" i="84"/>
  <c r="R181" i="84"/>
  <c r="S181" i="84" s="1"/>
  <c r="Q181" i="84"/>
  <c r="O181" i="84"/>
  <c r="M181" i="84"/>
  <c r="K181" i="84"/>
  <c r="I181" i="84"/>
  <c r="C181" i="84"/>
  <c r="R180" i="84"/>
  <c r="S180" i="84" s="1"/>
  <c r="Q180" i="84"/>
  <c r="O180" i="84"/>
  <c r="M180" i="84"/>
  <c r="K180" i="84"/>
  <c r="I180" i="84"/>
  <c r="C180" i="84"/>
  <c r="R179" i="84"/>
  <c r="S179" i="84" s="1"/>
  <c r="Q179" i="84"/>
  <c r="O179" i="84"/>
  <c r="M179" i="84"/>
  <c r="K179" i="84"/>
  <c r="I179" i="84"/>
  <c r="C179" i="84"/>
  <c r="R178" i="84"/>
  <c r="S178" i="84" s="1"/>
  <c r="Q178" i="84"/>
  <c r="O178" i="84"/>
  <c r="M178" i="84"/>
  <c r="K178" i="84"/>
  <c r="I178" i="84"/>
  <c r="C178" i="84"/>
  <c r="R177" i="84"/>
  <c r="S177" i="84" s="1"/>
  <c r="Q177" i="84"/>
  <c r="O177" i="84"/>
  <c r="M177" i="84"/>
  <c r="K177" i="84"/>
  <c r="I177" i="84"/>
  <c r="C177" i="84"/>
  <c r="R176" i="84"/>
  <c r="S176" i="84" s="1"/>
  <c r="Q176" i="84"/>
  <c r="O176" i="84"/>
  <c r="M176" i="84"/>
  <c r="K176" i="84"/>
  <c r="I176" i="84"/>
  <c r="C176" i="84"/>
  <c r="R175" i="84"/>
  <c r="S175" i="84" s="1"/>
  <c r="Q175" i="84"/>
  <c r="O175" i="84"/>
  <c r="M175" i="84"/>
  <c r="K175" i="84"/>
  <c r="I175" i="84"/>
  <c r="C175" i="84"/>
  <c r="R174" i="84"/>
  <c r="S174" i="84" s="1"/>
  <c r="Q174" i="84"/>
  <c r="O174" i="84"/>
  <c r="M174" i="84"/>
  <c r="K174" i="84"/>
  <c r="I174" i="84"/>
  <c r="C174" i="84"/>
  <c r="R173" i="84"/>
  <c r="S173" i="84" s="1"/>
  <c r="Q173" i="84"/>
  <c r="O173" i="84"/>
  <c r="M173" i="84"/>
  <c r="K173" i="84"/>
  <c r="I173" i="84"/>
  <c r="C173" i="84"/>
  <c r="R172" i="84"/>
  <c r="S172" i="84" s="1"/>
  <c r="Q172" i="84"/>
  <c r="O172" i="84"/>
  <c r="M172" i="84"/>
  <c r="K172" i="84"/>
  <c r="I172" i="84"/>
  <c r="C172" i="84"/>
  <c r="R171" i="84"/>
  <c r="S171" i="84" s="1"/>
  <c r="Q171" i="84"/>
  <c r="O171" i="84"/>
  <c r="M171" i="84"/>
  <c r="K171" i="84"/>
  <c r="I171" i="84"/>
  <c r="C171" i="84"/>
  <c r="R170" i="84"/>
  <c r="S170" i="84" s="1"/>
  <c r="Q170" i="84"/>
  <c r="O170" i="84"/>
  <c r="M170" i="84"/>
  <c r="K170" i="84"/>
  <c r="I170" i="84"/>
  <c r="C170" i="84"/>
  <c r="R169" i="84"/>
  <c r="S169" i="84" s="1"/>
  <c r="Q169" i="84"/>
  <c r="O169" i="84"/>
  <c r="M169" i="84"/>
  <c r="K169" i="84"/>
  <c r="I169" i="84"/>
  <c r="C169" i="84"/>
  <c r="R168" i="84"/>
  <c r="S168" i="84" s="1"/>
  <c r="Q168" i="84"/>
  <c r="O168" i="84"/>
  <c r="M168" i="84"/>
  <c r="K168" i="84"/>
  <c r="I168" i="84"/>
  <c r="C168" i="84"/>
  <c r="R167" i="84"/>
  <c r="S167" i="84" s="1"/>
  <c r="Q167" i="84"/>
  <c r="O167" i="84"/>
  <c r="M167" i="84"/>
  <c r="K167" i="84"/>
  <c r="I167" i="84"/>
  <c r="C167" i="84"/>
  <c r="R166" i="84"/>
  <c r="S166" i="84" s="1"/>
  <c r="Q166" i="84"/>
  <c r="O166" i="84"/>
  <c r="M166" i="84"/>
  <c r="K166" i="84"/>
  <c r="I166" i="84"/>
  <c r="C166" i="84"/>
  <c r="R165" i="84"/>
  <c r="S165" i="84" s="1"/>
  <c r="Q165" i="84"/>
  <c r="O165" i="84"/>
  <c r="M165" i="84"/>
  <c r="K165" i="84"/>
  <c r="I165" i="84"/>
  <c r="C165" i="84"/>
  <c r="R164" i="84"/>
  <c r="S164" i="84" s="1"/>
  <c r="Q164" i="84"/>
  <c r="O164" i="84"/>
  <c r="M164" i="84"/>
  <c r="K164" i="84"/>
  <c r="I164" i="84"/>
  <c r="C164" i="84"/>
  <c r="R163" i="84"/>
  <c r="S163" i="84" s="1"/>
  <c r="Q163" i="84"/>
  <c r="O163" i="84"/>
  <c r="M163" i="84"/>
  <c r="K163" i="84"/>
  <c r="I163" i="84"/>
  <c r="C163" i="84"/>
  <c r="R162" i="84"/>
  <c r="S162" i="84" s="1"/>
  <c r="Q162" i="84"/>
  <c r="O162" i="84"/>
  <c r="M162" i="84"/>
  <c r="K162" i="84"/>
  <c r="I162" i="84"/>
  <c r="C162" i="84"/>
  <c r="R161" i="84"/>
  <c r="S161" i="84" s="1"/>
  <c r="Q161" i="84"/>
  <c r="O161" i="84"/>
  <c r="M161" i="84"/>
  <c r="K161" i="84"/>
  <c r="I161" i="84"/>
  <c r="C161" i="84"/>
  <c r="R160" i="84"/>
  <c r="S160" i="84" s="1"/>
  <c r="Q160" i="84"/>
  <c r="O160" i="84"/>
  <c r="M160" i="84"/>
  <c r="K160" i="84"/>
  <c r="I160" i="84"/>
  <c r="C160" i="84"/>
  <c r="R159" i="84"/>
  <c r="S159" i="84" s="1"/>
  <c r="Q159" i="84"/>
  <c r="O159" i="84"/>
  <c r="M159" i="84"/>
  <c r="K159" i="84"/>
  <c r="I159" i="84"/>
  <c r="C159" i="84"/>
  <c r="R158" i="84"/>
  <c r="S158" i="84" s="1"/>
  <c r="Q158" i="84"/>
  <c r="O158" i="84"/>
  <c r="M158" i="84"/>
  <c r="K158" i="84"/>
  <c r="I158" i="84"/>
  <c r="C158" i="84"/>
  <c r="R157" i="84"/>
  <c r="S157" i="84" s="1"/>
  <c r="Q157" i="84"/>
  <c r="O157" i="84"/>
  <c r="M157" i="84"/>
  <c r="K157" i="84"/>
  <c r="I157" i="84"/>
  <c r="C157" i="84"/>
  <c r="R156" i="84"/>
  <c r="S156" i="84" s="1"/>
  <c r="Q156" i="84"/>
  <c r="O156" i="84"/>
  <c r="M156" i="84"/>
  <c r="K156" i="84"/>
  <c r="I156" i="84"/>
  <c r="C156" i="84"/>
  <c r="R155" i="84"/>
  <c r="S155" i="84" s="1"/>
  <c r="Q155" i="84"/>
  <c r="O155" i="84"/>
  <c r="M155" i="84"/>
  <c r="K155" i="84"/>
  <c r="I155" i="84"/>
  <c r="C155" i="84"/>
  <c r="R154" i="84"/>
  <c r="S154" i="84" s="1"/>
  <c r="Q154" i="84"/>
  <c r="O154" i="84"/>
  <c r="M154" i="84"/>
  <c r="K154" i="84"/>
  <c r="I154" i="84"/>
  <c r="C154" i="84"/>
  <c r="R153" i="84"/>
  <c r="S153" i="84" s="1"/>
  <c r="Q153" i="84"/>
  <c r="O153" i="84"/>
  <c r="M153" i="84"/>
  <c r="K153" i="84"/>
  <c r="I153" i="84"/>
  <c r="C153" i="84"/>
  <c r="R152" i="84"/>
  <c r="S152" i="84" s="1"/>
  <c r="Q152" i="84"/>
  <c r="O152" i="84"/>
  <c r="M152" i="84"/>
  <c r="K152" i="84"/>
  <c r="I152" i="84"/>
  <c r="C152" i="84"/>
  <c r="R151" i="84"/>
  <c r="S151" i="84" s="1"/>
  <c r="Q151" i="84"/>
  <c r="O151" i="84"/>
  <c r="M151" i="84"/>
  <c r="K151" i="84"/>
  <c r="I151" i="84"/>
  <c r="C151" i="84"/>
  <c r="R150" i="84"/>
  <c r="S150" i="84" s="1"/>
  <c r="Q150" i="84"/>
  <c r="O150" i="84"/>
  <c r="M150" i="84"/>
  <c r="K150" i="84"/>
  <c r="I150" i="84"/>
  <c r="C150" i="84"/>
  <c r="R149" i="84"/>
  <c r="S149" i="84" s="1"/>
  <c r="Q149" i="84"/>
  <c r="O149" i="84"/>
  <c r="M149" i="84"/>
  <c r="K149" i="84"/>
  <c r="I149" i="84"/>
  <c r="C149" i="84"/>
  <c r="R148" i="84"/>
  <c r="S148" i="84" s="1"/>
  <c r="Q148" i="84"/>
  <c r="O148" i="84"/>
  <c r="M148" i="84"/>
  <c r="K148" i="84"/>
  <c r="I148" i="84"/>
  <c r="C148" i="84"/>
  <c r="R147" i="84"/>
  <c r="S147" i="84" s="1"/>
  <c r="Q147" i="84"/>
  <c r="O147" i="84"/>
  <c r="M147" i="84"/>
  <c r="K147" i="84"/>
  <c r="I147" i="84"/>
  <c r="C147" i="84"/>
  <c r="R146" i="84"/>
  <c r="S146" i="84" s="1"/>
  <c r="Q146" i="84"/>
  <c r="O146" i="84"/>
  <c r="M146" i="84"/>
  <c r="K146" i="84"/>
  <c r="I146" i="84"/>
  <c r="C146" i="84"/>
  <c r="R145" i="84"/>
  <c r="S145" i="84" s="1"/>
  <c r="Q145" i="84"/>
  <c r="O145" i="84"/>
  <c r="M145" i="84"/>
  <c r="K145" i="84"/>
  <c r="I145" i="84"/>
  <c r="C145" i="84"/>
  <c r="R144" i="84"/>
  <c r="S144" i="84" s="1"/>
  <c r="Q144" i="84"/>
  <c r="O144" i="84"/>
  <c r="M144" i="84"/>
  <c r="K144" i="84"/>
  <c r="I144" i="84"/>
  <c r="C144" i="84"/>
  <c r="R143" i="84"/>
  <c r="S143" i="84" s="1"/>
  <c r="Q143" i="84"/>
  <c r="O143" i="84"/>
  <c r="M143" i="84"/>
  <c r="K143" i="84"/>
  <c r="I143" i="84"/>
  <c r="C143" i="84"/>
  <c r="R142" i="84"/>
  <c r="S142" i="84" s="1"/>
  <c r="Q142" i="84"/>
  <c r="O142" i="84"/>
  <c r="M142" i="84"/>
  <c r="K142" i="84"/>
  <c r="I142" i="84"/>
  <c r="C142" i="84"/>
  <c r="R141" i="84"/>
  <c r="S141" i="84" s="1"/>
  <c r="Q141" i="84"/>
  <c r="O141" i="84"/>
  <c r="M141" i="84"/>
  <c r="K141" i="84"/>
  <c r="I141" i="84"/>
  <c r="C141" i="84"/>
  <c r="R140" i="84"/>
  <c r="S140" i="84" s="1"/>
  <c r="Q140" i="84"/>
  <c r="O140" i="84"/>
  <c r="M140" i="84"/>
  <c r="K140" i="84"/>
  <c r="I140" i="84"/>
  <c r="C140" i="84"/>
  <c r="R139" i="84"/>
  <c r="S139" i="84" s="1"/>
  <c r="Q139" i="84"/>
  <c r="O139" i="84"/>
  <c r="M139" i="84"/>
  <c r="K139" i="84"/>
  <c r="I139" i="84"/>
  <c r="C139" i="84"/>
  <c r="R138" i="84"/>
  <c r="S138" i="84" s="1"/>
  <c r="Q138" i="84"/>
  <c r="O138" i="84"/>
  <c r="M138" i="84"/>
  <c r="K138" i="84"/>
  <c r="I138" i="84"/>
  <c r="C138" i="84"/>
  <c r="R137" i="84"/>
  <c r="S137" i="84" s="1"/>
  <c r="Q137" i="84"/>
  <c r="O137" i="84"/>
  <c r="M137" i="84"/>
  <c r="K137" i="84"/>
  <c r="I137" i="84"/>
  <c r="C137" i="84"/>
  <c r="R136" i="84"/>
  <c r="S136" i="84" s="1"/>
  <c r="Q136" i="84"/>
  <c r="O136" i="84"/>
  <c r="M136" i="84"/>
  <c r="K136" i="84"/>
  <c r="I136" i="84"/>
  <c r="C136" i="84"/>
  <c r="R135" i="84"/>
  <c r="S135" i="84" s="1"/>
  <c r="Q135" i="84"/>
  <c r="O135" i="84"/>
  <c r="M135" i="84"/>
  <c r="K135" i="84"/>
  <c r="I135" i="84"/>
  <c r="C135" i="84"/>
  <c r="R134" i="84"/>
  <c r="S134" i="84" s="1"/>
  <c r="Q134" i="84"/>
  <c r="O134" i="84"/>
  <c r="M134" i="84"/>
  <c r="K134" i="84"/>
  <c r="I134" i="84"/>
  <c r="C134" i="84"/>
  <c r="R133" i="84"/>
  <c r="S133" i="84" s="1"/>
  <c r="Q133" i="84"/>
  <c r="O133" i="84"/>
  <c r="M133" i="84"/>
  <c r="K133" i="84"/>
  <c r="I133" i="84"/>
  <c r="C133" i="84"/>
  <c r="R132" i="84"/>
  <c r="S132" i="84" s="1"/>
  <c r="Q132" i="84"/>
  <c r="O132" i="84"/>
  <c r="M132" i="84"/>
  <c r="K132" i="84"/>
  <c r="I132" i="84"/>
  <c r="C132" i="84"/>
  <c r="R131" i="84"/>
  <c r="S131" i="84" s="1"/>
  <c r="Q131" i="84"/>
  <c r="O131" i="84"/>
  <c r="M131" i="84"/>
  <c r="K131" i="84"/>
  <c r="I131" i="84"/>
  <c r="C131" i="84"/>
  <c r="R130" i="84"/>
  <c r="S130" i="84" s="1"/>
  <c r="Q130" i="84"/>
  <c r="O130" i="84"/>
  <c r="M130" i="84"/>
  <c r="K130" i="84"/>
  <c r="I130" i="84"/>
  <c r="C130" i="84"/>
  <c r="R129" i="84"/>
  <c r="S129" i="84" s="1"/>
  <c r="Q129" i="84"/>
  <c r="O129" i="84"/>
  <c r="M129" i="84"/>
  <c r="K129" i="84"/>
  <c r="I129" i="84"/>
  <c r="C129" i="84"/>
  <c r="R128" i="84"/>
  <c r="S128" i="84" s="1"/>
  <c r="Q128" i="84"/>
  <c r="O128" i="84"/>
  <c r="M128" i="84"/>
  <c r="K128" i="84"/>
  <c r="I128" i="84"/>
  <c r="C128" i="84"/>
  <c r="R127" i="84"/>
  <c r="S127" i="84" s="1"/>
  <c r="Q127" i="84"/>
  <c r="O127" i="84"/>
  <c r="M127" i="84"/>
  <c r="K127" i="84"/>
  <c r="I127" i="84"/>
  <c r="C127" i="84"/>
  <c r="Q126" i="84"/>
  <c r="O126" i="84"/>
  <c r="M126" i="84"/>
  <c r="K126" i="84"/>
  <c r="I126" i="84"/>
  <c r="Q125" i="84"/>
  <c r="O125" i="84"/>
  <c r="M125" i="84"/>
  <c r="K125" i="84"/>
  <c r="I125" i="84"/>
  <c r="Q124" i="84"/>
  <c r="O124" i="84"/>
  <c r="M124" i="84"/>
  <c r="K124" i="84"/>
  <c r="I124" i="84"/>
  <c r="Q123" i="84"/>
  <c r="O123" i="84"/>
  <c r="M123" i="84"/>
  <c r="K123" i="84"/>
  <c r="I123" i="84"/>
  <c r="Q122" i="84"/>
  <c r="O122" i="84"/>
  <c r="M122" i="84"/>
  <c r="K122" i="84"/>
  <c r="I122" i="84"/>
  <c r="Q121" i="84"/>
  <c r="O121" i="84"/>
  <c r="M121" i="84"/>
  <c r="K121" i="84"/>
  <c r="I121" i="84"/>
  <c r="Q120" i="84"/>
  <c r="O120" i="84"/>
  <c r="M120" i="84"/>
  <c r="K120" i="84"/>
  <c r="I120" i="84"/>
  <c r="Q119" i="84"/>
  <c r="O119" i="84"/>
  <c r="M119" i="84"/>
  <c r="K119" i="84"/>
  <c r="I119" i="84"/>
  <c r="Q118" i="84"/>
  <c r="O118" i="84"/>
  <c r="M118" i="84"/>
  <c r="K118" i="84"/>
  <c r="I118" i="84"/>
  <c r="Q117" i="84"/>
  <c r="O117" i="84"/>
  <c r="M117" i="84"/>
  <c r="K117" i="84"/>
  <c r="I117" i="84"/>
  <c r="Q116" i="84"/>
  <c r="O116" i="84"/>
  <c r="M116" i="84"/>
  <c r="K116" i="84"/>
  <c r="I116" i="84"/>
  <c r="Q115" i="84"/>
  <c r="O115" i="84"/>
  <c r="M115" i="84"/>
  <c r="K115" i="84"/>
  <c r="I115" i="84"/>
  <c r="Q114" i="84"/>
  <c r="O114" i="84"/>
  <c r="M114" i="84"/>
  <c r="K114" i="84"/>
  <c r="I114" i="84"/>
  <c r="Q113" i="84"/>
  <c r="O113" i="84"/>
  <c r="M113" i="84"/>
  <c r="K113" i="84"/>
  <c r="I113" i="84"/>
  <c r="Q112" i="84"/>
  <c r="O112" i="84"/>
  <c r="M112" i="84"/>
  <c r="K112" i="84"/>
  <c r="I112" i="84"/>
  <c r="Q111" i="84"/>
  <c r="O111" i="84"/>
  <c r="M111" i="84"/>
  <c r="K111" i="84"/>
  <c r="I111" i="84"/>
  <c r="Q110" i="84"/>
  <c r="O110" i="84"/>
  <c r="M110" i="84"/>
  <c r="K110" i="84"/>
  <c r="I110" i="84"/>
  <c r="Q109" i="84"/>
  <c r="O109" i="84"/>
  <c r="M109" i="84"/>
  <c r="K109" i="84"/>
  <c r="I109" i="84"/>
  <c r="Q108" i="84"/>
  <c r="O108" i="84"/>
  <c r="M108" i="84"/>
  <c r="K108" i="84"/>
  <c r="I108" i="84"/>
  <c r="Q107" i="84"/>
  <c r="O107" i="84"/>
  <c r="M107" i="84"/>
  <c r="K107" i="84"/>
  <c r="I107" i="84"/>
  <c r="Q106" i="84"/>
  <c r="O106" i="84"/>
  <c r="M106" i="84"/>
  <c r="K106" i="84"/>
  <c r="I106" i="84"/>
  <c r="Q105" i="84"/>
  <c r="O105" i="84"/>
  <c r="M105" i="84"/>
  <c r="K105" i="84"/>
  <c r="I105" i="84"/>
  <c r="Q104" i="84"/>
  <c r="O104" i="84"/>
  <c r="M104" i="84"/>
  <c r="K104" i="84"/>
  <c r="I104" i="84"/>
  <c r="Q103" i="84"/>
  <c r="O103" i="84"/>
  <c r="M103" i="84"/>
  <c r="K103" i="84"/>
  <c r="I103" i="84"/>
  <c r="Q102" i="84"/>
  <c r="O102" i="84"/>
  <c r="M102" i="84"/>
  <c r="K102" i="84"/>
  <c r="I102" i="84"/>
  <c r="Q101" i="84"/>
  <c r="O101" i="84"/>
  <c r="M101" i="84"/>
  <c r="K101" i="84"/>
  <c r="I101" i="84"/>
  <c r="Q100" i="84"/>
  <c r="O100" i="84"/>
  <c r="M100" i="84"/>
  <c r="K100" i="84"/>
  <c r="I100" i="84"/>
  <c r="Q99" i="84"/>
  <c r="O99" i="84"/>
  <c r="M99" i="84"/>
  <c r="K99" i="84"/>
  <c r="I99" i="84"/>
  <c r="Q98" i="84"/>
  <c r="O98" i="84"/>
  <c r="M98" i="84"/>
  <c r="K98" i="84"/>
  <c r="I98" i="84"/>
  <c r="Q97" i="84"/>
  <c r="O97" i="84"/>
  <c r="M97" i="84"/>
  <c r="K97" i="84"/>
  <c r="I97" i="84"/>
  <c r="Q96" i="84"/>
  <c r="O96" i="84"/>
  <c r="M96" i="84"/>
  <c r="K96" i="84"/>
  <c r="I96" i="84"/>
  <c r="Q95" i="84"/>
  <c r="O95" i="84"/>
  <c r="M95" i="84"/>
  <c r="K95" i="84"/>
  <c r="I95" i="84"/>
  <c r="Q94" i="84"/>
  <c r="O94" i="84"/>
  <c r="M94" i="84"/>
  <c r="K94" i="84"/>
  <c r="I94" i="84"/>
  <c r="Q93" i="84"/>
  <c r="O93" i="84"/>
  <c r="M93" i="84"/>
  <c r="K93" i="84"/>
  <c r="I93" i="84"/>
  <c r="Q92" i="84"/>
  <c r="O92" i="84"/>
  <c r="M92" i="84"/>
  <c r="K92" i="84"/>
  <c r="I92" i="84"/>
  <c r="Q91" i="84"/>
  <c r="O91" i="84"/>
  <c r="M91" i="84"/>
  <c r="K91" i="84"/>
  <c r="I91" i="84"/>
  <c r="Q90" i="84"/>
  <c r="O90" i="84"/>
  <c r="M90" i="84"/>
  <c r="K90" i="84"/>
  <c r="I90" i="84"/>
  <c r="Q89" i="84"/>
  <c r="O89" i="84"/>
  <c r="M89" i="84"/>
  <c r="K89" i="84"/>
  <c r="I89" i="84"/>
  <c r="Q88" i="84"/>
  <c r="O88" i="84"/>
  <c r="M88" i="84"/>
  <c r="K88" i="84"/>
  <c r="I88" i="84"/>
  <c r="Q87" i="84"/>
  <c r="O87" i="84"/>
  <c r="M87" i="84"/>
  <c r="K87" i="84"/>
  <c r="I87" i="84"/>
  <c r="Q86" i="84"/>
  <c r="O86" i="84"/>
  <c r="M86" i="84"/>
  <c r="K86" i="84"/>
  <c r="I86" i="84"/>
  <c r="Q85" i="84"/>
  <c r="O85" i="84"/>
  <c r="M85" i="84"/>
  <c r="K85" i="84"/>
  <c r="I85" i="84"/>
  <c r="Q84" i="84"/>
  <c r="O84" i="84"/>
  <c r="M84" i="84"/>
  <c r="K84" i="84"/>
  <c r="I84" i="84"/>
  <c r="Q83" i="84"/>
  <c r="O83" i="84"/>
  <c r="M83" i="84"/>
  <c r="K83" i="84"/>
  <c r="I83" i="84"/>
  <c r="Q82" i="84"/>
  <c r="O82" i="84"/>
  <c r="M82" i="84"/>
  <c r="K82" i="84"/>
  <c r="I82" i="84"/>
  <c r="Q81" i="84"/>
  <c r="O81" i="84"/>
  <c r="M81" i="84"/>
  <c r="K81" i="84"/>
  <c r="I81" i="84"/>
  <c r="Q80" i="84"/>
  <c r="O80" i="84"/>
  <c r="M80" i="84"/>
  <c r="K80" i="84"/>
  <c r="I80" i="84"/>
  <c r="Q79" i="84"/>
  <c r="O79" i="84"/>
  <c r="M79" i="84"/>
  <c r="K79" i="84"/>
  <c r="I79" i="84"/>
  <c r="Q78" i="84"/>
  <c r="O78" i="84"/>
  <c r="M78" i="84"/>
  <c r="K78" i="84"/>
  <c r="I78" i="84"/>
  <c r="Q77" i="84"/>
  <c r="O77" i="84"/>
  <c r="M77" i="84"/>
  <c r="K77" i="84"/>
  <c r="I77" i="84"/>
  <c r="Q76" i="84"/>
  <c r="O76" i="84"/>
  <c r="M76" i="84"/>
  <c r="K76" i="84"/>
  <c r="I76" i="84"/>
  <c r="Q75" i="84"/>
  <c r="O75" i="84"/>
  <c r="M75" i="84"/>
  <c r="K75" i="84"/>
  <c r="I75" i="84"/>
  <c r="Q74" i="84"/>
  <c r="O74" i="84"/>
  <c r="M74" i="84"/>
  <c r="K74" i="84"/>
  <c r="I74" i="84"/>
  <c r="Q73" i="84"/>
  <c r="O73" i="84"/>
  <c r="M73" i="84"/>
  <c r="K73" i="84"/>
  <c r="I73" i="84"/>
  <c r="Q72" i="84"/>
  <c r="O72" i="84"/>
  <c r="M72" i="84"/>
  <c r="K72" i="84"/>
  <c r="I72" i="84"/>
  <c r="Q71" i="84"/>
  <c r="O71" i="84"/>
  <c r="M71" i="84"/>
  <c r="K71" i="84"/>
  <c r="I71" i="84"/>
  <c r="Q70" i="84"/>
  <c r="O70" i="84"/>
  <c r="M70" i="84"/>
  <c r="K70" i="84"/>
  <c r="I70" i="84"/>
  <c r="Q69" i="84"/>
  <c r="O69" i="84"/>
  <c r="M69" i="84"/>
  <c r="K69" i="84"/>
  <c r="I69" i="84"/>
  <c r="Q68" i="84"/>
  <c r="O68" i="84"/>
  <c r="M68" i="84"/>
  <c r="K68" i="84"/>
  <c r="I68" i="84"/>
  <c r="C68" i="84"/>
  <c r="Q67" i="84"/>
  <c r="O67" i="84"/>
  <c r="M67" i="84"/>
  <c r="K67" i="84"/>
  <c r="I67" i="84"/>
  <c r="Q66" i="84"/>
  <c r="O66" i="84"/>
  <c r="M66" i="84"/>
  <c r="K66" i="84"/>
  <c r="I66" i="84"/>
  <c r="E66" i="84"/>
  <c r="Q65" i="84"/>
  <c r="O65" i="84"/>
  <c r="M65" i="84"/>
  <c r="K65" i="84"/>
  <c r="I65" i="84"/>
  <c r="Q64" i="84"/>
  <c r="O64" i="84"/>
  <c r="M64" i="84"/>
  <c r="K64" i="84"/>
  <c r="I64" i="84"/>
  <c r="Q63" i="84"/>
  <c r="O63" i="84"/>
  <c r="M63" i="84"/>
  <c r="K63" i="84"/>
  <c r="I63" i="84"/>
  <c r="Q62" i="84"/>
  <c r="O62" i="84"/>
  <c r="M62" i="84"/>
  <c r="K62" i="84"/>
  <c r="I62" i="84"/>
  <c r="Q61" i="84"/>
  <c r="O61" i="84"/>
  <c r="M61" i="84"/>
  <c r="K61" i="84"/>
  <c r="I61" i="84"/>
  <c r="Q60" i="84"/>
  <c r="O60" i="84"/>
  <c r="M60" i="84"/>
  <c r="K60" i="84"/>
  <c r="I60" i="84"/>
  <c r="Q59" i="84"/>
  <c r="O59" i="84"/>
  <c r="M59" i="84"/>
  <c r="K59" i="84"/>
  <c r="I59" i="84"/>
  <c r="Q58" i="84"/>
  <c r="O58" i="84"/>
  <c r="M58" i="84"/>
  <c r="K58" i="84"/>
  <c r="I58" i="84"/>
  <c r="Q57" i="84"/>
  <c r="O57" i="84"/>
  <c r="M57" i="84"/>
  <c r="K57" i="84"/>
  <c r="I57" i="84"/>
  <c r="Q56" i="84"/>
  <c r="O56" i="84"/>
  <c r="M56" i="84"/>
  <c r="K56" i="84"/>
  <c r="I56" i="84"/>
  <c r="Q55" i="84"/>
  <c r="O55" i="84"/>
  <c r="M55" i="84"/>
  <c r="K55" i="84"/>
  <c r="I55" i="84"/>
  <c r="Q54" i="84"/>
  <c r="O54" i="84"/>
  <c r="M54" i="84"/>
  <c r="K54" i="84"/>
  <c r="I54" i="84"/>
  <c r="Q53" i="84"/>
  <c r="O53" i="84"/>
  <c r="M53" i="84"/>
  <c r="K53" i="84"/>
  <c r="I53" i="84"/>
  <c r="Q52" i="84"/>
  <c r="O52" i="84"/>
  <c r="M52" i="84"/>
  <c r="K52" i="84"/>
  <c r="I52" i="84"/>
  <c r="Q51" i="84"/>
  <c r="O51" i="84"/>
  <c r="M51" i="84"/>
  <c r="K51" i="84"/>
  <c r="I51" i="84"/>
  <c r="E51" i="84"/>
  <c r="Q50" i="84"/>
  <c r="O50" i="84"/>
  <c r="M50" i="84"/>
  <c r="K50" i="84"/>
  <c r="I50" i="84"/>
  <c r="Q49" i="84"/>
  <c r="O49" i="84"/>
  <c r="M49" i="84"/>
  <c r="K49" i="84"/>
  <c r="I49" i="84"/>
  <c r="Q48" i="84"/>
  <c r="O48" i="84"/>
  <c r="M48" i="84"/>
  <c r="K48" i="84"/>
  <c r="I48" i="84"/>
  <c r="Q47" i="84"/>
  <c r="O47" i="84"/>
  <c r="M47" i="84"/>
  <c r="K47" i="84"/>
  <c r="I47" i="84"/>
  <c r="Q46" i="84"/>
  <c r="O46" i="84"/>
  <c r="M46" i="84"/>
  <c r="K46" i="84"/>
  <c r="I46" i="84"/>
  <c r="Q45" i="84"/>
  <c r="O45" i="84"/>
  <c r="M45" i="84"/>
  <c r="K45" i="84"/>
  <c r="I45" i="84"/>
  <c r="Q44" i="84"/>
  <c r="O44" i="84"/>
  <c r="M44" i="84"/>
  <c r="K44" i="84"/>
  <c r="I44" i="84"/>
  <c r="Q43" i="84"/>
  <c r="O43" i="84"/>
  <c r="M43" i="84"/>
  <c r="K43" i="84"/>
  <c r="I43" i="84"/>
  <c r="Q42" i="84"/>
  <c r="O42" i="84"/>
  <c r="M42" i="84"/>
  <c r="K42" i="84"/>
  <c r="I42" i="84"/>
  <c r="Q41" i="84"/>
  <c r="O41" i="84"/>
  <c r="M41" i="84"/>
  <c r="K41" i="84"/>
  <c r="I41" i="84"/>
  <c r="C41" i="84"/>
  <c r="Q40" i="84"/>
  <c r="O40" i="84"/>
  <c r="M40" i="84"/>
  <c r="K40" i="84"/>
  <c r="I40" i="84"/>
  <c r="Q39" i="84"/>
  <c r="O39" i="84"/>
  <c r="M39" i="84"/>
  <c r="K39" i="84"/>
  <c r="I39" i="84"/>
  <c r="Q38" i="84"/>
  <c r="O38" i="84"/>
  <c r="M38" i="84"/>
  <c r="K38" i="84"/>
  <c r="I38" i="84"/>
  <c r="Q37" i="84"/>
  <c r="O37" i="84"/>
  <c r="M37" i="84"/>
  <c r="K37" i="84"/>
  <c r="I37" i="84"/>
  <c r="Q36" i="84"/>
  <c r="O36" i="84"/>
  <c r="M36" i="84"/>
  <c r="K36" i="84"/>
  <c r="I36" i="84"/>
  <c r="Q35" i="84"/>
  <c r="O35" i="84"/>
  <c r="M35" i="84"/>
  <c r="K35" i="84"/>
  <c r="I35" i="84"/>
  <c r="C35" i="84"/>
  <c r="Q34" i="84"/>
  <c r="O34" i="84"/>
  <c r="M34" i="84"/>
  <c r="K34" i="84"/>
  <c r="I34" i="84"/>
  <c r="Q33" i="84"/>
  <c r="O33" i="84"/>
  <c r="M33" i="84"/>
  <c r="K33" i="84"/>
  <c r="I33" i="84"/>
  <c r="C33" i="84"/>
  <c r="Q32" i="84"/>
  <c r="O32" i="84"/>
  <c r="M32" i="84"/>
  <c r="K32" i="84"/>
  <c r="I32" i="84"/>
  <c r="Q31" i="84"/>
  <c r="O31" i="84"/>
  <c r="M31" i="84"/>
  <c r="K31" i="84"/>
  <c r="I31" i="84"/>
  <c r="Q30" i="84"/>
  <c r="O30" i="84"/>
  <c r="M30" i="84"/>
  <c r="K30" i="84"/>
  <c r="I30" i="84"/>
  <c r="Q29" i="84"/>
  <c r="O29" i="84"/>
  <c r="M29" i="84"/>
  <c r="K29" i="84"/>
  <c r="I29" i="84"/>
  <c r="Q28" i="84"/>
  <c r="O28" i="84"/>
  <c r="M28" i="84"/>
  <c r="K28" i="84"/>
  <c r="I28" i="84"/>
  <c r="Q27" i="84"/>
  <c r="O27" i="84"/>
  <c r="M27" i="84"/>
  <c r="K27" i="84"/>
  <c r="I27" i="84"/>
  <c r="C27" i="84"/>
  <c r="Q26" i="84"/>
  <c r="O26" i="84"/>
  <c r="M26" i="84"/>
  <c r="K26" i="84"/>
  <c r="I26" i="84"/>
  <c r="Q25" i="84"/>
  <c r="O25" i="84"/>
  <c r="M25" i="84"/>
  <c r="K25" i="84"/>
  <c r="I25" i="84"/>
  <c r="C25" i="84"/>
  <c r="C52"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D6" i="84"/>
  <c r="E67" i="84" s="1"/>
  <c r="S2" i="84"/>
  <c r="R2" i="84"/>
  <c r="Q2" i="84"/>
  <c r="P2" i="84"/>
  <c r="O2" i="84"/>
  <c r="N2" i="84"/>
  <c r="M2" i="84"/>
  <c r="L2" i="84"/>
  <c r="K2" i="84"/>
  <c r="J2" i="84"/>
  <c r="I2" i="84"/>
  <c r="H2" i="84"/>
  <c r="G2" i="84"/>
  <c r="F2" i="84"/>
  <c r="E2" i="84"/>
  <c r="D2" i="84"/>
  <c r="C2" i="84"/>
  <c r="E58" i="84" l="1"/>
  <c r="C60" i="84"/>
  <c r="E50" i="84"/>
  <c r="E524" i="84"/>
  <c r="E522" i="84"/>
  <c r="E520" i="84"/>
  <c r="E518" i="84"/>
  <c r="E516" i="84"/>
  <c r="E514" i="84"/>
  <c r="E512" i="84"/>
  <c r="E510" i="84"/>
  <c r="E508" i="84"/>
  <c r="E506" i="84"/>
  <c r="E504" i="84"/>
  <c r="E502" i="84"/>
  <c r="E500" i="84"/>
  <c r="E498" i="84"/>
  <c r="E496" i="84"/>
  <c r="E494" i="84"/>
  <c r="E492" i="84"/>
  <c r="E490" i="84"/>
  <c r="E488" i="84"/>
  <c r="E486" i="84"/>
  <c r="E484" i="84"/>
  <c r="E482" i="84"/>
  <c r="E480" i="84"/>
  <c r="E478" i="84"/>
  <c r="E476" i="84"/>
  <c r="E474" i="84"/>
  <c r="E472" i="84"/>
  <c r="E470" i="84"/>
  <c r="E468" i="84"/>
  <c r="E466" i="84"/>
  <c r="E464" i="84"/>
  <c r="E462" i="84"/>
  <c r="E460" i="84"/>
  <c r="E458" i="84"/>
  <c r="E456" i="84"/>
  <c r="E454" i="84"/>
  <c r="E452" i="84"/>
  <c r="E450" i="84"/>
  <c r="E448" i="84"/>
  <c r="E446" i="84"/>
  <c r="E444" i="84"/>
  <c r="E442" i="84"/>
  <c r="E440" i="84"/>
  <c r="E438" i="84"/>
  <c r="E436" i="84"/>
  <c r="E434" i="84"/>
  <c r="E432" i="84"/>
  <c r="E430" i="84"/>
  <c r="E428" i="84"/>
  <c r="E426" i="84"/>
  <c r="E424" i="84"/>
  <c r="E422" i="84"/>
  <c r="E420" i="84"/>
  <c r="E521" i="84"/>
  <c r="E513" i="84"/>
  <c r="E505" i="84"/>
  <c r="E497" i="84"/>
  <c r="E489" i="84"/>
  <c r="E481" i="84"/>
  <c r="E473" i="84"/>
  <c r="E465" i="84"/>
  <c r="E459" i="84"/>
  <c r="E455" i="84"/>
  <c r="E451" i="84"/>
  <c r="E447" i="84"/>
  <c r="E443" i="84"/>
  <c r="E439" i="84"/>
  <c r="E435" i="84"/>
  <c r="E431" i="84"/>
  <c r="E427" i="84"/>
  <c r="E423" i="84"/>
  <c r="E419" i="84"/>
  <c r="E414" i="84"/>
  <c r="E411" i="84"/>
  <c r="E406" i="84"/>
  <c r="E403" i="84"/>
  <c r="E398" i="84"/>
  <c r="E395" i="84"/>
  <c r="E390" i="84"/>
  <c r="E387" i="84"/>
  <c r="E385" i="84"/>
  <c r="E383" i="84"/>
  <c r="E381" i="84"/>
  <c r="E379" i="84"/>
  <c r="E377" i="84"/>
  <c r="E375" i="84"/>
  <c r="E519" i="84"/>
  <c r="E511" i="84"/>
  <c r="E503" i="84"/>
  <c r="E495" i="84"/>
  <c r="E487" i="84"/>
  <c r="E479" i="84"/>
  <c r="E471" i="84"/>
  <c r="E463" i="84"/>
  <c r="E416" i="84"/>
  <c r="E413" i="84"/>
  <c r="E408" i="84"/>
  <c r="E405" i="84"/>
  <c r="E400" i="84"/>
  <c r="E397" i="84"/>
  <c r="E392" i="84"/>
  <c r="E389" i="84"/>
  <c r="E517" i="84"/>
  <c r="E515" i="84"/>
  <c r="E501" i="84"/>
  <c r="E499" i="84"/>
  <c r="E485" i="84"/>
  <c r="E483" i="84"/>
  <c r="E469" i="84"/>
  <c r="E467" i="84"/>
  <c r="E453" i="84"/>
  <c r="E437" i="84"/>
  <c r="E421" i="84"/>
  <c r="E407" i="84"/>
  <c r="E401" i="84"/>
  <c r="E396" i="84"/>
  <c r="E394" i="84"/>
  <c r="E372" i="84"/>
  <c r="E367" i="84"/>
  <c r="E364" i="84"/>
  <c r="E359" i="84"/>
  <c r="E356" i="84"/>
  <c r="E351" i="84"/>
  <c r="E348" i="84"/>
  <c r="E343" i="84"/>
  <c r="E340" i="84"/>
  <c r="E338" i="84"/>
  <c r="E336" i="84"/>
  <c r="E334" i="84"/>
  <c r="E332" i="84"/>
  <c r="E330" i="84"/>
  <c r="E328" i="84"/>
  <c r="E326" i="84"/>
  <c r="E324" i="84"/>
  <c r="E322" i="84"/>
  <c r="E320" i="84"/>
  <c r="E318" i="84"/>
  <c r="E316" i="84"/>
  <c r="E314" i="84"/>
  <c r="E312" i="84"/>
  <c r="E310" i="84"/>
  <c r="E308" i="84"/>
  <c r="E306" i="84"/>
  <c r="E304" i="84"/>
  <c r="E302" i="84"/>
  <c r="E300" i="84"/>
  <c r="E298" i="84"/>
  <c r="E296" i="84"/>
  <c r="E294" i="84"/>
  <c r="E292" i="84"/>
  <c r="E290" i="84"/>
  <c r="E288" i="84"/>
  <c r="E286" i="84"/>
  <c r="E284" i="84"/>
  <c r="E282" i="84"/>
  <c r="E280" i="84"/>
  <c r="E278" i="84"/>
  <c r="E276" i="84"/>
  <c r="E274" i="84"/>
  <c r="E272" i="84"/>
  <c r="E270" i="84"/>
  <c r="E268" i="84"/>
  <c r="E266" i="84"/>
  <c r="E264" i="84"/>
  <c r="E262" i="84"/>
  <c r="E449" i="84"/>
  <c r="E433" i="84"/>
  <c r="E418" i="84"/>
  <c r="E399" i="84"/>
  <c r="E393" i="84"/>
  <c r="E388" i="84"/>
  <c r="E386" i="84"/>
  <c r="E382" i="84"/>
  <c r="E378" i="84"/>
  <c r="E374" i="84"/>
  <c r="E369" i="84"/>
  <c r="E366" i="84"/>
  <c r="E361" i="84"/>
  <c r="E358" i="84"/>
  <c r="E353" i="84"/>
  <c r="E350" i="84"/>
  <c r="E345" i="84"/>
  <c r="E342" i="84"/>
  <c r="E523" i="84"/>
  <c r="E509" i="84"/>
  <c r="E507" i="84"/>
  <c r="E493" i="84"/>
  <c r="E491" i="84"/>
  <c r="E477" i="84"/>
  <c r="E475" i="84"/>
  <c r="E461" i="84"/>
  <c r="E445" i="84"/>
  <c r="E429" i="84"/>
  <c r="E417" i="84"/>
  <c r="E412" i="84"/>
  <c r="E410" i="84"/>
  <c r="E391" i="84"/>
  <c r="E370" i="84"/>
  <c r="E365" i="84"/>
  <c r="E363" i="84"/>
  <c r="E344" i="84"/>
  <c r="E259" i="84"/>
  <c r="E254" i="84"/>
  <c r="E251" i="84"/>
  <c r="E246" i="84"/>
  <c r="E441" i="84"/>
  <c r="E409" i="84"/>
  <c r="E384" i="84"/>
  <c r="E376" i="84"/>
  <c r="E368" i="84"/>
  <c r="E362" i="84"/>
  <c r="E357" i="84"/>
  <c r="E355" i="84"/>
  <c r="E337" i="84"/>
  <c r="E333" i="84"/>
  <c r="E329" i="84"/>
  <c r="E325" i="84"/>
  <c r="E321" i="84"/>
  <c r="E317" i="84"/>
  <c r="E313" i="84"/>
  <c r="E309" i="84"/>
  <c r="E305" i="84"/>
  <c r="E301" i="84"/>
  <c r="E297" i="84"/>
  <c r="E293" i="84"/>
  <c r="E289" i="84"/>
  <c r="E285" i="84"/>
  <c r="E281" i="84"/>
  <c r="E277" i="84"/>
  <c r="E273" i="84"/>
  <c r="E269" i="84"/>
  <c r="E265" i="84"/>
  <c r="E261" i="84"/>
  <c r="E256" i="84"/>
  <c r="E253" i="84"/>
  <c r="E248" i="84"/>
  <c r="E245" i="84"/>
  <c r="E240" i="84"/>
  <c r="E237" i="84"/>
  <c r="E232" i="84"/>
  <c r="E229" i="84"/>
  <c r="E224" i="84"/>
  <c r="E221" i="84"/>
  <c r="E216" i="84"/>
  <c r="E213" i="84"/>
  <c r="E208" i="84"/>
  <c r="E205" i="84"/>
  <c r="E200" i="84"/>
  <c r="E197" i="84"/>
  <c r="E192" i="84"/>
  <c r="E189" i="84"/>
  <c r="E184" i="84"/>
  <c r="E181" i="84"/>
  <c r="E176" i="84"/>
  <c r="E173" i="84"/>
  <c r="E168" i="84"/>
  <c r="E165" i="84"/>
  <c r="E160" i="84"/>
  <c r="E157" i="84"/>
  <c r="E152" i="84"/>
  <c r="E149" i="84"/>
  <c r="E144" i="84"/>
  <c r="E141" i="84"/>
  <c r="E136" i="84"/>
  <c r="E133" i="84"/>
  <c r="E128" i="84"/>
  <c r="E122" i="84"/>
  <c r="E121" i="84"/>
  <c r="E114" i="84"/>
  <c r="E113" i="84"/>
  <c r="E415" i="84"/>
  <c r="E404" i="84"/>
  <c r="E402" i="84"/>
  <c r="E360" i="84"/>
  <c r="E354" i="84"/>
  <c r="E349" i="84"/>
  <c r="E347" i="84"/>
  <c r="E258" i="84"/>
  <c r="E255" i="84"/>
  <c r="E250" i="84"/>
  <c r="E247" i="84"/>
  <c r="E242" i="84"/>
  <c r="E239" i="84"/>
  <c r="E234" i="84"/>
  <c r="E231" i="84"/>
  <c r="E226" i="84"/>
  <c r="E223" i="84"/>
  <c r="E218" i="84"/>
  <c r="E215" i="84"/>
  <c r="E210" i="84"/>
  <c r="E207" i="84"/>
  <c r="E202" i="84"/>
  <c r="E199" i="84"/>
  <c r="E194" i="84"/>
  <c r="E457" i="84"/>
  <c r="E425" i="84"/>
  <c r="E380" i="84"/>
  <c r="E373" i="84"/>
  <c r="E371" i="84"/>
  <c r="E352" i="84"/>
  <c r="E346" i="84"/>
  <c r="E341" i="84"/>
  <c r="E339" i="84"/>
  <c r="E335" i="84"/>
  <c r="E331" i="84"/>
  <c r="E327" i="84"/>
  <c r="E323" i="84"/>
  <c r="E319" i="84"/>
  <c r="E315" i="84"/>
  <c r="E241" i="84"/>
  <c r="E233" i="84"/>
  <c r="E225" i="84"/>
  <c r="E217" i="84"/>
  <c r="E209" i="84"/>
  <c r="E201" i="84"/>
  <c r="E193" i="84"/>
  <c r="E190" i="84"/>
  <c r="E185" i="84"/>
  <c r="E182" i="84"/>
  <c r="E177" i="84"/>
  <c r="E174" i="84"/>
  <c r="E169" i="84"/>
  <c r="E166" i="84"/>
  <c r="E161" i="84"/>
  <c r="E158" i="84"/>
  <c r="E153" i="84"/>
  <c r="E150" i="84"/>
  <c r="E145" i="84"/>
  <c r="E142" i="84"/>
  <c r="E137" i="84"/>
  <c r="E134" i="84"/>
  <c r="E129" i="84"/>
  <c r="E118" i="84"/>
  <c r="E112" i="84"/>
  <c r="E111" i="84"/>
  <c r="E109" i="84"/>
  <c r="E108" i="84"/>
  <c r="E105" i="84"/>
  <c r="E104" i="84"/>
  <c r="E97" i="84"/>
  <c r="E96" i="84"/>
  <c r="E89" i="84"/>
  <c r="E88" i="84"/>
  <c r="E81" i="84"/>
  <c r="E80" i="84"/>
  <c r="E73" i="84"/>
  <c r="E72" i="84"/>
  <c r="E65" i="84"/>
  <c r="E64" i="84"/>
  <c r="E57" i="84"/>
  <c r="E56" i="84"/>
  <c r="E49" i="84"/>
  <c r="E48" i="84"/>
  <c r="E42" i="84"/>
  <c r="E40" i="84"/>
  <c r="E38" i="84"/>
  <c r="E36" i="84"/>
  <c r="E34" i="84"/>
  <c r="E32" i="84"/>
  <c r="E30" i="84"/>
  <c r="E28" i="84"/>
  <c r="E26" i="84"/>
  <c r="E123" i="84"/>
  <c r="E110" i="84"/>
  <c r="E103" i="84"/>
  <c r="E102" i="84"/>
  <c r="E95" i="84"/>
  <c r="E94" i="84"/>
  <c r="E87" i="84"/>
  <c r="E86" i="84"/>
  <c r="E79" i="84"/>
  <c r="E78" i="84"/>
  <c r="E71" i="84"/>
  <c r="E63" i="84"/>
  <c r="E62" i="84"/>
  <c r="E55" i="84"/>
  <c r="E54" i="84"/>
  <c r="E47" i="84"/>
  <c r="E46" i="84"/>
  <c r="E115" i="84"/>
  <c r="E101" i="84"/>
  <c r="E93" i="84"/>
  <c r="E92" i="84"/>
  <c r="E85" i="84"/>
  <c r="E84" i="84"/>
  <c r="E77" i="84"/>
  <c r="E76" i="84"/>
  <c r="E68" i="84"/>
  <c r="E60" i="84"/>
  <c r="E45" i="84"/>
  <c r="E44" i="84"/>
  <c r="E41" i="84"/>
  <c r="E39" i="84"/>
  <c r="E33" i="84"/>
  <c r="E31" i="84"/>
  <c r="E27" i="84"/>
  <c r="E25" i="84"/>
  <c r="E6" i="84"/>
  <c r="F6" i="84" s="1"/>
  <c r="G6" i="84" s="1"/>
  <c r="H6" i="84" s="1"/>
  <c r="I6" i="84" s="1"/>
  <c r="J6" i="84" s="1"/>
  <c r="K6" i="84" s="1"/>
  <c r="L6" i="84" s="1"/>
  <c r="M6" i="84" s="1"/>
  <c r="N6" i="84" s="1"/>
  <c r="O6" i="84" s="1"/>
  <c r="P6" i="84" s="1"/>
  <c r="Q6" i="84" s="1"/>
  <c r="R6" i="84" s="1"/>
  <c r="S6" i="84" s="1"/>
  <c r="E243" i="84"/>
  <c r="E235" i="84"/>
  <c r="E227" i="84"/>
  <c r="E222" i="84"/>
  <c r="E214" i="84"/>
  <c r="E206" i="84"/>
  <c r="E198" i="84"/>
  <c r="E186" i="84"/>
  <c r="E178" i="84"/>
  <c r="E170" i="84"/>
  <c r="E162" i="84"/>
  <c r="E154" i="84"/>
  <c r="E146" i="84"/>
  <c r="E138" i="84"/>
  <c r="E130" i="84"/>
  <c r="E126" i="84"/>
  <c r="E117" i="84"/>
  <c r="E107" i="84"/>
  <c r="E106" i="84"/>
  <c r="E91" i="84"/>
  <c r="E90" i="84"/>
  <c r="E83" i="84"/>
  <c r="E82" i="84"/>
  <c r="E75" i="84"/>
  <c r="E74" i="84"/>
  <c r="E311" i="84"/>
  <c r="E307" i="84"/>
  <c r="E303" i="84"/>
  <c r="E299" i="84"/>
  <c r="E295" i="84"/>
  <c r="E291" i="84"/>
  <c r="E287" i="84"/>
  <c r="E283" i="84"/>
  <c r="E279" i="84"/>
  <c r="E275" i="84"/>
  <c r="E271" i="84"/>
  <c r="E267" i="84"/>
  <c r="E263" i="84"/>
  <c r="E260" i="84"/>
  <c r="E257" i="84"/>
  <c r="E70" i="84"/>
  <c r="E100" i="84"/>
  <c r="E69" i="84"/>
  <c r="E35" i="84"/>
  <c r="E29" i="84"/>
  <c r="E244" i="84"/>
  <c r="E236" i="84"/>
  <c r="E230" i="84"/>
  <c r="E219" i="84"/>
  <c r="E211" i="84"/>
  <c r="E204" i="84"/>
  <c r="E195" i="84"/>
  <c r="E120" i="84"/>
  <c r="E116" i="84"/>
  <c r="E99" i="84"/>
  <c r="E98" i="84"/>
  <c r="E252" i="84"/>
  <c r="E249" i="84"/>
  <c r="E191" i="84"/>
  <c r="E188" i="84"/>
  <c r="E187" i="84"/>
  <c r="E183" i="84"/>
  <c r="E180" i="84"/>
  <c r="E179" i="84"/>
  <c r="E175" i="84"/>
  <c r="E172" i="84"/>
  <c r="E171" i="84"/>
  <c r="E167" i="84"/>
  <c r="E164" i="84"/>
  <c r="E163" i="84"/>
  <c r="E159" i="84"/>
  <c r="E156" i="84"/>
  <c r="E155" i="84"/>
  <c r="E151" i="84"/>
  <c r="E148" i="84"/>
  <c r="E147" i="84"/>
  <c r="E143" i="84"/>
  <c r="E140" i="84"/>
  <c r="E139" i="84"/>
  <c r="E135" i="84"/>
  <c r="E132" i="84"/>
  <c r="E131" i="84"/>
  <c r="E127" i="84"/>
  <c r="E125" i="84"/>
  <c r="E124" i="84"/>
  <c r="E61" i="84"/>
  <c r="E53" i="84"/>
  <c r="E52" i="84"/>
  <c r="E37" i="84"/>
  <c r="E238" i="84"/>
  <c r="E228" i="84"/>
  <c r="E220" i="84"/>
  <c r="E212" i="84"/>
  <c r="E203" i="84"/>
  <c r="E196" i="84"/>
  <c r="E119" i="84"/>
  <c r="E8" i="84"/>
  <c r="G182" i="84"/>
  <c r="G158" i="84"/>
  <c r="G134" i="84"/>
  <c r="G105" i="84"/>
  <c r="G240" i="84"/>
  <c r="G232" i="84"/>
  <c r="G224" i="84"/>
  <c r="G216" i="84"/>
  <c r="G208" i="84"/>
  <c r="G200" i="84"/>
  <c r="G192" i="84"/>
  <c r="G188" i="84"/>
  <c r="G184" i="84"/>
  <c r="G180" i="84"/>
  <c r="G176" i="84"/>
  <c r="G172" i="84"/>
  <c r="G168" i="84"/>
  <c r="G164" i="84"/>
  <c r="G160" i="84"/>
  <c r="G156" i="84"/>
  <c r="G93" i="84"/>
  <c r="G69" i="84"/>
  <c r="G39" i="84"/>
  <c r="G35" i="84"/>
  <c r="G31" i="84"/>
  <c r="G27" i="84"/>
  <c r="G99" i="84"/>
  <c r="G51" i="84"/>
  <c r="G142" i="84"/>
  <c r="G108" i="84"/>
  <c r="G97" i="84"/>
  <c r="G89" i="84"/>
  <c r="G81" i="84"/>
  <c r="G254" i="84"/>
  <c r="G238" i="84"/>
  <c r="G230" i="84"/>
  <c r="G222" i="84"/>
  <c r="G214" i="84"/>
  <c r="G206" i="84"/>
  <c r="G198" i="84"/>
  <c r="G91" i="84"/>
  <c r="G83" i="84"/>
  <c r="G75" i="84"/>
  <c r="G246" i="84"/>
  <c r="G174" i="84"/>
  <c r="G166" i="84"/>
  <c r="G150" i="84"/>
  <c r="G38" i="84"/>
  <c r="E43" i="84"/>
  <c r="C126" i="84"/>
  <c r="C124" i="84"/>
  <c r="C122" i="84"/>
  <c r="C120" i="84"/>
  <c r="C118" i="84"/>
  <c r="C116" i="84"/>
  <c r="C114" i="84"/>
  <c r="C112" i="84"/>
  <c r="C110" i="84"/>
  <c r="C108" i="84"/>
  <c r="C123" i="84"/>
  <c r="C115" i="84"/>
  <c r="C107" i="84"/>
  <c r="C105" i="84"/>
  <c r="C103" i="84"/>
  <c r="C101" i="84"/>
  <c r="C99" i="84"/>
  <c r="C97" i="84"/>
  <c r="C95" i="84"/>
  <c r="C93" i="84"/>
  <c r="C91" i="84"/>
  <c r="C89" i="84"/>
  <c r="C87" i="84"/>
  <c r="C85" i="84"/>
  <c r="C83" i="84"/>
  <c r="C81" i="84"/>
  <c r="C79" i="84"/>
  <c r="C77" i="84"/>
  <c r="C75" i="84"/>
  <c r="C73" i="84"/>
  <c r="C71" i="84"/>
  <c r="C69" i="84"/>
  <c r="C67" i="84"/>
  <c r="C65" i="84"/>
  <c r="C63" i="84"/>
  <c r="C61" i="84"/>
  <c r="C59" i="84"/>
  <c r="C57" i="84"/>
  <c r="C55" i="84"/>
  <c r="C53" i="84"/>
  <c r="C51" i="84"/>
  <c r="C49" i="84"/>
  <c r="C47" i="84"/>
  <c r="C45" i="84"/>
  <c r="C43" i="84"/>
  <c r="C121" i="84"/>
  <c r="C119" i="84"/>
  <c r="C117" i="84"/>
  <c r="C106" i="84"/>
  <c r="C98" i="84"/>
  <c r="C90" i="84"/>
  <c r="C82" i="84"/>
  <c r="C74" i="84"/>
  <c r="C66" i="84"/>
  <c r="C58" i="84"/>
  <c r="C50" i="84"/>
  <c r="C113" i="84"/>
  <c r="C111" i="84"/>
  <c r="C88" i="84"/>
  <c r="C80" i="84"/>
  <c r="C72" i="84"/>
  <c r="C64" i="84"/>
  <c r="C56" i="84"/>
  <c r="C48" i="84"/>
  <c r="C42" i="84"/>
  <c r="C40" i="84"/>
  <c r="C36" i="84"/>
  <c r="C32" i="84"/>
  <c r="C28" i="84"/>
  <c r="B22" i="84"/>
  <c r="C102" i="84"/>
  <c r="C62" i="84"/>
  <c r="C46" i="84"/>
  <c r="C125" i="84"/>
  <c r="C100" i="84"/>
  <c r="C109" i="84"/>
  <c r="C104" i="84"/>
  <c r="C96" i="84"/>
  <c r="C38" i="84"/>
  <c r="C34" i="84"/>
  <c r="C30" i="84"/>
  <c r="C26" i="84"/>
  <c r="C70" i="84"/>
  <c r="C92" i="84"/>
  <c r="C84" i="84"/>
  <c r="C76" i="84"/>
  <c r="C94" i="84"/>
  <c r="C86" i="84"/>
  <c r="C78" i="84"/>
  <c r="C54" i="84"/>
  <c r="C29" i="84"/>
  <c r="G32" i="84"/>
  <c r="C37" i="84"/>
  <c r="G26" i="84"/>
  <c r="C31" i="84"/>
  <c r="G34" i="84"/>
  <c r="C39" i="84"/>
  <c r="G42" i="84"/>
  <c r="C44" i="84"/>
  <c r="G57" i="84"/>
  <c r="E59" i="84"/>
  <c r="F8" i="84" l="1"/>
  <c r="G49" i="84"/>
  <c r="G30" i="84"/>
  <c r="G36" i="84"/>
  <c r="G28" i="84"/>
  <c r="G65" i="84"/>
  <c r="G40" i="84"/>
  <c r="G523" i="84"/>
  <c r="G519" i="84"/>
  <c r="G515" i="84"/>
  <c r="G511" i="84"/>
  <c r="G507" i="84"/>
  <c r="G503" i="84"/>
  <c r="G499" i="84"/>
  <c r="G495" i="84"/>
  <c r="G491" i="84"/>
  <c r="G487" i="84"/>
  <c r="G483" i="84"/>
  <c r="G479" i="84"/>
  <c r="G475" i="84"/>
  <c r="G471" i="84"/>
  <c r="G467" i="84"/>
  <c r="G463" i="84"/>
  <c r="G459" i="84"/>
  <c r="G455" i="84"/>
  <c r="G451" i="84"/>
  <c r="G447" i="84"/>
  <c r="G443" i="84"/>
  <c r="G439" i="84"/>
  <c r="G435" i="84"/>
  <c r="G431" i="84"/>
  <c r="G427" i="84"/>
  <c r="G423" i="84"/>
  <c r="G419" i="84"/>
  <c r="G415" i="84"/>
  <c r="G411" i="84"/>
  <c r="G407" i="84"/>
  <c r="G403" i="84"/>
  <c r="G399" i="84"/>
  <c r="G395" i="84"/>
  <c r="G391" i="84"/>
  <c r="G387" i="84"/>
  <c r="G512" i="84"/>
  <c r="G496" i="84"/>
  <c r="G480" i="84"/>
  <c r="G464" i="84"/>
  <c r="G408" i="84"/>
  <c r="G392" i="84"/>
  <c r="G510" i="84"/>
  <c r="G494" i="84"/>
  <c r="G478" i="84"/>
  <c r="G462" i="84"/>
  <c r="G454" i="84"/>
  <c r="G446" i="84"/>
  <c r="G438" i="84"/>
  <c r="G430" i="84"/>
  <c r="G422" i="84"/>
  <c r="G410" i="84"/>
  <c r="G394" i="84"/>
  <c r="G384" i="84"/>
  <c r="G380" i="84"/>
  <c r="G376" i="84"/>
  <c r="G372" i="84"/>
  <c r="G368" i="84"/>
  <c r="G364" i="84"/>
  <c r="G360" i="84"/>
  <c r="G356" i="84"/>
  <c r="G352" i="84"/>
  <c r="G348" i="84"/>
  <c r="G344" i="84"/>
  <c r="G340" i="84"/>
  <c r="G514" i="84"/>
  <c r="G498" i="84"/>
  <c r="G482" i="84"/>
  <c r="G466" i="84"/>
  <c r="G440" i="84"/>
  <c r="G414" i="84"/>
  <c r="G383" i="84"/>
  <c r="G375" i="84"/>
  <c r="G361" i="84"/>
  <c r="G345" i="84"/>
  <c r="G436" i="84"/>
  <c r="G412" i="84"/>
  <c r="G371" i="84"/>
  <c r="G355" i="84"/>
  <c r="G339" i="84"/>
  <c r="G335" i="84"/>
  <c r="G331" i="84"/>
  <c r="G73" i="84"/>
  <c r="G521" i="84"/>
  <c r="G517" i="84"/>
  <c r="G513" i="84"/>
  <c r="G509" i="84"/>
  <c r="G505" i="84"/>
  <c r="G501" i="84"/>
  <c r="G497" i="84"/>
  <c r="G493" i="84"/>
  <c r="G489" i="84"/>
  <c r="G485" i="84"/>
  <c r="G481" i="84"/>
  <c r="G477" i="84"/>
  <c r="G473" i="84"/>
  <c r="G469" i="84"/>
  <c r="G465" i="84"/>
  <c r="G461" i="84"/>
  <c r="G457" i="84"/>
  <c r="G453" i="84"/>
  <c r="G449" i="84"/>
  <c r="G445" i="84"/>
  <c r="G441" i="84"/>
  <c r="G437" i="84"/>
  <c r="G433" i="84"/>
  <c r="G429" i="84"/>
  <c r="G425" i="84"/>
  <c r="G421" i="84"/>
  <c r="G417" i="84"/>
  <c r="G413" i="84"/>
  <c r="G409" i="84"/>
  <c r="G405" i="84"/>
  <c r="G401" i="84"/>
  <c r="G397" i="84"/>
  <c r="G393" i="84"/>
  <c r="G389" i="84"/>
  <c r="G520" i="84"/>
  <c r="G504" i="84"/>
  <c r="G488" i="84"/>
  <c r="G472" i="84"/>
  <c r="G416" i="84"/>
  <c r="G400" i="84"/>
  <c r="G518" i="84"/>
  <c r="G502" i="84"/>
  <c r="G486" i="84"/>
  <c r="G470" i="84"/>
  <c r="G458" i="84"/>
  <c r="G450" i="84"/>
  <c r="G442" i="84"/>
  <c r="G434" i="84"/>
  <c r="G426" i="84"/>
  <c r="G418" i="84"/>
  <c r="G402" i="84"/>
  <c r="G386" i="84"/>
  <c r="G382" i="84"/>
  <c r="G378" i="84"/>
  <c r="G374" i="84"/>
  <c r="G370" i="84"/>
  <c r="G366" i="84"/>
  <c r="G362" i="84"/>
  <c r="G358" i="84"/>
  <c r="G354" i="84"/>
  <c r="G350" i="84"/>
  <c r="G346" i="84"/>
  <c r="G342" i="84"/>
  <c r="G516" i="84"/>
  <c r="G500" i="84"/>
  <c r="G484" i="84"/>
  <c r="G468" i="84"/>
  <c r="G456" i="84"/>
  <c r="G424" i="84"/>
  <c r="G388" i="84"/>
  <c r="G379" i="84"/>
  <c r="G369" i="84"/>
  <c r="G353" i="84"/>
  <c r="G452" i="84"/>
  <c r="G420" i="84"/>
  <c r="G406" i="84"/>
  <c r="G363" i="84"/>
  <c r="G347" i="84"/>
  <c r="G337" i="84"/>
  <c r="G333" i="84"/>
  <c r="G329" i="84"/>
  <c r="G325" i="84"/>
  <c r="G321" i="84"/>
  <c r="G317" i="84"/>
  <c r="G323" i="84"/>
  <c r="G315" i="84"/>
  <c r="G311" i="84"/>
  <c r="G307" i="84"/>
  <c r="G303" i="84"/>
  <c r="G299" i="84"/>
  <c r="G295" i="84"/>
  <c r="G291" i="84"/>
  <c r="G287" i="84"/>
  <c r="G283" i="84"/>
  <c r="G279" i="84"/>
  <c r="G275" i="84"/>
  <c r="G271" i="84"/>
  <c r="G267" i="84"/>
  <c r="G263" i="84"/>
  <c r="G259" i="84"/>
  <c r="G255" i="84"/>
  <c r="G251" i="84"/>
  <c r="G247" i="84"/>
  <c r="G243" i="84"/>
  <c r="G239" i="84"/>
  <c r="G235" i="84"/>
  <c r="G231" i="84"/>
  <c r="G227" i="84"/>
  <c r="G223" i="84"/>
  <c r="G219" i="84"/>
  <c r="G215" i="84"/>
  <c r="G211" i="84"/>
  <c r="G207" i="84"/>
  <c r="G203" i="84"/>
  <c r="G199" i="84"/>
  <c r="G195" i="84"/>
  <c r="G191" i="84"/>
  <c r="G187" i="84"/>
  <c r="G183" i="84"/>
  <c r="G179" i="84"/>
  <c r="G175" i="84"/>
  <c r="G171" i="84"/>
  <c r="G167" i="84"/>
  <c r="G163" i="84"/>
  <c r="G159" i="84"/>
  <c r="G155" i="84"/>
  <c r="G151" i="84"/>
  <c r="G147" i="84"/>
  <c r="G143" i="84"/>
  <c r="G139" i="84"/>
  <c r="G135" i="84"/>
  <c r="G131" i="84"/>
  <c r="G127" i="84"/>
  <c r="G109" i="84"/>
  <c r="G524" i="84"/>
  <c r="G508" i="84"/>
  <c r="G492" i="84"/>
  <c r="G476" i="84"/>
  <c r="G448" i="84"/>
  <c r="G404" i="84"/>
  <c r="G385" i="84"/>
  <c r="G357" i="84"/>
  <c r="G338" i="84"/>
  <c r="G330" i="84"/>
  <c r="G322" i="84"/>
  <c r="G314" i="84"/>
  <c r="G306" i="84"/>
  <c r="G298" i="84"/>
  <c r="G290" i="84"/>
  <c r="G282" i="84"/>
  <c r="G274" i="84"/>
  <c r="G266" i="84"/>
  <c r="G256" i="84"/>
  <c r="G444" i="84"/>
  <c r="G349" i="84"/>
  <c r="G258" i="84"/>
  <c r="G242" i="84"/>
  <c r="G226" i="84"/>
  <c r="G210" i="84"/>
  <c r="G194" i="84"/>
  <c r="G178" i="84"/>
  <c r="G162" i="84"/>
  <c r="G146" i="84"/>
  <c r="G130" i="84"/>
  <c r="G106" i="84"/>
  <c r="G102" i="84"/>
  <c r="G98" i="84"/>
  <c r="G94" i="84"/>
  <c r="G90" i="84"/>
  <c r="G327" i="84"/>
  <c r="G319" i="84"/>
  <c r="G313" i="84"/>
  <c r="G309" i="84"/>
  <c r="G305" i="84"/>
  <c r="G301" i="84"/>
  <c r="G297" i="84"/>
  <c r="G293" i="84"/>
  <c r="G289" i="84"/>
  <c r="G285" i="84"/>
  <c r="G281" i="84"/>
  <c r="G277" i="84"/>
  <c r="G273" i="84"/>
  <c r="G269" i="84"/>
  <c r="G265" i="84"/>
  <c r="G261" i="84"/>
  <c r="G257" i="84"/>
  <c r="G253" i="84"/>
  <c r="G249" i="84"/>
  <c r="G245" i="84"/>
  <c r="G241" i="84"/>
  <c r="G237" i="84"/>
  <c r="G233" i="84"/>
  <c r="G229" i="84"/>
  <c r="G225" i="84"/>
  <c r="G221" i="84"/>
  <c r="G217" i="84"/>
  <c r="G213" i="84"/>
  <c r="G209" i="84"/>
  <c r="G205" i="84"/>
  <c r="G201" i="84"/>
  <c r="G197" i="84"/>
  <c r="G193" i="84"/>
  <c r="G189" i="84"/>
  <c r="G185" i="84"/>
  <c r="G181" i="84"/>
  <c r="G177" i="84"/>
  <c r="G173" i="84"/>
  <c r="G169" i="84"/>
  <c r="G165" i="84"/>
  <c r="G161" i="84"/>
  <c r="G157" i="84"/>
  <c r="G153" i="84"/>
  <c r="G149" i="84"/>
  <c r="G145" i="84"/>
  <c r="G141" i="84"/>
  <c r="G137" i="84"/>
  <c r="G133" i="84"/>
  <c r="G129" i="84"/>
  <c r="G111" i="84"/>
  <c r="G107" i="84"/>
  <c r="G522" i="84"/>
  <c r="G506" i="84"/>
  <c r="G490" i="84"/>
  <c r="G474" i="84"/>
  <c r="G432" i="84"/>
  <c r="G396" i="84"/>
  <c r="G377" i="84"/>
  <c r="G351" i="84"/>
  <c r="G334" i="84"/>
  <c r="G326" i="84"/>
  <c r="G318" i="84"/>
  <c r="G310" i="84"/>
  <c r="G302" i="84"/>
  <c r="G294" i="84"/>
  <c r="G286" i="84"/>
  <c r="G278" i="84"/>
  <c r="G270" i="84"/>
  <c r="G262" i="84"/>
  <c r="G248" i="84"/>
  <c r="G390" i="84"/>
  <c r="G343" i="84"/>
  <c r="G250" i="84"/>
  <c r="G234" i="84"/>
  <c r="G218" i="84"/>
  <c r="G202" i="84"/>
  <c r="G186" i="84"/>
  <c r="G170" i="84"/>
  <c r="G154" i="84"/>
  <c r="G138" i="84"/>
  <c r="G112" i="84"/>
  <c r="G104" i="84"/>
  <c r="G100" i="84"/>
  <c r="G96" i="84"/>
  <c r="G92" i="84"/>
  <c r="G59" i="84"/>
  <c r="G25" i="84"/>
  <c r="G33" i="84"/>
  <c r="G41" i="84"/>
  <c r="G53" i="84"/>
  <c r="G77" i="84"/>
  <c r="G101" i="84"/>
  <c r="G132" i="84"/>
  <c r="G140" i="84"/>
  <c r="G148" i="84"/>
  <c r="G47" i="84"/>
  <c r="G63" i="84"/>
  <c r="G79" i="84"/>
  <c r="G95" i="84"/>
  <c r="G110" i="84"/>
  <c r="G365" i="84"/>
  <c r="G428" i="84"/>
  <c r="G196" i="84"/>
  <c r="G212" i="84"/>
  <c r="G228" i="84"/>
  <c r="G244" i="84"/>
  <c r="G260" i="84"/>
  <c r="G268" i="84"/>
  <c r="G276" i="84"/>
  <c r="G284" i="84"/>
  <c r="G292" i="84"/>
  <c r="G300" i="84"/>
  <c r="G308" i="84"/>
  <c r="G316" i="84"/>
  <c r="G324" i="84"/>
  <c r="G332" i="84"/>
  <c r="G341" i="84"/>
  <c r="G373" i="84"/>
  <c r="G44" i="84"/>
  <c r="G48" i="84"/>
  <c r="G52" i="84"/>
  <c r="G56" i="84"/>
  <c r="G60" i="84"/>
  <c r="G64" i="84"/>
  <c r="G68" i="84"/>
  <c r="G72" i="84"/>
  <c r="G76" i="84"/>
  <c r="G80" i="84"/>
  <c r="G84" i="84"/>
  <c r="G88" i="84"/>
  <c r="G190" i="84"/>
  <c r="G43" i="84"/>
  <c r="G67" i="84"/>
  <c r="G29" i="84"/>
  <c r="G37" i="84"/>
  <c r="G45" i="84"/>
  <c r="G61" i="84"/>
  <c r="G85" i="84"/>
  <c r="G128" i="84"/>
  <c r="G136" i="84"/>
  <c r="G144" i="84"/>
  <c r="G152" i="84"/>
  <c r="G55" i="84"/>
  <c r="G71" i="84"/>
  <c r="G87" i="84"/>
  <c r="G103" i="84"/>
  <c r="G359" i="84"/>
  <c r="G398" i="84"/>
  <c r="G460" i="84"/>
  <c r="G204" i="84"/>
  <c r="G220" i="84"/>
  <c r="G236" i="84"/>
  <c r="G252" i="84"/>
  <c r="G264" i="84"/>
  <c r="G272" i="84"/>
  <c r="G280" i="84"/>
  <c r="G288" i="84"/>
  <c r="G296" i="84"/>
  <c r="G304" i="84"/>
  <c r="G312" i="84"/>
  <c r="G320" i="84"/>
  <c r="G328" i="84"/>
  <c r="G336" i="84"/>
  <c r="G367" i="84"/>
  <c r="G381" i="84"/>
  <c r="G46" i="84"/>
  <c r="G50" i="84"/>
  <c r="G54" i="84"/>
  <c r="G58" i="84"/>
  <c r="G62" i="84"/>
  <c r="G66" i="84"/>
  <c r="G70" i="84"/>
  <c r="G74" i="84"/>
  <c r="G78" i="84"/>
  <c r="G82" i="84"/>
  <c r="G86" i="84"/>
  <c r="G125" i="84"/>
  <c r="G123" i="84"/>
  <c r="G121" i="84"/>
  <c r="G119" i="84"/>
  <c r="G117" i="84"/>
  <c r="G115" i="84"/>
  <c r="G113" i="84"/>
  <c r="G120" i="84"/>
  <c r="G122" i="84"/>
  <c r="G8" i="84"/>
  <c r="H8" i="84" s="1"/>
  <c r="I8" i="84" s="1"/>
  <c r="J8" i="84" s="1"/>
  <c r="K8" i="84" s="1"/>
  <c r="L8" i="84" s="1"/>
  <c r="M8" i="84" s="1"/>
  <c r="N8" i="84" s="1"/>
  <c r="O8" i="84" s="1"/>
  <c r="P8" i="84" s="1"/>
  <c r="Q8" i="84" s="1"/>
  <c r="R8" i="84" s="1"/>
  <c r="S8" i="84" s="1"/>
  <c r="G124" i="84"/>
  <c r="G114" i="84"/>
  <c r="G116" i="84"/>
  <c r="G118" i="84"/>
  <c r="G126" i="84"/>
  <c r="B130" i="82" l="1"/>
  <c r="B128" i="82"/>
  <c r="B126" i="82"/>
  <c r="D125" i="82"/>
  <c r="E125" i="82" s="1"/>
  <c r="F125" i="82" s="1"/>
  <c r="G125" i="82" s="1"/>
  <c r="D123" i="82"/>
  <c r="E123" i="82" s="1"/>
  <c r="F123" i="82" s="1"/>
  <c r="G123" i="82" s="1"/>
  <c r="H123" i="82" s="1"/>
  <c r="I123" i="82" s="1"/>
  <c r="J123" i="82" s="1"/>
  <c r="K123" i="82" s="1"/>
  <c r="L123" i="82" s="1"/>
  <c r="M123" i="82" s="1"/>
  <c r="G121" i="82"/>
  <c r="H121" i="82" s="1"/>
  <c r="I121" i="82" s="1"/>
  <c r="J121" i="82" s="1"/>
  <c r="K121" i="82" s="1"/>
  <c r="L121" i="82" s="1"/>
  <c r="M121" i="82" s="1"/>
  <c r="D121" i="82"/>
  <c r="E121" i="82" s="1"/>
  <c r="F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E87" i="82"/>
  <c r="F87" i="82" s="1"/>
  <c r="G87" i="82" s="1"/>
  <c r="H87" i="82" s="1"/>
  <c r="I87" i="82" s="1"/>
  <c r="J87" i="82" s="1"/>
  <c r="K87" i="82" s="1"/>
  <c r="L87" i="82" s="1"/>
  <c r="M87" i="82" s="1"/>
  <c r="D87" i="82"/>
  <c r="D85" i="82"/>
  <c r="E85" i="82" s="1"/>
  <c r="F85" i="82" s="1"/>
  <c r="G85" i="82" s="1"/>
  <c r="E83" i="82"/>
  <c r="F83" i="82" s="1"/>
  <c r="G83" i="82" s="1"/>
  <c r="D83" i="82"/>
  <c r="D81" i="82"/>
  <c r="E81" i="82" s="1"/>
  <c r="F81" i="82" s="1"/>
  <c r="G81" i="82" s="1"/>
  <c r="D79" i="82"/>
  <c r="E79" i="82" s="1"/>
  <c r="F79" i="82" s="1"/>
  <c r="G79" i="82" s="1"/>
  <c r="E77" i="82"/>
  <c r="F77" i="82" s="1"/>
  <c r="G77" i="82" s="1"/>
  <c r="D77" i="82"/>
  <c r="B74" i="82"/>
  <c r="B72" i="82"/>
  <c r="F13" i="82" s="1"/>
  <c r="B70" i="82"/>
  <c r="F12" i="82" s="1"/>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H9" i="82" s="1"/>
  <c r="AB9" i="82" s="1"/>
  <c r="I54" i="82"/>
  <c r="J54" i="82" s="1"/>
  <c r="G54" i="82"/>
  <c r="H54" i="82" s="1"/>
  <c r="E54" i="82"/>
  <c r="F54" i="82" s="1"/>
  <c r="P49" i="82"/>
  <c r="P48" i="82"/>
  <c r="V47" i="82"/>
  <c r="T47" i="82"/>
  <c r="R47" i="82"/>
  <c r="P47" i="82"/>
  <c r="Z46" i="82"/>
  <c r="Q46" i="82"/>
  <c r="J46" i="82"/>
  <c r="W46" i="82" s="1"/>
  <c r="H46" i="82"/>
  <c r="AB46" i="82" s="1"/>
  <c r="F46" i="82"/>
  <c r="AA46" i="82" s="1"/>
  <c r="W45" i="82"/>
  <c r="Q45" i="82"/>
  <c r="Z45" i="82" s="1"/>
  <c r="J45" i="82"/>
  <c r="AC45" i="82" s="1"/>
  <c r="H45" i="82"/>
  <c r="F45" i="82"/>
  <c r="AA45" i="82" s="1"/>
  <c r="Q44" i="82"/>
  <c r="Z44" i="82" s="1"/>
  <c r="Q43" i="82"/>
  <c r="Z43" i="82" s="1"/>
  <c r="J43" i="82"/>
  <c r="AC43" i="82" s="1"/>
  <c r="H43" i="82"/>
  <c r="AB43" i="82" s="1"/>
  <c r="F43" i="82"/>
  <c r="S43" i="82" s="1"/>
  <c r="Q42" i="82"/>
  <c r="Z42" i="82" s="1"/>
  <c r="J42" i="82"/>
  <c r="W42" i="82" s="1"/>
  <c r="H42" i="82"/>
  <c r="AB42" i="82" s="1"/>
  <c r="F42" i="82"/>
  <c r="AA42" i="82" s="1"/>
  <c r="AB41" i="82"/>
  <c r="Q41" i="82"/>
  <c r="Z41" i="82" s="1"/>
  <c r="J41" i="82"/>
  <c r="H41" i="82"/>
  <c r="U41" i="82" s="1"/>
  <c r="F41" i="82"/>
  <c r="AA41" i="82" s="1"/>
  <c r="AB40" i="82"/>
  <c r="AA40" i="82"/>
  <c r="Q40" i="82"/>
  <c r="Z40" i="82" s="1"/>
  <c r="J40" i="82"/>
  <c r="AC40" i="82" s="1"/>
  <c r="H40" i="82"/>
  <c r="U40" i="82" s="1"/>
  <c r="F40" i="82"/>
  <c r="S40" i="82" s="1"/>
  <c r="Z39" i="82"/>
  <c r="Q39" i="82"/>
  <c r="J39" i="82"/>
  <c r="AC39" i="82" s="1"/>
  <c r="H39" i="82"/>
  <c r="AB39" i="82" s="1"/>
  <c r="F39" i="82"/>
  <c r="S39" i="82" s="1"/>
  <c r="Z38" i="82"/>
  <c r="Q38" i="82"/>
  <c r="J38" i="82"/>
  <c r="AC38" i="82" s="1"/>
  <c r="H38" i="82"/>
  <c r="AB38" i="82" s="1"/>
  <c r="F38" i="82"/>
  <c r="AA38" i="82" s="1"/>
  <c r="Q37" i="82"/>
  <c r="Z37" i="82" s="1"/>
  <c r="J37" i="82"/>
  <c r="AC37" i="82" s="1"/>
  <c r="H37" i="82"/>
  <c r="AB37" i="82" s="1"/>
  <c r="F37" i="82"/>
  <c r="AA37" i="82" s="1"/>
  <c r="Q36" i="82"/>
  <c r="Z36" i="82" s="1"/>
  <c r="J36" i="82"/>
  <c r="AC36" i="82" s="1"/>
  <c r="H36" i="82"/>
  <c r="U36" i="82" s="1"/>
  <c r="F36" i="82"/>
  <c r="AA36" i="82" s="1"/>
  <c r="Q35" i="82"/>
  <c r="Z35" i="82" s="1"/>
  <c r="J35" i="82"/>
  <c r="AC35" i="82" s="1"/>
  <c r="H35" i="82"/>
  <c r="AB35" i="82" s="1"/>
  <c r="F35" i="82"/>
  <c r="S35" i="82" s="1"/>
  <c r="Q34" i="82"/>
  <c r="Z34" i="82" s="1"/>
  <c r="J34" i="82"/>
  <c r="W34" i="82" s="1"/>
  <c r="H34" i="82"/>
  <c r="AB34" i="82" s="1"/>
  <c r="F34" i="82"/>
  <c r="AA34" i="82" s="1"/>
  <c r="Q33" i="82"/>
  <c r="Z33" i="82" s="1"/>
  <c r="J33" i="82"/>
  <c r="H33" i="82"/>
  <c r="U33" i="82" s="1"/>
  <c r="F33" i="82"/>
  <c r="AA33" i="82" s="1"/>
  <c r="Q32" i="82"/>
  <c r="Z32" i="82" s="1"/>
  <c r="J32" i="82"/>
  <c r="AC32" i="82" s="1"/>
  <c r="H32" i="82"/>
  <c r="U32" i="82" s="1"/>
  <c r="F32" i="82"/>
  <c r="S32" i="82" s="1"/>
  <c r="Z31" i="82"/>
  <c r="Q31" i="82"/>
  <c r="F31" i="82"/>
  <c r="AA31" i="82" s="1"/>
  <c r="Q30" i="82"/>
  <c r="Z30" i="82" s="1"/>
  <c r="J30" i="82"/>
  <c r="W30" i="82" s="1"/>
  <c r="H30" i="82"/>
  <c r="AB30" i="82" s="1"/>
  <c r="F30" i="82"/>
  <c r="AA30" i="82" s="1"/>
  <c r="AB29" i="82"/>
  <c r="Q29" i="82"/>
  <c r="Z29" i="82" s="1"/>
  <c r="J29" i="82"/>
  <c r="H29" i="82"/>
  <c r="U29" i="82" s="1"/>
  <c r="F29" i="82"/>
  <c r="AA29" i="82" s="1"/>
  <c r="Q28" i="82"/>
  <c r="Z28" i="82" s="1"/>
  <c r="Z27" i="82"/>
  <c r="Q27" i="82"/>
  <c r="J27" i="82"/>
  <c r="AC27" i="82" s="1"/>
  <c r="H27" i="82"/>
  <c r="AB27" i="82" s="1"/>
  <c r="F27" i="82"/>
  <c r="AA27" i="82" s="1"/>
  <c r="Q26" i="82"/>
  <c r="Z26" i="82" s="1"/>
  <c r="Q25" i="82"/>
  <c r="Z25" i="82" s="1"/>
  <c r="J25" i="82"/>
  <c r="AC25" i="82" s="1"/>
  <c r="H25" i="82"/>
  <c r="F25" i="82"/>
  <c r="AA25" i="82" s="1"/>
  <c r="Q23" i="82"/>
  <c r="Z23" i="82" s="1"/>
  <c r="J23" i="82"/>
  <c r="AC23" i="82" s="1"/>
  <c r="H23" i="82"/>
  <c r="AB23" i="82" s="1"/>
  <c r="F23" i="82"/>
  <c r="AA23" i="82" s="1"/>
  <c r="C23" i="82"/>
  <c r="Z21" i="82"/>
  <c r="Q21" i="82"/>
  <c r="J21" i="82"/>
  <c r="AC21" i="82" s="1"/>
  <c r="H21" i="82"/>
  <c r="AB21" i="82" s="1"/>
  <c r="F21" i="82"/>
  <c r="AA21" i="82" s="1"/>
  <c r="C21" i="82"/>
  <c r="Z19" i="82"/>
  <c r="Q19" i="82"/>
  <c r="J19" i="82"/>
  <c r="AC19" i="82" s="1"/>
  <c r="H19" i="82"/>
  <c r="AB19" i="82" s="1"/>
  <c r="F19" i="82"/>
  <c r="AA19" i="82" s="1"/>
  <c r="C19" i="82"/>
  <c r="Z17" i="82"/>
  <c r="Q17" i="82"/>
  <c r="J17" i="82"/>
  <c r="AC17" i="82" s="1"/>
  <c r="H17" i="82"/>
  <c r="AB17" i="82" s="1"/>
  <c r="F17" i="82"/>
  <c r="AA17" i="82" s="1"/>
  <c r="C17" i="82"/>
  <c r="Z15" i="82"/>
  <c r="Q15" i="82"/>
  <c r="J15" i="82"/>
  <c r="AC15" i="82" s="1"/>
  <c r="H15" i="82"/>
  <c r="AB15" i="82" s="1"/>
  <c r="F15" i="82"/>
  <c r="AA15" i="82" s="1"/>
  <c r="C15" i="82"/>
  <c r="Z14" i="82"/>
  <c r="Q14" i="82"/>
  <c r="J14" i="82"/>
  <c r="AC14" i="82" s="1"/>
  <c r="H14" i="82"/>
  <c r="AB14" i="82" s="1"/>
  <c r="F14" i="82"/>
  <c r="AA14" i="82" s="1"/>
  <c r="W13" i="82"/>
  <c r="Q13" i="82"/>
  <c r="Z13" i="82" s="1"/>
  <c r="J13" i="82"/>
  <c r="AC13" i="82" s="1"/>
  <c r="W12" i="82"/>
  <c r="Q12" i="82"/>
  <c r="Z12" i="82" s="1"/>
  <c r="J12" i="82"/>
  <c r="AC12" i="82" s="1"/>
  <c r="H12" i="82"/>
  <c r="AB12" i="82" s="1"/>
  <c r="Q11" i="82"/>
  <c r="Z11" i="82" s="1"/>
  <c r="J11" i="82"/>
  <c r="AC11" i="82" s="1"/>
  <c r="H11" i="82"/>
  <c r="U11" i="82" s="1"/>
  <c r="F11" i="82"/>
  <c r="AA11" i="82" s="1"/>
  <c r="Q10" i="82"/>
  <c r="Z10" i="82" s="1"/>
  <c r="J10" i="82"/>
  <c r="AC10" i="82" s="1"/>
  <c r="H10" i="82"/>
  <c r="AB10" i="82" s="1"/>
  <c r="F10" i="82"/>
  <c r="AA10" i="82" s="1"/>
  <c r="Q9" i="82"/>
  <c r="Z9" i="82" s="1"/>
  <c r="J9" i="82"/>
  <c r="W9" i="82" s="1"/>
  <c r="J8" i="82"/>
  <c r="W8" i="82" s="1"/>
  <c r="H8" i="82"/>
  <c r="U8" i="82" s="1"/>
  <c r="F8" i="82"/>
  <c r="AA8" i="82" s="1"/>
  <c r="C7" i="82"/>
  <c r="C58" i="82" s="1"/>
  <c r="D58" i="82" s="1"/>
  <c r="E58" i="82" s="1"/>
  <c r="Q72" i="81"/>
  <c r="F61" i="81"/>
  <c r="F60" i="81"/>
  <c r="Q59" i="81"/>
  <c r="Q58" i="81"/>
  <c r="Q51" i="81"/>
  <c r="J50" i="81"/>
  <c r="J51" i="81" s="1"/>
  <c r="M47" i="81"/>
  <c r="D46" i="81"/>
  <c r="F34" i="81"/>
  <c r="F33" i="81"/>
  <c r="F32" i="81"/>
  <c r="F28" i="81"/>
  <c r="C28" i="81"/>
  <c r="F23" i="81"/>
  <c r="D24" i="81" s="1"/>
  <c r="D23" i="81"/>
  <c r="D22" i="81"/>
  <c r="F21" i="81"/>
  <c r="M20" i="81"/>
  <c r="F20" i="81"/>
  <c r="M19" i="81"/>
  <c r="M18" i="81"/>
  <c r="F18" i="81"/>
  <c r="F17" i="81"/>
  <c r="F15" i="81"/>
  <c r="Q72" i="80"/>
  <c r="F61" i="80"/>
  <c r="Q59" i="80"/>
  <c r="Q58" i="80"/>
  <c r="Q51" i="80"/>
  <c r="J50" i="80"/>
  <c r="J51" i="80" s="1"/>
  <c r="M47" i="80"/>
  <c r="D46" i="80"/>
  <c r="F34" i="80"/>
  <c r="F33" i="80"/>
  <c r="F32" i="80"/>
  <c r="F60" i="80" s="1"/>
  <c r="F28" i="80"/>
  <c r="C28" i="80"/>
  <c r="F23" i="80"/>
  <c r="D24" i="80" s="1"/>
  <c r="D23" i="80"/>
  <c r="D22" i="80"/>
  <c r="F21" i="80"/>
  <c r="M20" i="80"/>
  <c r="F20" i="80"/>
  <c r="M19" i="80"/>
  <c r="M18" i="80"/>
  <c r="F18" i="80"/>
  <c r="F17" i="80"/>
  <c r="F15" i="80"/>
  <c r="B29" i="1"/>
  <c r="Y4" i="79"/>
  <c r="Y3" i="79"/>
  <c r="Y2" i="79"/>
  <c r="J105" i="78"/>
  <c r="X4" i="79"/>
  <c r="X2" i="79"/>
  <c r="K29" i="79"/>
  <c r="X3" i="79"/>
  <c r="I7" i="6"/>
  <c r="V28" i="79"/>
  <c r="V27" i="79"/>
  <c r="V26" i="79"/>
  <c r="V25" i="79"/>
  <c r="V24" i="79"/>
  <c r="V23" i="79"/>
  <c r="V22" i="79"/>
  <c r="V21" i="79"/>
  <c r="V20" i="79"/>
  <c r="V19" i="79"/>
  <c r="V18" i="79"/>
  <c r="V17" i="79"/>
  <c r="V16" i="79"/>
  <c r="V15" i="79"/>
  <c r="V14" i="79"/>
  <c r="V13" i="79"/>
  <c r="V12" i="79"/>
  <c r="V11" i="79"/>
  <c r="V10" i="79"/>
  <c r="V9" i="79"/>
  <c r="V8" i="79"/>
  <c r="V7" i="79"/>
  <c r="V6" i="79"/>
  <c r="V5" i="79"/>
  <c r="V4" i="79"/>
  <c r="V3" i="79"/>
  <c r="V2" i="79"/>
  <c r="D2" i="82"/>
  <c r="AC42" i="82" l="1"/>
  <c r="W37" i="82"/>
  <c r="AB33" i="82"/>
  <c r="W25" i="82"/>
  <c r="U37" i="82"/>
  <c r="AA39" i="82"/>
  <c r="W38" i="82"/>
  <c r="AC34" i="82"/>
  <c r="AB32" i="82"/>
  <c r="AA32" i="82"/>
  <c r="F9" i="82"/>
  <c r="AA9" i="82" s="1"/>
  <c r="AC8" i="82"/>
  <c r="AB8" i="82"/>
  <c r="H7" i="82"/>
  <c r="AC9" i="82"/>
  <c r="S11" i="82"/>
  <c r="S14" i="82"/>
  <c r="S17" i="82"/>
  <c r="S10" i="82"/>
  <c r="AB11" i="82"/>
  <c r="U12" i="82"/>
  <c r="AB25" i="82"/>
  <c r="U25" i="82"/>
  <c r="AC29" i="82"/>
  <c r="W29" i="82"/>
  <c r="AA13" i="82"/>
  <c r="S13" i="82"/>
  <c r="S15" i="82"/>
  <c r="S19" i="82"/>
  <c r="S27" i="82"/>
  <c r="H26" i="82"/>
  <c r="F26" i="82"/>
  <c r="J26" i="82"/>
  <c r="J44" i="82"/>
  <c r="H44" i="82"/>
  <c r="J7" i="82"/>
  <c r="AC41" i="82"/>
  <c r="W41" i="82"/>
  <c r="F44" i="82"/>
  <c r="AB45" i="82"/>
  <c r="U45" i="82"/>
  <c r="F58" i="82"/>
  <c r="G58" i="82" s="1"/>
  <c r="H58" i="82" s="1"/>
  <c r="I58" i="82" s="1"/>
  <c r="J58" i="82" s="1"/>
  <c r="K58" i="82" s="1"/>
  <c r="L58" i="82" s="1"/>
  <c r="M58" i="82" s="1"/>
  <c r="N58" i="82" s="1"/>
  <c r="O58" i="82" s="1"/>
  <c r="J28" i="82"/>
  <c r="F28" i="82"/>
  <c r="F7" i="82"/>
  <c r="S8" i="82"/>
  <c r="H28" i="82"/>
  <c r="AC30" i="82"/>
  <c r="AC33" i="82"/>
  <c r="W33" i="82"/>
  <c r="S36" i="82"/>
  <c r="AA12" i="82"/>
  <c r="S12" i="82"/>
  <c r="S21" i="82"/>
  <c r="AC46" i="82"/>
  <c r="U9" i="82"/>
  <c r="W10" i="82"/>
  <c r="H13" i="82"/>
  <c r="W14" i="82"/>
  <c r="W15" i="82"/>
  <c r="W17" i="82"/>
  <c r="W19" i="82"/>
  <c r="W21" i="82"/>
  <c r="W23" i="82"/>
  <c r="S31" i="82"/>
  <c r="AA35" i="82"/>
  <c r="AB36" i="82"/>
  <c r="AA43" i="82"/>
  <c r="J31" i="82"/>
  <c r="H31" i="82"/>
  <c r="S23" i="82"/>
  <c r="U10" i="82"/>
  <c r="W11" i="82"/>
  <c r="U14" i="82"/>
  <c r="U15" i="82"/>
  <c r="U17" i="82"/>
  <c r="U19" i="82"/>
  <c r="U21" i="82"/>
  <c r="U23" i="82"/>
  <c r="U27" i="82"/>
  <c r="S30" i="82"/>
  <c r="W32" i="82"/>
  <c r="S34" i="82"/>
  <c r="U35" i="82"/>
  <c r="W36" i="82"/>
  <c r="S38" i="82"/>
  <c r="U39" i="82"/>
  <c r="W40" i="82"/>
  <c r="S42" i="82"/>
  <c r="U43" i="82"/>
  <c r="S46" i="82"/>
  <c r="S25" i="82"/>
  <c r="W27" i="82"/>
  <c r="S29" i="82"/>
  <c r="U30" i="82"/>
  <c r="S33" i="82"/>
  <c r="U34" i="82"/>
  <c r="W35" i="82"/>
  <c r="S37" i="82"/>
  <c r="U38" i="82"/>
  <c r="W39" i="82"/>
  <c r="S41" i="82"/>
  <c r="U42" i="82"/>
  <c r="W43" i="82"/>
  <c r="S45" i="82"/>
  <c r="U46" i="82"/>
  <c r="F62" i="81"/>
  <c r="F62" i="80"/>
  <c r="X5" i="79"/>
  <c r="E115" i="78"/>
  <c r="E117" i="78" s="1"/>
  <c r="E105" i="78"/>
  <c r="P26" i="77"/>
  <c r="P25" i="77"/>
  <c r="P24" i="77"/>
  <c r="P23" i="77"/>
  <c r="P22" i="77"/>
  <c r="P21" i="77"/>
  <c r="P20" i="77"/>
  <c r="P19" i="77"/>
  <c r="P18" i="77"/>
  <c r="P17" i="77"/>
  <c r="P16" i="77"/>
  <c r="P15" i="77"/>
  <c r="P12" i="77"/>
  <c r="P11" i="77"/>
  <c r="P10" i="77"/>
  <c r="P9" i="77"/>
  <c r="P8" i="77"/>
  <c r="P7" i="77"/>
  <c r="P6" i="77"/>
  <c r="P5" i="77"/>
  <c r="P4" i="77"/>
  <c r="Q13" i="76"/>
  <c r="Q12" i="76"/>
  <c r="Q11" i="76"/>
  <c r="Q10" i="76"/>
  <c r="Q9" i="76"/>
  <c r="Q8" i="76"/>
  <c r="Q7" i="76"/>
  <c r="Q6" i="76"/>
  <c r="Q3" i="76"/>
  <c r="Q2" i="76"/>
  <c r="Q1" i="76"/>
  <c r="Q72" i="75"/>
  <c r="F61" i="75"/>
  <c r="Q59" i="75"/>
  <c r="Q58" i="75"/>
  <c r="Q51" i="75"/>
  <c r="J50" i="75"/>
  <c r="J51" i="75" s="1"/>
  <c r="M47" i="75"/>
  <c r="D46" i="75"/>
  <c r="F33" i="75"/>
  <c r="F23" i="75"/>
  <c r="D24" i="75" s="1"/>
  <c r="D23" i="75"/>
  <c r="F21" i="75"/>
  <c r="F20" i="75"/>
  <c r="M19" i="75"/>
  <c r="F18" i="75"/>
  <c r="F17" i="75"/>
  <c r="F15" i="75"/>
  <c r="S9" i="82" l="1"/>
  <c r="AC7" i="82"/>
  <c r="W7" i="82"/>
  <c r="AB31" i="82"/>
  <c r="U31" i="82"/>
  <c r="AB28" i="82"/>
  <c r="U28" i="82"/>
  <c r="AC28" i="82"/>
  <c r="W28" i="82"/>
  <c r="S44" i="82"/>
  <c r="AA44" i="82"/>
  <c r="AB44" i="82"/>
  <c r="U44" i="82"/>
  <c r="AB26" i="82"/>
  <c r="U26" i="82"/>
  <c r="AC31" i="82"/>
  <c r="W31" i="82"/>
  <c r="AB13" i="82"/>
  <c r="U13" i="82"/>
  <c r="AC44" i="82"/>
  <c r="W44" i="82"/>
  <c r="S28" i="82"/>
  <c r="AA28" i="82"/>
  <c r="AA26" i="82"/>
  <c r="S26" i="82"/>
  <c r="AA7" i="82"/>
  <c r="S7" i="82"/>
  <c r="W26" i="82"/>
  <c r="AC26" i="82"/>
  <c r="AB7" i="82"/>
  <c r="T48" i="82" s="1"/>
  <c r="G48" i="82" s="1"/>
  <c r="U7" i="82"/>
  <c r="D22" i="75"/>
  <c r="D116" i="39"/>
  <c r="E116" i="39"/>
  <c r="F116" i="39"/>
  <c r="G116" i="39"/>
  <c r="H116" i="39"/>
  <c r="I116" i="39"/>
  <c r="J116" i="39"/>
  <c r="K116" i="39"/>
  <c r="L116" i="39"/>
  <c r="M116" i="39"/>
  <c r="C116" i="39"/>
  <c r="R48" i="82" l="1"/>
  <c r="E48" i="82" s="1"/>
  <c r="V48" i="82"/>
  <c r="I48" i="82" s="1"/>
  <c r="G53" i="82" s="1"/>
  <c r="H53" i="82" s="1"/>
  <c r="G52" i="82"/>
  <c r="H52" i="82" s="1"/>
  <c r="A15" i="51"/>
  <c r="I52" i="82" l="1"/>
  <c r="J52" i="82" s="1"/>
  <c r="R49" i="82"/>
  <c r="C49" i="82" s="1"/>
  <c r="E53" i="82"/>
  <c r="F53" i="82" s="1"/>
  <c r="E52" i="82"/>
  <c r="F52" i="82" s="1"/>
  <c r="I53" i="82"/>
  <c r="J53" i="82" s="1"/>
  <c r="C76" i="9"/>
  <c r="C48" i="82" l="1"/>
  <c r="I107" i="40"/>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C1" i="73" l="1"/>
  <c r="L1" i="73" s="1"/>
  <c r="F7" i="73"/>
  <c r="J1" i="73" l="1"/>
  <c r="B74" i="72"/>
  <c r="F5" i="73"/>
  <c r="D4" i="73"/>
  <c r="F3" i="73"/>
  <c r="F4" i="73"/>
  <c r="F6" i="73"/>
  <c r="E20" i="43" l="1"/>
  <c r="I1" i="73"/>
  <c r="B39" i="1" s="1"/>
  <c r="D5" i="73"/>
  <c r="D7" i="73"/>
  <c r="D3" i="73"/>
  <c r="D6" i="73"/>
  <c r="M11" i="81" l="1"/>
  <c r="F11" i="81"/>
  <c r="M11" i="80"/>
  <c r="F11" i="80"/>
  <c r="M11" i="75"/>
  <c r="F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C53" i="75"/>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0" i="1"/>
  <c r="AO11" i="1"/>
  <c r="AO13" i="1"/>
  <c r="AO12" i="1"/>
  <c r="B11" i="70" l="1"/>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B2" i="1"/>
  <c r="C7" i="37" s="1"/>
  <c r="F15" i="4"/>
  <c r="F8" i="1"/>
  <c r="F9" i="1"/>
  <c r="F10" i="1"/>
  <c r="F11" i="1"/>
  <c r="F12" i="1"/>
  <c r="F13" i="1"/>
  <c r="D6" i="1"/>
  <c r="D9" i="1"/>
  <c r="D10" i="1"/>
  <c r="D11" i="1"/>
  <c r="D12" i="1"/>
  <c r="D13" i="1"/>
  <c r="D7" i="1"/>
  <c r="D8" i="1"/>
  <c r="G8" i="1" s="1"/>
  <c r="A7" i="1"/>
  <c r="A8" i="1"/>
  <c r="B8" i="1" s="1"/>
  <c r="E8" i="1" s="1"/>
  <c r="A9" i="1"/>
  <c r="K9" i="1" s="1"/>
  <c r="A10" i="1"/>
  <c r="A11" i="1"/>
  <c r="A12" i="1"/>
  <c r="A13" i="1"/>
  <c r="A6" i="1"/>
  <c r="B11" i="1"/>
  <c r="E11" i="1" s="1"/>
  <c r="B7" i="1"/>
  <c r="E7" i="1" s="1"/>
  <c r="K10" i="1"/>
  <c r="M10" i="1" s="1"/>
  <c r="O10" i="1" s="1"/>
  <c r="B13" i="1"/>
  <c r="E13" i="1" s="1"/>
  <c r="K13" i="1"/>
  <c r="M13" i="1" s="1"/>
  <c r="O13" i="1" s="1"/>
  <c r="P13" i="1" s="1"/>
  <c r="G79" i="36"/>
  <c r="G85" i="35"/>
  <c r="G97" i="37"/>
  <c r="G110" i="34"/>
  <c r="G111" i="21"/>
  <c r="G109" i="33"/>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H1" i="9"/>
  <c r="B38" i="35"/>
  <c r="BM13" i="3"/>
  <c r="BM5" i="3" s="1"/>
  <c r="A120" i="9"/>
  <c r="A6" i="52" s="1"/>
  <c r="B57" i="72" s="1"/>
  <c r="A10" i="52"/>
  <c r="B55" i="72" s="1"/>
  <c r="K4" i="9"/>
  <c r="L22" i="4"/>
  <c r="A15" i="62" s="1"/>
  <c r="B61" i="72" s="1"/>
  <c r="L20" i="4"/>
  <c r="A5" i="62"/>
  <c r="B72" i="72" s="1"/>
  <c r="A4" i="62"/>
  <c r="B70" i="72" s="1"/>
  <c r="F33" i="9"/>
  <c r="B13" i="53"/>
  <c r="B29" i="72" s="1"/>
  <c r="R35" i="4"/>
  <c r="Q35" i="4"/>
  <c r="P35" i="4"/>
  <c r="O35" i="4"/>
  <c r="N35" i="4"/>
  <c r="M35" i="4"/>
  <c r="L35" i="4"/>
  <c r="K34" i="4"/>
  <c r="T34" i="4" s="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B22" i="1"/>
  <c r="B23" i="1"/>
  <c r="B24" i="1"/>
  <c r="B43" i="1"/>
  <c r="D78" i="9" s="1"/>
  <c r="BQ13" i="3"/>
  <c r="BQ14" i="3"/>
  <c r="BQ15" i="3"/>
  <c r="BQ16" i="3"/>
  <c r="BQ17" i="3"/>
  <c r="BS13" i="3"/>
  <c r="BS5" i="3" s="1"/>
  <c r="BS14" i="3"/>
  <c r="BS15" i="3"/>
  <c r="BS16" i="3"/>
  <c r="BS17" i="3"/>
  <c r="BR14" i="3"/>
  <c r="BR15" i="3"/>
  <c r="BR16" i="3"/>
  <c r="BR17" i="3"/>
  <c r="BT13" i="3"/>
  <c r="BT5" i="3" s="1"/>
  <c r="BT14" i="3"/>
  <c r="BT15" i="3"/>
  <c r="BT16" i="3"/>
  <c r="BT17" i="3"/>
  <c r="BM14" i="3"/>
  <c r="BM15" i="3"/>
  <c r="BL15" i="3" s="1"/>
  <c r="AZ15" i="3" s="1"/>
  <c r="BM16" i="3"/>
  <c r="BM17" i="3"/>
  <c r="BO13" i="3"/>
  <c r="BO14" i="3"/>
  <c r="BO15" i="3"/>
  <c r="BO16" i="3"/>
  <c r="BO17" i="3"/>
  <c r="BN13" i="3"/>
  <c r="BN14" i="3"/>
  <c r="BN15" i="3"/>
  <c r="BN16" i="3"/>
  <c r="BN17" i="3"/>
  <c r="BP13" i="3"/>
  <c r="BP5" i="3" s="1"/>
  <c r="BP14" i="3"/>
  <c r="BP15" i="3"/>
  <c r="BP16" i="3"/>
  <c r="BP17" i="3"/>
  <c r="E19" i="6"/>
  <c r="E20" i="6"/>
  <c r="E21" i="6"/>
  <c r="F23" i="15"/>
  <c r="D24" i="15" s="1"/>
  <c r="O8" i="1"/>
  <c r="P8" i="1" s="1"/>
  <c r="E22" i="6"/>
  <c r="E23" i="6"/>
  <c r="E24" i="6"/>
  <c r="E25" i="6"/>
  <c r="E26" i="6"/>
  <c r="BB13" i="3"/>
  <c r="BB5" i="3" s="1"/>
  <c r="BC13" i="3"/>
  <c r="BC5" i="3" s="1"/>
  <c r="BD13" i="3"/>
  <c r="BE13" i="3"/>
  <c r="BE5" i="3" s="1"/>
  <c r="BF13" i="3"/>
  <c r="BF5" i="3" s="1"/>
  <c r="BG13" i="3"/>
  <c r="BH13" i="3"/>
  <c r="BH5" i="3" s="1"/>
  <c r="BI13" i="3"/>
  <c r="BI5" i="3" s="1"/>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S34" i="35"/>
  <c r="W34" i="35"/>
  <c r="W36" i="35"/>
  <c r="S31" i="35"/>
  <c r="U34" i="35"/>
  <c r="F36" i="34"/>
  <c r="J35" i="34"/>
  <c r="W9" i="34"/>
  <c r="S34" i="34"/>
  <c r="U34" i="34"/>
  <c r="H39" i="33"/>
  <c r="AB39" i="33" s="1"/>
  <c r="F26" i="33"/>
  <c r="AA26" i="33" s="1"/>
  <c r="S40"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23" i="35"/>
  <c r="AA23" i="35" s="1"/>
  <c r="J32" i="35"/>
  <c r="AC32" i="35" s="1"/>
  <c r="J16" i="35"/>
  <c r="AC16" i="35" s="1"/>
  <c r="H16" i="35"/>
  <c r="U16" i="35" s="1"/>
  <c r="F16" i="35"/>
  <c r="S16" i="35" s="1"/>
  <c r="H14" i="35"/>
  <c r="AB14" i="35" s="1"/>
  <c r="H33" i="35"/>
  <c r="AB33" i="35" s="1"/>
  <c r="AC8" i="35"/>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AC28" i="34"/>
  <c r="S21" i="40"/>
  <c r="AA12" i="21"/>
  <c r="H25" i="21"/>
  <c r="U25" i="21" s="1"/>
  <c r="F25" i="21"/>
  <c r="S25" i="21" s="1"/>
  <c r="J25" i="21"/>
  <c r="AC25" i="21"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A8" i="52"/>
  <c r="B54" i="72" s="1"/>
  <c r="H103" i="9"/>
  <c r="D8" i="53" s="1"/>
  <c r="B16" i="53"/>
  <c r="B33" i="72" s="1"/>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J5" i="3"/>
  <c r="BD5" i="3"/>
  <c r="AZ305" i="3"/>
  <c r="AZ313" i="3"/>
  <c r="AZ317" i="3"/>
  <c r="AZ321" i="3"/>
  <c r="AZ329" i="3"/>
  <c r="AZ333" i="3"/>
  <c r="AZ337" i="3"/>
  <c r="AZ345" i="3"/>
  <c r="BQ5" i="3"/>
  <c r="AC5" i="3"/>
  <c r="AZ549" i="3"/>
  <c r="AZ506" i="3"/>
  <c r="AZ496" i="3"/>
  <c r="G548" i="3"/>
  <c r="G538" i="3"/>
  <c r="G520" i="3"/>
  <c r="G502" i="3"/>
  <c r="BN5" i="3"/>
  <c r="G29" i="6" s="1"/>
  <c r="AZ343" i="3"/>
  <c r="AZ347" i="3"/>
  <c r="BG5" i="3"/>
  <c r="G17" i="3"/>
  <c r="BA17" i="3"/>
  <c r="AZ350" i="3"/>
  <c r="AZ352" i="3"/>
  <c r="AZ360" i="3"/>
  <c r="AZ368" i="3"/>
  <c r="BA15" i="3"/>
  <c r="AZ384" i="3"/>
  <c r="AZ392" i="3"/>
  <c r="AZ396" i="3"/>
  <c r="AZ394" i="3"/>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O6" i="1"/>
  <c r="P6" i="1" s="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J51" i="15"/>
  <c r="U30" i="35" l="1"/>
  <c r="J29" i="35"/>
  <c r="AA29" i="35"/>
  <c r="F20" i="35"/>
  <c r="AA20" i="35" s="1"/>
  <c r="H20" i="35"/>
  <c r="U20" i="35" s="1"/>
  <c r="J20" i="35"/>
  <c r="W20" i="35" s="1"/>
  <c r="F14" i="35"/>
  <c r="AA14" i="35" s="1"/>
  <c r="U33" i="35"/>
  <c r="W28" i="35"/>
  <c r="W22" i="35"/>
  <c r="AC14" i="35"/>
  <c r="D3" i="82"/>
  <c r="B2" i="82" s="1"/>
  <c r="B3" i="82" s="1"/>
  <c r="G13" i="1"/>
  <c r="G11" i="1"/>
  <c r="G12" i="1"/>
  <c r="G10" i="1"/>
  <c r="G7" i="1"/>
  <c r="K6" i="1"/>
  <c r="M6" i="1" s="1"/>
  <c r="G1" i="80"/>
  <c r="G1" i="81"/>
  <c r="E8" i="6"/>
  <c r="F27" i="6" s="1"/>
  <c r="E125" i="33"/>
  <c r="F125" i="33" s="1"/>
  <c r="G125" i="33" s="1"/>
  <c r="F37" i="33"/>
  <c r="M9" i="1"/>
  <c r="O9" i="1" s="1"/>
  <c r="P9" i="1" s="1"/>
  <c r="S38" i="33"/>
  <c r="W33" i="33"/>
  <c r="W40" i="33"/>
  <c r="U40" i="33"/>
  <c r="W39" i="33"/>
  <c r="U35" i="33"/>
  <c r="AC34" i="33"/>
  <c r="U33" i="33"/>
  <c r="S34" i="33"/>
  <c r="U32" i="33"/>
  <c r="AB26" i="33"/>
  <c r="S26" i="33"/>
  <c r="U11" i="33"/>
  <c r="S9" i="33"/>
  <c r="H9" i="33"/>
  <c r="AB9" i="33" s="1"/>
  <c r="M20" i="15"/>
  <c r="F34" i="75"/>
  <c r="F62" i="75" s="1"/>
  <c r="M20" i="75"/>
  <c r="D93" i="9"/>
  <c r="C40" i="11"/>
  <c r="C5" i="11"/>
  <c r="G9" i="1"/>
  <c r="F3" i="35"/>
  <c r="K8" i="1"/>
  <c r="G1" i="75"/>
  <c r="F29" i="6"/>
  <c r="F28" i="6"/>
  <c r="E15" i="6"/>
  <c r="E60" i="40" s="1"/>
  <c r="E29" i="6"/>
  <c r="G28" i="6"/>
  <c r="E28" i="6" s="1"/>
  <c r="E12" i="6"/>
  <c r="E57" i="40" s="1"/>
  <c r="J50" i="40"/>
  <c r="C7" i="34"/>
  <c r="AZ586" i="3"/>
  <c r="F22" i="43"/>
  <c r="E22" i="43"/>
  <c r="G101" i="43"/>
  <c r="G105" i="43" s="1"/>
  <c r="C101" i="43"/>
  <c r="C104" i="43" s="1"/>
  <c r="J101" i="43"/>
  <c r="J104" i="43" s="1"/>
  <c r="N104" i="46"/>
  <c r="B113" i="43"/>
  <c r="D116" i="43" s="1"/>
  <c r="E116" i="43" s="1"/>
  <c r="F116" i="43" s="1"/>
  <c r="G116" i="43" s="1"/>
  <c r="H116"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AQ10" i="1" s="1"/>
  <c r="R10" i="1"/>
  <c r="B10" i="1"/>
  <c r="E10" i="1" s="1"/>
  <c r="D1" i="66"/>
  <c r="E10" i="66" s="1"/>
  <c r="AZ80" i="3"/>
  <c r="AZ84" i="3"/>
  <c r="AZ88" i="3"/>
  <c r="AZ107" i="3"/>
  <c r="AZ111" i="3"/>
  <c r="K12" i="1"/>
  <c r="M12" i="1" s="1"/>
  <c r="O12" i="1" s="1"/>
  <c r="P12" i="1" s="1"/>
  <c r="S13" i="1"/>
  <c r="T13" i="1" s="1"/>
  <c r="R13" i="1"/>
  <c r="S11" i="1"/>
  <c r="AQ11" i="1" s="1"/>
  <c r="R11" i="1"/>
  <c r="J51" i="67"/>
  <c r="C42" i="1"/>
  <c r="H100" i="43"/>
  <c r="E26" i="66"/>
  <c r="C30" i="66"/>
  <c r="B41" i="1"/>
  <c r="F28" i="15"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10" i="6"/>
  <c r="E11" i="6"/>
  <c r="E61" i="39" s="1"/>
  <c r="BL17" i="3"/>
  <c r="AZ17" i="3" s="1"/>
  <c r="BL13" i="3"/>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G5" i="3"/>
  <c r="B3" i="3" s="1"/>
  <c r="E69" i="3" s="1"/>
  <c r="E19" i="69"/>
  <c r="E19" i="68"/>
  <c r="E19" i="11"/>
  <c r="F52" i="9"/>
  <c r="F30"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P24" i="43" s="1"/>
  <c r="B66" i="40" s="1"/>
  <c r="T35" i="4"/>
  <c r="A19" i="51" s="1"/>
  <c r="B14" i="72" s="1"/>
  <c r="C46" i="36"/>
  <c r="D46" i="36" s="1"/>
  <c r="E46" i="36" s="1"/>
  <c r="C59" i="34"/>
  <c r="D59" i="34" s="1"/>
  <c r="C52" i="37"/>
  <c r="D52" i="37" s="1"/>
  <c r="C63" i="40"/>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W29" i="35" l="1"/>
  <c r="AC29" i="35"/>
  <c r="S14" i="35"/>
  <c r="F107" i="43"/>
  <c r="E27" i="6"/>
  <c r="F31" i="6"/>
  <c r="E278" i="3"/>
  <c r="E563" i="3"/>
  <c r="E415" i="3"/>
  <c r="E395" i="3"/>
  <c r="E114" i="3"/>
  <c r="M8" i="1"/>
  <c r="C16" i="43"/>
  <c r="C5" i="43" s="1"/>
  <c r="F32" i="67"/>
  <c r="F60" i="67" s="1"/>
  <c r="F30" i="68"/>
  <c r="F31" i="12"/>
  <c r="C31" i="12" s="1"/>
  <c r="F28" i="67"/>
  <c r="C28" i="67" s="1"/>
  <c r="F32" i="15"/>
  <c r="F60" i="15" s="1"/>
  <c r="M18" i="67"/>
  <c r="F30" i="69"/>
  <c r="C30" i="69" s="1"/>
  <c r="M18" i="15"/>
  <c r="F53" i="9"/>
  <c r="F32" i="75"/>
  <c r="F60" i="75" s="1"/>
  <c r="M18" i="75"/>
  <c r="F28" i="75"/>
  <c r="E56" i="40"/>
  <c r="N107" i="43"/>
  <c r="J106" i="43"/>
  <c r="AR12" i="1"/>
  <c r="AR10" i="1"/>
  <c r="AR11" i="1"/>
  <c r="C103" i="43"/>
  <c r="N104" i="43"/>
  <c r="N106" i="43"/>
  <c r="N109" i="43"/>
  <c r="N105" i="43"/>
  <c r="E553" i="3"/>
  <c r="E526" i="3"/>
  <c r="E366" i="3"/>
  <c r="E217" i="3"/>
  <c r="E125" i="3"/>
  <c r="E565" i="3"/>
  <c r="E528" i="3"/>
  <c r="E304" i="3"/>
  <c r="E261" i="3"/>
  <c r="E237" i="3"/>
  <c r="E343" i="3"/>
  <c r="E501" i="3"/>
  <c r="E530" i="3"/>
  <c r="E319" i="3"/>
  <c r="E175" i="3"/>
  <c r="E53" i="3"/>
  <c r="G106" i="43"/>
  <c r="B116" i="43"/>
  <c r="C116" i="43" s="1"/>
  <c r="K109" i="43"/>
  <c r="AQ13" i="1"/>
  <c r="K105" i="43"/>
  <c r="K104" i="43"/>
  <c r="C107" i="43"/>
  <c r="C102" i="43"/>
  <c r="C105" i="43"/>
  <c r="C106" i="43"/>
  <c r="E65" i="39"/>
  <c r="K106" i="43"/>
  <c r="K102" i="43"/>
  <c r="E30" i="6"/>
  <c r="F109" i="43"/>
  <c r="J109" i="43"/>
  <c r="F105" i="43"/>
  <c r="J102" i="43"/>
  <c r="E59" i="40"/>
  <c r="G30" i="6"/>
  <c r="G31" i="6" s="1"/>
  <c r="D9" i="69"/>
  <c r="C9" i="69" s="1"/>
  <c r="C109" i="43"/>
  <c r="T10" i="1"/>
  <c r="T11" i="1"/>
  <c r="F103" i="43"/>
  <c r="K107" i="43"/>
  <c r="F106" i="43"/>
  <c r="J103" i="43"/>
  <c r="J105" i="43"/>
  <c r="F102" i="43"/>
  <c r="J107" i="43"/>
  <c r="E16" i="6"/>
  <c r="D22" i="43"/>
  <c r="E62" i="39"/>
  <c r="T12" i="1"/>
  <c r="D9" i="68"/>
  <c r="C9" i="68" s="1"/>
  <c r="I118" i="43"/>
  <c r="J118" i="43" s="1"/>
  <c r="K118" i="43" s="1"/>
  <c r="L118" i="43" s="1"/>
  <c r="M118" i="43" s="1"/>
  <c r="N103" i="43"/>
  <c r="AZ13" i="3"/>
  <c r="AZ5" i="3" s="1"/>
  <c r="AR13" i="1"/>
  <c r="D115" i="43"/>
  <c r="E115" i="43" s="1"/>
  <c r="F115" i="43" s="1"/>
  <c r="G115" i="43" s="1"/>
  <c r="H115" i="43" s="1"/>
  <c r="G118" i="43"/>
  <c r="H118" i="43" s="1"/>
  <c r="D19" i="12"/>
  <c r="C19" i="12" s="1"/>
  <c r="G104" i="43"/>
  <c r="I115" i="43"/>
  <c r="J115" i="43" s="1"/>
  <c r="K115" i="43" s="1"/>
  <c r="L115" i="43" s="1"/>
  <c r="M115" i="43" s="1"/>
  <c r="G109" i="43"/>
  <c r="I116" i="43"/>
  <c r="J116" i="43" s="1"/>
  <c r="K116" i="43" s="1"/>
  <c r="L116" i="43" s="1"/>
  <c r="M116" i="43" s="1"/>
  <c r="I117" i="43"/>
  <c r="J117" i="43" s="1"/>
  <c r="K117" i="43" s="1"/>
  <c r="L117" i="43" s="1"/>
  <c r="M117" i="43" s="1"/>
  <c r="D118" i="43"/>
  <c r="E118" i="43" s="1"/>
  <c r="F118" i="43" s="1"/>
  <c r="G103" i="43"/>
  <c r="B117" i="43"/>
  <c r="C117" i="43" s="1"/>
  <c r="B118" i="43"/>
  <c r="C118" i="43" s="1"/>
  <c r="G107" i="43"/>
  <c r="G102" i="43"/>
  <c r="P23" i="43"/>
  <c r="B71" i="39" s="1"/>
  <c r="C28" i="15"/>
  <c r="C77" i="9"/>
  <c r="C74" i="9" s="1"/>
  <c r="C28" i="7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D117" i="43"/>
  <c r="E117" i="43" s="1"/>
  <c r="F117" i="43" s="1"/>
  <c r="G117" i="43" s="1"/>
  <c r="H117" i="43" s="1"/>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M17" i="81"/>
  <c r="F31" i="75"/>
  <c r="F59" i="81"/>
  <c r="F59" i="80"/>
  <c r="M17" i="75"/>
  <c r="F31" i="80"/>
  <c r="F31" i="81"/>
  <c r="M17" i="80"/>
  <c r="F59" i="75"/>
  <c r="M8" i="67"/>
  <c r="F26" i="81"/>
  <c r="M8" i="75"/>
  <c r="C76" i="67"/>
  <c r="F9" i="81"/>
  <c r="M24" i="80"/>
  <c r="M8" i="15"/>
  <c r="M9" i="81"/>
  <c r="F7" i="15"/>
  <c r="M28" i="15"/>
  <c r="F9" i="80"/>
  <c r="L47" i="80"/>
  <c r="F9" i="67"/>
  <c r="M6" i="80"/>
  <c r="L47" i="67"/>
  <c r="F16" i="80"/>
  <c r="F37" i="67"/>
  <c r="M28" i="75"/>
  <c r="F16" i="15"/>
  <c r="M24" i="75"/>
  <c r="F7" i="81"/>
  <c r="F26" i="75"/>
  <c r="F43" i="81"/>
  <c r="F40" i="75"/>
  <c r="M23" i="15"/>
  <c r="M6" i="75"/>
  <c r="F38" i="75"/>
  <c r="M24" i="81"/>
  <c r="M29" i="75"/>
  <c r="F37" i="75"/>
  <c r="F38" i="80"/>
  <c r="F13" i="81"/>
  <c r="F9" i="15"/>
  <c r="M29" i="81"/>
  <c r="M23" i="75"/>
  <c r="F42" i="15"/>
  <c r="M29" i="80"/>
  <c r="L48" i="15"/>
  <c r="M6" i="67"/>
  <c r="M26" i="15"/>
  <c r="C76" i="15"/>
  <c r="F9" i="75"/>
  <c r="M9" i="75"/>
  <c r="M29" i="15"/>
  <c r="M26" i="80"/>
  <c r="F16" i="67"/>
  <c r="F38" i="15"/>
  <c r="M22" i="80"/>
  <c r="F42" i="81"/>
  <c r="M22" i="75"/>
  <c r="M28" i="80"/>
  <c r="C76" i="75"/>
  <c r="M22" i="15"/>
  <c r="L47" i="81"/>
  <c r="F6" i="75"/>
  <c r="F36" i="75"/>
  <c r="F38" i="67"/>
  <c r="M28" i="67"/>
  <c r="M24" i="15"/>
  <c r="F43" i="67"/>
  <c r="M26" i="75"/>
  <c r="F40" i="81"/>
  <c r="L48" i="80"/>
  <c r="F38" i="81"/>
  <c r="F7" i="80"/>
  <c r="M22" i="81"/>
  <c r="F37" i="80"/>
  <c r="L48" i="81"/>
  <c r="F40" i="80"/>
  <c r="M8" i="81"/>
  <c r="J15" i="67"/>
  <c r="F13" i="15"/>
  <c r="J15" i="15"/>
  <c r="M6" i="15"/>
  <c r="F42" i="75"/>
  <c r="F37" i="81"/>
  <c r="M23" i="67"/>
  <c r="L47" i="75"/>
  <c r="F6" i="80"/>
  <c r="F13" i="67"/>
  <c r="M28" i="81"/>
  <c r="F13" i="80"/>
  <c r="M9" i="80"/>
  <c r="F6" i="67"/>
  <c r="F16" i="75"/>
  <c r="L48" i="67"/>
  <c r="F40" i="67"/>
  <c r="C76" i="80"/>
  <c r="M8" i="80"/>
  <c r="F8" i="75"/>
  <c r="M9" i="67"/>
  <c r="F40" i="15"/>
  <c r="M26" i="81"/>
  <c r="F42" i="80"/>
  <c r="F16" i="81"/>
  <c r="F8" i="15"/>
  <c r="F8" i="67"/>
  <c r="J15" i="81"/>
  <c r="F37" i="15"/>
  <c r="F26" i="67"/>
  <c r="M29" i="67"/>
  <c r="F7" i="75"/>
  <c r="F43" i="15"/>
  <c r="C76" i="81"/>
  <c r="M23" i="81"/>
  <c r="M26" i="67"/>
  <c r="F43" i="75"/>
  <c r="J15" i="75"/>
  <c r="F36" i="67"/>
  <c r="M6" i="81"/>
  <c r="L48" i="75"/>
  <c r="F36" i="80"/>
  <c r="M22" i="67"/>
  <c r="J15" i="80"/>
  <c r="F43" i="80"/>
  <c r="F13" i="75"/>
  <c r="F36" i="81"/>
  <c r="F42" i="67"/>
  <c r="M27" i="75"/>
  <c r="M9" i="15"/>
  <c r="L47" i="15"/>
  <c r="F6" i="81"/>
  <c r="F26" i="80"/>
  <c r="C14" i="80"/>
  <c r="M24" i="67"/>
  <c r="M23" i="80"/>
  <c r="F7" i="67"/>
  <c r="F36" i="15"/>
  <c r="F26" i="15"/>
  <c r="F8" i="81"/>
  <c r="F8" i="80"/>
  <c r="G1" i="73"/>
  <c r="M7" i="75" l="1"/>
  <c r="J10" i="75" s="1"/>
  <c r="F50" i="75"/>
  <c r="B40" i="1"/>
  <c r="F24" i="81" s="1"/>
  <c r="C24" i="81" s="1"/>
  <c r="L59" i="67"/>
  <c r="Q74" i="67" s="1"/>
  <c r="L58" i="67"/>
  <c r="Q60" i="67" s="1"/>
  <c r="F71" i="80"/>
  <c r="C27" i="80"/>
  <c r="M7" i="80"/>
  <c r="J10" i="80" s="1"/>
  <c r="F50" i="80"/>
  <c r="F66" i="80"/>
  <c r="C6" i="67"/>
  <c r="C5" i="67" s="1"/>
  <c r="C32" i="67" s="1"/>
  <c r="F68" i="15"/>
  <c r="F66" i="81"/>
  <c r="F64" i="67"/>
  <c r="F65" i="75"/>
  <c r="F66" i="15"/>
  <c r="F51" i="80"/>
  <c r="C49" i="80" s="1"/>
  <c r="C48" i="80" s="1"/>
  <c r="C6" i="81"/>
  <c r="C10" i="81"/>
  <c r="J53" i="80"/>
  <c r="Q52" i="80" s="1"/>
  <c r="K53" i="80"/>
  <c r="J57" i="80"/>
  <c r="J55" i="80" s="1"/>
  <c r="J58" i="80" s="1"/>
  <c r="Q50" i="80" s="1"/>
  <c r="L56" i="80"/>
  <c r="F51" i="81"/>
  <c r="L59" i="80"/>
  <c r="Q74" i="80" s="1"/>
  <c r="L58" i="80"/>
  <c r="Q60" i="80" s="1"/>
  <c r="F68" i="81"/>
  <c r="C27" i="67"/>
  <c r="L58" i="15"/>
  <c r="Q73" i="15" s="1"/>
  <c r="L59" i="15"/>
  <c r="Q74" i="15" s="1"/>
  <c r="F71" i="75"/>
  <c r="F66" i="75"/>
  <c r="C27" i="15"/>
  <c r="F51" i="75"/>
  <c r="C49" i="75" s="1"/>
  <c r="C48" i="75" s="1"/>
  <c r="F71" i="67"/>
  <c r="F65" i="15"/>
  <c r="F50" i="15"/>
  <c r="M7" i="15"/>
  <c r="J10" i="15" s="1"/>
  <c r="F64" i="80"/>
  <c r="F68" i="75"/>
  <c r="Q71" i="15"/>
  <c r="F64" i="15"/>
  <c r="Q71" i="80"/>
  <c r="F66" i="67"/>
  <c r="F71" i="81"/>
  <c r="F51" i="67"/>
  <c r="L56" i="75"/>
  <c r="J57" i="75"/>
  <c r="J55" i="75" s="1"/>
  <c r="J58" i="75" s="1"/>
  <c r="Q50" i="75" s="1"/>
  <c r="J53" i="75"/>
  <c r="Q52" i="75" s="1"/>
  <c r="K53" i="75"/>
  <c r="F64" i="75"/>
  <c r="F68" i="80"/>
  <c r="C27" i="75"/>
  <c r="F50" i="67"/>
  <c r="M7" i="67"/>
  <c r="J6" i="67" s="1"/>
  <c r="C6" i="80"/>
  <c r="C10" i="80"/>
  <c r="F68" i="67"/>
  <c r="C10" i="75"/>
  <c r="C6" i="75"/>
  <c r="F50" i="81"/>
  <c r="M7" i="81"/>
  <c r="J10" i="81" s="1"/>
  <c r="K53" i="15"/>
  <c r="J57" i="15"/>
  <c r="J55" i="15" s="1"/>
  <c r="J58" i="15" s="1"/>
  <c r="Q50" i="15" s="1"/>
  <c r="J53" i="15"/>
  <c r="F1" i="15" s="1"/>
  <c r="L56" i="15"/>
  <c r="Q71" i="67"/>
  <c r="L58" i="75"/>
  <c r="Q73" i="75" s="1"/>
  <c r="L59" i="75"/>
  <c r="Q61" i="75" s="1"/>
  <c r="F70" i="67"/>
  <c r="L58" i="81"/>
  <c r="Q73" i="81" s="1"/>
  <c r="L59" i="81"/>
  <c r="Q74" i="81" s="1"/>
  <c r="K53" i="81"/>
  <c r="J53" i="81"/>
  <c r="Q52" i="81" s="1"/>
  <c r="J57" i="81"/>
  <c r="J55" i="81" s="1"/>
  <c r="J58" i="81" s="1"/>
  <c r="Q50" i="81" s="1"/>
  <c r="L56" i="81"/>
  <c r="F51" i="15"/>
  <c r="C49" i="15" s="1"/>
  <c r="F64" i="81"/>
  <c r="Q71" i="81"/>
  <c r="C27" i="81"/>
  <c r="F65" i="81"/>
  <c r="J57" i="67"/>
  <c r="J55" i="67" s="1"/>
  <c r="J58" i="67" s="1"/>
  <c r="Q50" i="67" s="1"/>
  <c r="K53" i="67"/>
  <c r="L56" i="67"/>
  <c r="J53" i="67"/>
  <c r="F1" i="67" s="1"/>
  <c r="Q71" i="75"/>
  <c r="F65" i="80"/>
  <c r="F71" i="15"/>
  <c r="F65" i="67"/>
  <c r="K20" i="6"/>
  <c r="S7" i="1" s="1"/>
  <c r="AR7" i="1" s="1"/>
  <c r="C8" i="85"/>
  <c r="K25" i="6"/>
  <c r="M25" i="6" s="1"/>
  <c r="I25" i="6" s="1"/>
  <c r="S25" i="6" s="1"/>
  <c r="K23" i="6"/>
  <c r="M23" i="6" s="1"/>
  <c r="I23" i="6" s="1"/>
  <c r="S23" i="6" s="1"/>
  <c r="K22" i="6"/>
  <c r="M22" i="6" s="1"/>
  <c r="I22" i="6" s="1"/>
  <c r="S22" i="6" s="1"/>
  <c r="K21" i="6"/>
  <c r="M21" i="6" s="1"/>
  <c r="I21" i="6" s="1"/>
  <c r="S21" i="6" s="1"/>
  <c r="E7" i="70"/>
  <c r="K24" i="6"/>
  <c r="M24" i="6" s="1"/>
  <c r="I24" i="6" s="1"/>
  <c r="S24" i="6" s="1"/>
  <c r="K19" i="6"/>
  <c r="S6" i="1" s="1"/>
  <c r="T6" i="1" s="1"/>
  <c r="K26" i="6"/>
  <c r="M26" i="6" s="1"/>
  <c r="I26" i="6" s="1"/>
  <c r="S26" i="6" s="1"/>
  <c r="Q61" i="81"/>
  <c r="C15" i="80"/>
  <c r="C18" i="80"/>
  <c r="J6" i="80"/>
  <c r="C48" i="69"/>
  <c r="S2" i="43"/>
  <c r="T2" i="43" s="1"/>
  <c r="V2" i="43" s="1"/>
  <c r="S8" i="1"/>
  <c r="S9" i="1"/>
  <c r="O7" i="1"/>
  <c r="O16" i="1" s="1"/>
  <c r="S3" i="43"/>
  <c r="T3" i="43" s="1"/>
  <c r="V3" i="43" s="1"/>
  <c r="S4" i="43"/>
  <c r="T4" i="43" s="1"/>
  <c r="V4" i="43" s="1"/>
  <c r="S7" i="43"/>
  <c r="T7" i="43" s="1"/>
  <c r="V7" i="43" s="1"/>
  <c r="S6" i="43"/>
  <c r="T6" i="43" s="1"/>
  <c r="V6" i="43" s="1"/>
  <c r="C23" i="43"/>
  <c r="C21" i="43" s="1"/>
  <c r="C29" i="43" s="1"/>
  <c r="S5" i="43"/>
  <c r="T5" i="43" s="1"/>
  <c r="V5" i="43" s="1"/>
  <c r="E3" i="6"/>
  <c r="D3" i="21" s="1"/>
  <c r="AY6" i="3"/>
  <c r="AY160" i="3" s="1"/>
  <c r="K16" i="1"/>
  <c r="E66" i="39"/>
  <c r="D113" i="43"/>
  <c r="J22" i="43" s="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AY111" i="3"/>
  <c r="AY530" i="3"/>
  <c r="AY315" i="3"/>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H10" i="39"/>
  <c r="J10" i="39"/>
  <c r="M16" i="1"/>
  <c r="N16" i="1" s="1"/>
  <c r="F27" i="11"/>
  <c r="AE9" i="1"/>
  <c r="F31" i="67"/>
  <c r="F59" i="15"/>
  <c r="F59" i="67"/>
  <c r="M17" i="67"/>
  <c r="M17" i="15"/>
  <c r="C16" i="80"/>
  <c r="C17" i="75"/>
  <c r="C16" i="81"/>
  <c r="C16" i="67"/>
  <c r="C17" i="80"/>
  <c r="C16" i="75"/>
  <c r="C17" i="81"/>
  <c r="C17" i="15"/>
  <c r="C16" i="15"/>
  <c r="F22" i="68" l="1"/>
  <c r="Q61" i="67"/>
  <c r="F1" i="80"/>
  <c r="Q73" i="67"/>
  <c r="J6" i="15"/>
  <c r="J6" i="81"/>
  <c r="J5" i="81" s="1"/>
  <c r="Q73" i="80"/>
  <c r="Q61" i="80"/>
  <c r="C49" i="67"/>
  <c r="Q61" i="15"/>
  <c r="C49" i="81"/>
  <c r="C48" i="81" s="1"/>
  <c r="C60" i="81" s="1"/>
  <c r="C5" i="75"/>
  <c r="C38" i="75" s="1"/>
  <c r="C5" i="81"/>
  <c r="C38" i="81" s="1"/>
  <c r="C5" i="80"/>
  <c r="C38" i="80" s="1"/>
  <c r="F22" i="11"/>
  <c r="C26" i="11" s="1"/>
  <c r="D22" i="11" s="1"/>
  <c r="F24" i="80"/>
  <c r="C24" i="80" s="1"/>
  <c r="Q74" i="75"/>
  <c r="F1" i="75"/>
  <c r="Q52" i="67"/>
  <c r="Q52" i="15"/>
  <c r="F22" i="69"/>
  <c r="C26" i="69" s="1"/>
  <c r="D22" i="69" s="1"/>
  <c r="Q60" i="81"/>
  <c r="Q60" i="15"/>
  <c r="F24" i="67"/>
  <c r="C24" i="67" s="1"/>
  <c r="F25" i="12"/>
  <c r="C26" i="12" s="1"/>
  <c r="D25" i="12" s="1"/>
  <c r="F24" i="15"/>
  <c r="C24" i="15" s="1"/>
  <c r="F24" i="75"/>
  <c r="C24" i="75" s="1"/>
  <c r="J6" i="75"/>
  <c r="J5" i="75" s="1"/>
  <c r="J18" i="75" s="1"/>
  <c r="F1" i="81"/>
  <c r="Q60" i="75"/>
  <c r="E6" i="70"/>
  <c r="AY290" i="3"/>
  <c r="AY386" i="3"/>
  <c r="AY69" i="3"/>
  <c r="M20" i="6"/>
  <c r="I20" i="6" s="1"/>
  <c r="S20" i="6" s="1"/>
  <c r="AY287" i="3"/>
  <c r="D37" i="11"/>
  <c r="AQ7" i="1"/>
  <c r="AR6" i="1"/>
  <c r="T7" i="1"/>
  <c r="AY195" i="3"/>
  <c r="AY232" i="3"/>
  <c r="AY522" i="3"/>
  <c r="AY494" i="3"/>
  <c r="AY73" i="3"/>
  <c r="BK6" i="3"/>
  <c r="AY429" i="3"/>
  <c r="AY71" i="3"/>
  <c r="AY120" i="3"/>
  <c r="AY471" i="3"/>
  <c r="BF6" i="3"/>
  <c r="AY384" i="3"/>
  <c r="AY43" i="3"/>
  <c r="AY322" i="3"/>
  <c r="AY560" i="3"/>
  <c r="AY99" i="3"/>
  <c r="AY364" i="3"/>
  <c r="AY430" i="3"/>
  <c r="AY185" i="3"/>
  <c r="AY335" i="3"/>
  <c r="M19" i="6"/>
  <c r="M27" i="6" s="1"/>
  <c r="K27" i="6"/>
  <c r="AQ6" i="1"/>
  <c r="BT6" i="3"/>
  <c r="AY277" i="3"/>
  <c r="AY440" i="3"/>
  <c r="AY19" i="3"/>
  <c r="AY439" i="3"/>
  <c r="AY48" i="3"/>
  <c r="AY309" i="3"/>
  <c r="AY294" i="3"/>
  <c r="AY327" i="3"/>
  <c r="AY207" i="3"/>
  <c r="C32" i="75"/>
  <c r="C32" i="81"/>
  <c r="C19" i="80"/>
  <c r="C20" i="80" s="1"/>
  <c r="C26" i="80" s="1"/>
  <c r="J5" i="80"/>
  <c r="J18" i="80" s="1"/>
  <c r="C66" i="81"/>
  <c r="E9" i="70"/>
  <c r="C66" i="80"/>
  <c r="C60" i="80"/>
  <c r="AR8" i="1"/>
  <c r="AQ8" i="1"/>
  <c r="T8" i="1"/>
  <c r="AR9" i="1"/>
  <c r="AQ9" i="1"/>
  <c r="T9" i="1"/>
  <c r="I19" i="6"/>
  <c r="C66" i="75"/>
  <c r="C60" i="75"/>
  <c r="AY15" i="3"/>
  <c r="AY443" i="3"/>
  <c r="AY354" i="3"/>
  <c r="AY272" i="3"/>
  <c r="AY143" i="3"/>
  <c r="AY38" i="3"/>
  <c r="AY576" i="3"/>
  <c r="AY500" i="3"/>
  <c r="AY469" i="3"/>
  <c r="AY383" i="3"/>
  <c r="AY265" i="3"/>
  <c r="AY156" i="3"/>
  <c r="AY47" i="3"/>
  <c r="BP6" i="3"/>
  <c r="AY565" i="3"/>
  <c r="AY506" i="3"/>
  <c r="AY458" i="3"/>
  <c r="AY344" i="3"/>
  <c r="AY234" i="3"/>
  <c r="AY158" i="3"/>
  <c r="AY101" i="3"/>
  <c r="BG6" i="3"/>
  <c r="AY503" i="3"/>
  <c r="AY488" i="3"/>
  <c r="AY388" i="3"/>
  <c r="AY181" i="3"/>
  <c r="AY554" i="3"/>
  <c r="AY262" i="3"/>
  <c r="AY141" i="3"/>
  <c r="AY28" i="3"/>
  <c r="BE6" i="3"/>
  <c r="AY436" i="3"/>
  <c r="AY228" i="3"/>
  <c r="AY460" i="3"/>
  <c r="AY252" i="3"/>
  <c r="AY42" i="3"/>
  <c r="M18" i="9"/>
  <c r="B118" i="9" s="1"/>
  <c r="D19" i="11"/>
  <c r="C19" i="11" s="1"/>
  <c r="C20" i="11" s="1"/>
  <c r="D3" i="34"/>
  <c r="AY566" i="3"/>
  <c r="AY448" i="3"/>
  <c r="AY339" i="3"/>
  <c r="AY240" i="3"/>
  <c r="AY128" i="3"/>
  <c r="AY22" i="3"/>
  <c r="AY107" i="3"/>
  <c r="AY558" i="3"/>
  <c r="AY482" i="3"/>
  <c r="AY359" i="3"/>
  <c r="AY249" i="3"/>
  <c r="AY140" i="3"/>
  <c r="AY62" i="3"/>
  <c r="AY578" i="3"/>
  <c r="AY537" i="3"/>
  <c r="AY17" i="3"/>
  <c r="AY450" i="3"/>
  <c r="AY336" i="3"/>
  <c r="AY218" i="3"/>
  <c r="AY142" i="3"/>
  <c r="AY112" i="3"/>
  <c r="AY559" i="3"/>
  <c r="BQ6" i="3"/>
  <c r="AY480" i="3"/>
  <c r="AY377" i="3"/>
  <c r="AY166" i="3"/>
  <c r="AY507" i="3"/>
  <c r="AY246" i="3"/>
  <c r="AY133" i="3"/>
  <c r="AY20" i="3"/>
  <c r="AY553" i="3"/>
  <c r="AY420" i="3"/>
  <c r="AY212" i="3"/>
  <c r="AY428" i="3"/>
  <c r="AY236" i="3"/>
  <c r="AY183" i="3"/>
  <c r="AY103" i="3"/>
  <c r="AY586" i="3"/>
  <c r="AY413" i="3"/>
  <c r="AY477" i="3"/>
  <c r="AY391" i="3"/>
  <c r="AY288" i="3"/>
  <c r="AY164" i="3"/>
  <c r="AY55" i="3"/>
  <c r="AY528" i="3"/>
  <c r="AY408" i="3"/>
  <c r="AY346" i="3"/>
  <c r="AY216" i="3"/>
  <c r="AY301" i="3"/>
  <c r="AY192" i="3"/>
  <c r="AY110" i="3"/>
  <c r="AY545" i="3"/>
  <c r="AY524" i="3"/>
  <c r="AY431" i="3"/>
  <c r="AY492" i="3"/>
  <c r="AY352" i="3"/>
  <c r="AY298" i="3"/>
  <c r="AY32" i="3"/>
  <c r="AY556" i="3"/>
  <c r="AY536" i="3"/>
  <c r="AY414" i="3"/>
  <c r="AY348" i="3"/>
  <c r="AY275" i="3"/>
  <c r="AY41" i="3"/>
  <c r="AY397" i="3"/>
  <c r="AY286" i="3"/>
  <c r="AY170" i="3"/>
  <c r="AY61" i="3"/>
  <c r="AY573" i="3"/>
  <c r="AY342" i="3"/>
  <c r="AY26" i="3"/>
  <c r="AY319" i="3"/>
  <c r="AY58" i="3"/>
  <c r="D14" i="12"/>
  <c r="D17" i="12" s="1"/>
  <c r="C17" i="12" s="1"/>
  <c r="E6" i="6"/>
  <c r="D10" i="68" s="1"/>
  <c r="B14" i="74"/>
  <c r="B1" i="74" s="1"/>
  <c r="J24" i="75"/>
  <c r="AY83" i="3"/>
  <c r="AY66" i="3"/>
  <c r="AY23" i="3"/>
  <c r="AY176" i="3"/>
  <c r="AY155" i="3"/>
  <c r="AY115" i="3"/>
  <c r="AY59" i="3"/>
  <c r="AY18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67" i="3"/>
  <c r="AY196" i="3"/>
  <c r="AY139" i="3"/>
  <c r="AY74"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46"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87" i="3"/>
  <c r="AY34" i="3"/>
  <c r="AY144" i="3"/>
  <c r="AY95"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62" i="3"/>
  <c r="AY165" i="3"/>
  <c r="AY118" i="3"/>
  <c r="AY291" i="3"/>
  <c r="AY278" i="3"/>
  <c r="AY231" i="3"/>
  <c r="AY238" i="3"/>
  <c r="AY219" i="3"/>
  <c r="AY381" i="3"/>
  <c r="AY368" i="3"/>
  <c r="BH6" i="3"/>
  <c r="AY104" i="3"/>
  <c r="AY72" i="3"/>
  <c r="AY202" i="3"/>
  <c r="AY177" i="3"/>
  <c r="AY121" i="3"/>
  <c r="AY259" i="3"/>
  <c r="AY210" i="3"/>
  <c r="AY370" i="3"/>
  <c r="AY333" i="3"/>
  <c r="AY332" i="3"/>
  <c r="AY483" i="3"/>
  <c r="AY472" i="3"/>
  <c r="AY446" i="3"/>
  <c r="AY406" i="3"/>
  <c r="AY411" i="3"/>
  <c r="BM6" i="3"/>
  <c r="AY572" i="3"/>
  <c r="AY571"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3" i="3"/>
  <c r="BD6" i="3"/>
  <c r="AY400" i="3"/>
  <c r="AY474" i="3"/>
  <c r="AY338" i="3"/>
  <c r="AY351" i="3"/>
  <c r="AY208" i="3"/>
  <c r="AY241" i="3"/>
  <c r="AY293" i="3"/>
  <c r="AY175" i="3"/>
  <c r="AY184" i="3"/>
  <c r="AY54" i="3"/>
  <c r="AY102" i="3"/>
  <c r="BL6" i="3"/>
  <c r="AY547" i="3"/>
  <c r="AY421" i="3"/>
  <c r="AY456" i="3"/>
  <c r="AY485" i="3"/>
  <c r="AY347" i="3"/>
  <c r="AY378" i="3"/>
  <c r="AY248" i="3"/>
  <c r="AY296" i="3"/>
  <c r="AY135" i="3"/>
  <c r="AY172" i="3"/>
  <c r="AY30" i="3"/>
  <c r="AY63" i="3"/>
  <c r="AY548" i="3"/>
  <c r="AY542" i="3"/>
  <c r="AY515" i="3"/>
  <c r="AY564" i="3"/>
  <c r="AY399" i="3"/>
  <c r="AY418" i="3"/>
  <c r="AY461" i="3"/>
  <c r="AY304" i="3"/>
  <c r="AY321" i="3"/>
  <c r="AY385" i="3"/>
  <c r="AY235" i="3"/>
  <c r="AY122" i="3"/>
  <c r="AY205" i="3"/>
  <c r="AY49" i="3"/>
  <c r="AY577" i="3"/>
  <c r="AY495" i="3"/>
  <c r="AY561" i="3"/>
  <c r="AY419" i="3"/>
  <c r="AY462" i="3"/>
  <c r="AY491" i="3"/>
  <c r="AY341" i="3"/>
  <c r="AY242" i="3"/>
  <c r="AY114" i="3"/>
  <c r="AY109" i="3"/>
  <c r="AY357" i="3"/>
  <c r="AY227" i="3"/>
  <c r="AY299" i="3"/>
  <c r="AY245" i="3"/>
  <c r="AY567" i="3"/>
  <c r="AY511" i="3"/>
  <c r="AY521" i="3"/>
  <c r="AY432" i="3"/>
  <c r="AY490" i="3"/>
  <c r="AY307" i="3"/>
  <c r="AY375" i="3"/>
  <c r="AY224" i="3"/>
  <c r="AY257" i="3"/>
  <c r="AY136" i="3"/>
  <c r="AY148" i="3"/>
  <c r="AY200" i="3"/>
  <c r="AY39" i="3"/>
  <c r="AY91" i="3"/>
  <c r="AY568" i="3"/>
  <c r="AY13" i="3"/>
  <c r="AY437" i="3"/>
  <c r="AY451" i="3"/>
  <c r="AY330" i="3"/>
  <c r="AY362" i="3"/>
  <c r="AY394" i="3"/>
  <c r="AY233" i="3"/>
  <c r="AY285" i="3"/>
  <c r="AY151" i="3"/>
  <c r="AY203" i="3"/>
  <c r="AY46" i="3"/>
  <c r="AY79" i="3"/>
  <c r="AY563" i="3"/>
  <c r="AY570" i="3"/>
  <c r="AY551" i="3"/>
  <c r="AY575" i="3"/>
  <c r="AY14" i="3"/>
  <c r="AY407" i="3"/>
  <c r="AY426" i="3"/>
  <c r="AY468" i="3"/>
  <c r="AY312" i="3"/>
  <c r="AY329" i="3"/>
  <c r="AY380" i="3"/>
  <c r="AY251" i="3"/>
  <c r="AY137" i="3"/>
  <c r="AY194" i="3"/>
  <c r="AY65" i="3"/>
  <c r="AY582" i="3"/>
  <c r="AY501" i="3"/>
  <c r="AY520" i="3"/>
  <c r="AY585" i="3"/>
  <c r="AY427" i="3"/>
  <c r="AY449" i="3"/>
  <c r="AY316" i="3"/>
  <c r="AY349" i="3"/>
  <c r="AY258" i="3"/>
  <c r="AY145" i="3"/>
  <c r="AY24" i="3"/>
  <c r="BB6" i="3"/>
  <c r="AY374" i="3"/>
  <c r="AY214" i="3"/>
  <c r="AY255" i="3"/>
  <c r="AY125" i="3"/>
  <c r="AY138" i="3"/>
  <c r="AY198" i="3"/>
  <c r="AY76" i="3"/>
  <c r="AY108" i="3"/>
  <c r="AY540" i="3"/>
  <c r="AY401" i="3"/>
  <c r="AY465" i="3"/>
  <c r="AY379" i="3"/>
  <c r="AY300" i="3"/>
  <c r="AY409" i="3"/>
  <c r="AY489" i="3"/>
  <c r="AY382" i="3"/>
  <c r="AY297" i="3"/>
  <c r="AY123" i="3"/>
  <c r="AY124" i="3"/>
  <c r="AY51" i="3"/>
  <c r="AY493" i="3"/>
  <c r="AY508" i="3"/>
  <c r="AY29" i="3"/>
  <c r="AY247" i="3"/>
  <c r="AY173" i="3"/>
  <c r="AY190" i="3"/>
  <c r="AY60" i="3"/>
  <c r="AY100" i="3"/>
  <c r="AY533" i="3"/>
  <c r="AY513" i="3"/>
  <c r="AY478" i="3"/>
  <c r="AY372" i="3"/>
  <c r="AY497" i="3"/>
  <c r="AY473" i="3"/>
  <c r="AY371" i="3"/>
  <c r="AY284" i="3"/>
  <c r="AY281" i="3"/>
  <c r="AY289" i="3"/>
  <c r="AY50" i="3"/>
  <c r="D3" i="37"/>
  <c r="C17" i="4"/>
  <c r="B4" i="52" s="1"/>
  <c r="B43" i="72" s="1"/>
  <c r="E37" i="43"/>
  <c r="AA7" i="36"/>
  <c r="R36" i="36" s="1"/>
  <c r="E36" i="36" s="1"/>
  <c r="E40" i="36" s="1"/>
  <c r="F40" i="36" s="1"/>
  <c r="AC11" i="37"/>
  <c r="W11" i="37"/>
  <c r="AB7" i="37"/>
  <c r="T42" i="37" s="1"/>
  <c r="G42" i="37" s="1"/>
  <c r="G46" i="37" s="1"/>
  <c r="H46" i="37" s="1"/>
  <c r="W11" i="34"/>
  <c r="AC11" i="34"/>
  <c r="J5" i="67"/>
  <c r="J5" i="15"/>
  <c r="C14" i="74"/>
  <c r="B2" i="74" s="1"/>
  <c r="AB7" i="36"/>
  <c r="T36" i="36" s="1"/>
  <c r="C23" i="68"/>
  <c r="E38" i="43"/>
  <c r="E6" i="3"/>
  <c r="C47" i="68"/>
  <c r="D45" i="68" s="1"/>
  <c r="AA10" i="39"/>
  <c r="D20" i="12"/>
  <c r="C20" i="12" s="1"/>
  <c r="C18" i="12" s="1"/>
  <c r="C18" i="4"/>
  <c r="D24" i="6"/>
  <c r="D12" i="6"/>
  <c r="D28" i="6"/>
  <c r="H23" i="6"/>
  <c r="C13" i="12"/>
  <c r="P16" i="1"/>
  <c r="C11" i="12" s="1"/>
  <c r="F34" i="11"/>
  <c r="F11" i="12"/>
  <c r="F34" i="68"/>
  <c r="AC10" i="40"/>
  <c r="C26" i="68"/>
  <c r="D22" i="68" s="1"/>
  <c r="C44" i="68"/>
  <c r="D41" i="68" s="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4" i="81"/>
  <c r="C14" i="75"/>
  <c r="C32" i="80" l="1"/>
  <c r="C25" i="11"/>
  <c r="J26" i="75"/>
  <c r="C44" i="11"/>
  <c r="D41" i="11" s="1"/>
  <c r="C44" i="69"/>
  <c r="D41" i="69" s="1"/>
  <c r="C23" i="11"/>
  <c r="H20" i="6"/>
  <c r="H22" i="6"/>
  <c r="R22" i="6" s="1"/>
  <c r="R9" i="1" s="1"/>
  <c r="D23" i="6"/>
  <c r="R23" i="6" s="1"/>
  <c r="D10" i="11"/>
  <c r="C10" i="11" s="1"/>
  <c r="C37" i="11"/>
  <c r="E61" i="40"/>
  <c r="D10" i="6"/>
  <c r="D5" i="6"/>
  <c r="D8" i="6"/>
  <c r="D25" i="6"/>
  <c r="H21" i="6"/>
  <c r="D29" i="6"/>
  <c r="D30" i="6" s="1"/>
  <c r="D11" i="6"/>
  <c r="D14" i="6"/>
  <c r="D22" i="6"/>
  <c r="D19" i="6"/>
  <c r="M19" i="9" s="1"/>
  <c r="C118" i="9" s="1"/>
  <c r="D13" i="6"/>
  <c r="D6" i="6"/>
  <c r="D26" i="6"/>
  <c r="H24" i="6"/>
  <c r="R24" i="6" s="1"/>
  <c r="I27" i="6"/>
  <c r="L18" i="9"/>
  <c r="C23" i="80"/>
  <c r="C29" i="80" s="1"/>
  <c r="J24" i="80"/>
  <c r="C18" i="75"/>
  <c r="C15" i="75"/>
  <c r="C18" i="81"/>
  <c r="C15" i="81"/>
  <c r="J18" i="81"/>
  <c r="J24" i="81"/>
  <c r="J59" i="81"/>
  <c r="J60" i="81" s="1"/>
  <c r="Q48" i="81" s="1"/>
  <c r="C24" i="11"/>
  <c r="C22" i="11" s="1"/>
  <c r="C28" i="11"/>
  <c r="C27" i="11" s="1"/>
  <c r="S19" i="6"/>
  <c r="S27" i="6" s="1"/>
  <c r="H19" i="6"/>
  <c r="H26" i="6"/>
  <c r="R26" i="6" s="1"/>
  <c r="H25" i="6"/>
  <c r="R25" i="6" s="1"/>
  <c r="D9" i="6"/>
  <c r="D20" i="6"/>
  <c r="R20" i="6" s="1"/>
  <c r="R7" i="1" s="1"/>
  <c r="D21" i="6"/>
  <c r="D15" i="6"/>
  <c r="C36" i="11"/>
  <c r="C34" i="11"/>
  <c r="C38" i="11" s="1"/>
  <c r="J24" i="67"/>
  <c r="J18" i="67"/>
  <c r="J24" i="15"/>
  <c r="J18" i="15"/>
  <c r="G36" i="36"/>
  <c r="R37" i="36"/>
  <c r="AB7" i="34"/>
  <c r="T49" i="34" s="1"/>
  <c r="G49" i="34" s="1"/>
  <c r="G53" i="34" s="1"/>
  <c r="H53" i="34" s="1"/>
  <c r="W7" i="21"/>
  <c r="AA7" i="21"/>
  <c r="R48" i="21" s="1"/>
  <c r="E48" i="21" s="1"/>
  <c r="E52" i="21" s="1"/>
  <c r="F52" i="21" s="1"/>
  <c r="A7" i="51"/>
  <c r="B7" i="72" s="1"/>
  <c r="C4" i="52"/>
  <c r="B45" i="72" s="1"/>
  <c r="A10" i="51"/>
  <c r="B9" i="72" s="1"/>
  <c r="D19" i="68"/>
  <c r="C10" i="68"/>
  <c r="C12" i="12"/>
  <c r="C15" i="12"/>
  <c r="C34" i="68"/>
  <c r="C36" i="68"/>
  <c r="U7" i="2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M21" i="80"/>
  <c r="M21" i="81"/>
  <c r="F35" i="80"/>
  <c r="F35" i="81"/>
  <c r="R21" i="6" l="1"/>
  <c r="R8" i="1" s="1"/>
  <c r="L19" i="9"/>
  <c r="D16" i="6"/>
  <c r="C19" i="81"/>
  <c r="C20" i="81" s="1"/>
  <c r="C19" i="75"/>
  <c r="C20" i="75" s="1"/>
  <c r="C26" i="75" s="1"/>
  <c r="J20" i="81"/>
  <c r="F63" i="81"/>
  <c r="C62" i="81" s="1"/>
  <c r="C34" i="81"/>
  <c r="J20" i="80"/>
  <c r="C34" i="80"/>
  <c r="F63" i="80"/>
  <c r="C62" i="80" s="1"/>
  <c r="J14" i="80"/>
  <c r="Q49" i="80"/>
  <c r="C57" i="80"/>
  <c r="C36" i="80"/>
  <c r="J19" i="80"/>
  <c r="C13" i="80"/>
  <c r="C33" i="80"/>
  <c r="J59" i="80"/>
  <c r="J60" i="80" s="1"/>
  <c r="C31" i="11"/>
  <c r="H27" i="6"/>
  <c r="R19" i="6"/>
  <c r="R27" i="6" s="1"/>
  <c r="D27" i="6"/>
  <c r="D31" i="6" s="1"/>
  <c r="I5" i="6" s="1"/>
  <c r="C35" i="11"/>
  <c r="C33" i="11" s="1"/>
  <c r="C42" i="11"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75"/>
  <c r="M21" i="75"/>
  <c r="R6" i="1" l="1"/>
  <c r="C23" i="75"/>
  <c r="C29" i="75" s="1"/>
  <c r="C36" i="75" s="1"/>
  <c r="C26" i="81"/>
  <c r="C23" i="81"/>
  <c r="C31" i="80"/>
  <c r="J17" i="80"/>
  <c r="C56" i="80"/>
  <c r="C65" i="80" s="1"/>
  <c r="Q70" i="80"/>
  <c r="C75" i="80"/>
  <c r="C37" i="80"/>
  <c r="Q48" i="80"/>
  <c r="C64" i="80"/>
  <c r="C61" i="80"/>
  <c r="C59" i="80" s="1"/>
  <c r="J22" i="80"/>
  <c r="J13" i="80"/>
  <c r="J23" i="80" s="1"/>
  <c r="I6" i="6"/>
  <c r="J59" i="75"/>
  <c r="J60" i="75" s="1"/>
  <c r="C34" i="75"/>
  <c r="F63" i="75"/>
  <c r="C62" i="75" s="1"/>
  <c r="J20" i="75"/>
  <c r="C49" i="21"/>
  <c r="C24" i="68"/>
  <c r="C20" i="68"/>
  <c r="C28" i="68" s="1"/>
  <c r="C27" i="68" s="1"/>
  <c r="C22" i="12"/>
  <c r="C30" i="12" s="1"/>
  <c r="C28" i="12" s="1"/>
  <c r="C33" i="68"/>
  <c r="I63" i="40"/>
  <c r="H65" i="40"/>
  <c r="C39" i="11"/>
  <c r="C43" i="11" s="1"/>
  <c r="C41" i="11" s="1"/>
  <c r="I70" i="39"/>
  <c r="M21" i="15"/>
  <c r="M21" i="67"/>
  <c r="F35" i="15"/>
  <c r="F35" i="67"/>
  <c r="F63" i="67" l="1"/>
  <c r="C62" i="67" s="1"/>
  <c r="C34" i="67"/>
  <c r="J20" i="67"/>
  <c r="R16" i="1"/>
  <c r="J20" i="15"/>
  <c r="F63" i="15"/>
  <c r="C62" i="15" s="1"/>
  <c r="C34" i="15"/>
  <c r="C57" i="75"/>
  <c r="C64" i="75" s="1"/>
  <c r="Q49" i="75"/>
  <c r="J19" i="75"/>
  <c r="J17" i="75" s="1"/>
  <c r="J14" i="75"/>
  <c r="J22" i="75" s="1"/>
  <c r="C13" i="75"/>
  <c r="C75" i="75" s="1"/>
  <c r="C33" i="75"/>
  <c r="C31" i="75" s="1"/>
  <c r="C29" i="81"/>
  <c r="C33" i="81" s="1"/>
  <c r="C31" i="81" s="1"/>
  <c r="L57" i="81"/>
  <c r="L60" i="81" s="1"/>
  <c r="L46" i="81" s="1"/>
  <c r="C30" i="80"/>
  <c r="C39" i="80" s="1"/>
  <c r="Q69" i="80" s="1"/>
  <c r="Q68" i="80" s="1"/>
  <c r="J16" i="80"/>
  <c r="J25" i="80" s="1"/>
  <c r="C58" i="80"/>
  <c r="C67" i="80" s="1"/>
  <c r="Q48" i="75"/>
  <c r="C25" i="68"/>
  <c r="C22" i="68" s="1"/>
  <c r="C31" i="68" s="1"/>
  <c r="C27" i="12"/>
  <c r="C25" i="12" s="1"/>
  <c r="C32" i="12" s="1"/>
  <c r="B2" i="12" s="1"/>
  <c r="B3" i="12" s="1"/>
  <c r="C39" i="68"/>
  <c r="C43" i="68" s="1"/>
  <c r="C42" i="68"/>
  <c r="J63" i="40"/>
  <c r="I65" i="40"/>
  <c r="C46" i="11"/>
  <c r="C45" i="11" s="1"/>
  <c r="C49" i="11" s="1"/>
  <c r="C51" i="11" s="1"/>
  <c r="C52" i="11" s="1"/>
  <c r="B2" i="11" s="1"/>
  <c r="B3" i="11" s="1"/>
  <c r="J70" i="39"/>
  <c r="L51" i="80"/>
  <c r="C61" i="75" l="1"/>
  <c r="C59" i="75" s="1"/>
  <c r="C37" i="75"/>
  <c r="C30" i="75" s="1"/>
  <c r="C39" i="75" s="1"/>
  <c r="C80" i="75" s="1"/>
  <c r="C79" i="75" s="1"/>
  <c r="Q49" i="81"/>
  <c r="Q70" i="75"/>
  <c r="J13" i="75"/>
  <c r="J23" i="75" s="1"/>
  <c r="J16" i="75" s="1"/>
  <c r="J25" i="75" s="1"/>
  <c r="C56" i="75"/>
  <c r="C65" i="75" s="1"/>
  <c r="J14" i="81"/>
  <c r="J19" i="81"/>
  <c r="J17" i="81" s="1"/>
  <c r="C57" i="81"/>
  <c r="C64" i="81" s="1"/>
  <c r="C36" i="81"/>
  <c r="C13" i="81"/>
  <c r="C37" i="81" s="1"/>
  <c r="C80" i="80"/>
  <c r="C79" i="80" s="1"/>
  <c r="Q66" i="81"/>
  <c r="Q57" i="81"/>
  <c r="Q67" i="80"/>
  <c r="L57" i="80"/>
  <c r="L60" i="80" s="1"/>
  <c r="L46" i="80" s="1"/>
  <c r="C41" i="68"/>
  <c r="C46" i="68"/>
  <c r="C45" i="68" s="1"/>
  <c r="K63" i="40"/>
  <c r="J65" i="40"/>
  <c r="K70" i="39"/>
  <c r="C56" i="11"/>
  <c r="C57" i="11" s="1"/>
  <c r="C58" i="75" l="1"/>
  <c r="C67" i="75" s="1"/>
  <c r="C30" i="81"/>
  <c r="C39" i="81" s="1"/>
  <c r="Q69" i="81" s="1"/>
  <c r="C61" i="81"/>
  <c r="C59" i="81" s="1"/>
  <c r="J13" i="81"/>
  <c r="J23" i="81" s="1"/>
  <c r="J22" i="81"/>
  <c r="Q70" i="81"/>
  <c r="C56" i="81"/>
  <c r="C65" i="81" s="1"/>
  <c r="C75" i="81"/>
  <c r="Q57" i="80"/>
  <c r="Q66" i="80"/>
  <c r="L57" i="75"/>
  <c r="L60" i="75" s="1"/>
  <c r="Q69" i="75"/>
  <c r="Q68" i="75" s="1"/>
  <c r="C49" i="68"/>
  <c r="C51" i="68" s="1"/>
  <c r="C52" i="68" s="1"/>
  <c r="C57" i="68" s="1"/>
  <c r="C56" i="68" s="1"/>
  <c r="L63" i="40"/>
  <c r="K65" i="40"/>
  <c r="L70" i="39"/>
  <c r="E8" i="70"/>
  <c r="E2" i="70" s="1"/>
  <c r="C34" i="69"/>
  <c r="L51" i="75"/>
  <c r="C17" i="67"/>
  <c r="Q67" i="75" l="1"/>
  <c r="J16" i="81"/>
  <c r="J25" i="81" s="1"/>
  <c r="C80" i="81"/>
  <c r="C79" i="81" s="1"/>
  <c r="C58" i="81"/>
  <c r="C67" i="81" s="1"/>
  <c r="Q68" i="81"/>
  <c r="Q57" i="75"/>
  <c r="L46" i="75"/>
  <c r="Q66" i="75"/>
  <c r="M63" i="40"/>
  <c r="L65" i="40"/>
  <c r="M70" i="39"/>
  <c r="C35" i="69"/>
  <c r="C38" i="69"/>
  <c r="D10" i="69"/>
  <c r="L51" i="81"/>
  <c r="Q67" i="81"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F41" i="80"/>
  <c r="L51" i="67"/>
  <c r="AG7" i="1" l="1"/>
  <c r="F69" i="80"/>
  <c r="C68" i="80" s="1"/>
  <c r="C40" i="80"/>
  <c r="L57" i="67"/>
  <c r="L60" i="67" s="1"/>
  <c r="L46" i="67" s="1"/>
  <c r="C80" i="67"/>
  <c r="C79" i="67" s="1"/>
  <c r="Q69" i="67"/>
  <c r="Q68" i="67" s="1"/>
  <c r="Q67" i="67"/>
  <c r="C59" i="67"/>
  <c r="C66" i="67"/>
  <c r="T16" i="1"/>
  <c r="C18" i="15"/>
  <c r="C15" i="15"/>
  <c r="M27" i="80"/>
  <c r="J26" i="80" l="1"/>
  <c r="J29" i="80" s="1"/>
  <c r="Q56" i="80" s="1"/>
  <c r="Q62" i="80" s="1"/>
  <c r="C43" i="80"/>
  <c r="C83" i="80"/>
  <c r="C82" i="80" s="1"/>
  <c r="C71" i="80"/>
  <c r="C46" i="80"/>
  <c r="Q66" i="67"/>
  <c r="Q57" i="67"/>
  <c r="C58" i="67"/>
  <c r="C67" i="67" s="1"/>
  <c r="C19" i="15"/>
  <c r="Q47" i="80" l="1"/>
  <c r="Q53" i="80" s="1"/>
  <c r="B2" i="80"/>
  <c r="B3" i="80" s="1"/>
  <c r="Q65" i="80"/>
  <c r="Q75" i="80" s="1"/>
  <c r="C20" i="15"/>
  <c r="C26" i="15" s="1"/>
  <c r="C23" i="15" l="1"/>
  <c r="C29" i="15" s="1"/>
  <c r="J59" i="15" s="1"/>
  <c r="J60" i="15" s="1"/>
  <c r="Q48" i="15" s="1"/>
  <c r="J19" i="15" l="1"/>
  <c r="J17" i="15" s="1"/>
  <c r="Q49" i="15"/>
  <c r="C57" i="15"/>
  <c r="C61" i="15" s="1"/>
  <c r="C33" i="15"/>
  <c r="C13" i="15"/>
  <c r="C37" i="15" s="1"/>
  <c r="C36" i="15"/>
  <c r="J14" i="15"/>
  <c r="J22" i="15" s="1"/>
  <c r="C56" i="15" l="1"/>
  <c r="C48" i="15" s="1"/>
  <c r="C64" i="15"/>
  <c r="Q70" i="15"/>
  <c r="C75" i="15"/>
  <c r="J13" i="15"/>
  <c r="J23" i="15" s="1"/>
  <c r="J16" i="15" s="1"/>
  <c r="J25" i="15" s="1"/>
  <c r="AE8" i="1"/>
  <c r="AE6" i="1"/>
  <c r="F41" i="81"/>
  <c r="F41" i="75"/>
  <c r="AG8" i="1" l="1"/>
  <c r="F69" i="81"/>
  <c r="C68" i="81" s="1"/>
  <c r="C40" i="81"/>
  <c r="F69" i="75"/>
  <c r="C68" i="75" s="1"/>
  <c r="J29" i="75"/>
  <c r="C40" i="75"/>
  <c r="C66" i="15"/>
  <c r="C60" i="15"/>
  <c r="C59" i="15" s="1"/>
  <c r="AG6" i="1"/>
  <c r="C65" i="15"/>
  <c r="L57" i="15"/>
  <c r="L60" i="15" s="1"/>
  <c r="F41" i="15"/>
  <c r="M27" i="15"/>
  <c r="M27" i="81"/>
  <c r="F41" i="67"/>
  <c r="M27" i="67"/>
  <c r="J26" i="81" l="1"/>
  <c r="J29" i="81" s="1"/>
  <c r="Q47" i="81" s="1"/>
  <c r="Q53" i="81" s="1"/>
  <c r="C71" i="81"/>
  <c r="C46" i="81"/>
  <c r="C43" i="81"/>
  <c r="C83" i="81"/>
  <c r="C82" i="81" s="1"/>
  <c r="Q65" i="75"/>
  <c r="Q75" i="75" s="1"/>
  <c r="Q56" i="75"/>
  <c r="Q62" i="75" s="1"/>
  <c r="C43" i="75"/>
  <c r="Q47" i="75"/>
  <c r="Q53" i="75" s="1"/>
  <c r="B2" i="75"/>
  <c r="C83" i="75"/>
  <c r="C82" i="75" s="1"/>
  <c r="C71" i="75"/>
  <c r="C46" i="75"/>
  <c r="J26" i="15"/>
  <c r="J29" i="15" s="1"/>
  <c r="J26" i="67"/>
  <c r="J29" i="67" s="1"/>
  <c r="C58" i="15"/>
  <c r="C67" i="15" s="1"/>
  <c r="F69" i="15"/>
  <c r="L46" i="15"/>
  <c r="Q57" i="15"/>
  <c r="Q66" i="15"/>
  <c r="F69" i="67"/>
  <c r="C68" i="67" s="1"/>
  <c r="C71" i="67" s="1"/>
  <c r="C40" i="67"/>
  <c r="C83" i="67" s="1"/>
  <c r="C82" i="67" s="1"/>
  <c r="AO9" i="1"/>
  <c r="Q65" i="81" l="1"/>
  <c r="Q75" i="81" s="1"/>
  <c r="Q56" i="81"/>
  <c r="Q62" i="81" s="1"/>
  <c r="B2" i="81"/>
  <c r="B3" i="81" s="1"/>
  <c r="B9" i="70"/>
  <c r="B3" i="75"/>
  <c r="C68" i="15"/>
  <c r="C71" i="15" s="1"/>
  <c r="C43" i="67"/>
  <c r="C45" i="67"/>
  <c r="C46" i="67" s="1"/>
  <c r="Q65" i="67"/>
  <c r="Q75" i="67" s="1"/>
  <c r="Q56" i="67"/>
  <c r="Q62" i="67" s="1"/>
  <c r="Q47" i="67"/>
  <c r="Q53" i="67" s="1"/>
  <c r="D2" i="67"/>
  <c r="B2" i="67" s="1"/>
  <c r="AO8" i="1"/>
  <c r="E2" i="69"/>
  <c r="AO7" i="1"/>
  <c r="B2" i="69" l="1"/>
  <c r="B3" i="69" s="1"/>
  <c r="B8" i="70"/>
  <c r="B2" i="68"/>
  <c r="B3" i="67"/>
  <c r="B7" i="70"/>
  <c r="D2" i="21"/>
  <c r="D2" i="33"/>
  <c r="E2" i="68"/>
  <c r="D2" i="37"/>
  <c r="D2" i="34"/>
  <c r="D2" i="35"/>
  <c r="D2" i="36"/>
  <c r="B2" i="36" l="1"/>
  <c r="B3" i="36" s="1"/>
  <c r="B2" i="35"/>
  <c r="B2" i="37"/>
  <c r="B3" i="37" s="1"/>
  <c r="B2" i="34"/>
  <c r="B3" i="34" s="1"/>
  <c r="B2" i="21"/>
  <c r="B3" i="21" s="1"/>
  <c r="B3" i="68"/>
  <c r="C19" i="9"/>
  <c r="E8" i="85" l="1"/>
  <c r="C102" i="9"/>
  <c r="C21" i="9"/>
  <c r="B3" i="35"/>
  <c r="C20" i="9"/>
  <c r="D34" i="9"/>
  <c r="C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R24" i="86" l="1"/>
  <c r="B2" i="33"/>
  <c r="B3" i="33" s="1"/>
  <c r="G52" i="39"/>
  <c r="H52" i="39" s="1"/>
  <c r="G51" i="39"/>
  <c r="H51" i="39" s="1"/>
  <c r="I51" i="39"/>
  <c r="J51" i="39" s="1"/>
  <c r="W7" i="39"/>
  <c r="U7" i="39"/>
  <c r="AA7" i="39"/>
  <c r="R47" i="39" s="1"/>
  <c r="S24" i="86" l="1"/>
  <c r="R27" i="86"/>
  <c r="S27" i="86" s="1"/>
  <c r="R25" i="86"/>
  <c r="S25" i="86" s="1"/>
  <c r="R30" i="86"/>
  <c r="S30" i="86" s="1"/>
  <c r="R29" i="86"/>
  <c r="S29" i="86" s="1"/>
  <c r="R28" i="86"/>
  <c r="S28" i="86" s="1"/>
  <c r="R26" i="86"/>
  <c r="S26" i="86" s="1"/>
  <c r="R33" i="84"/>
  <c r="S33" i="84" s="1"/>
  <c r="R103" i="84"/>
  <c r="S103" i="84" s="1"/>
  <c r="R87" i="84"/>
  <c r="S87" i="84" s="1"/>
  <c r="R71" i="84"/>
  <c r="S71" i="84" s="1"/>
  <c r="R49" i="84"/>
  <c r="S49" i="84" s="1"/>
  <c r="R111" i="84"/>
  <c r="S111" i="84" s="1"/>
  <c r="R36" i="84"/>
  <c r="S36" i="84" s="1"/>
  <c r="R82" i="84"/>
  <c r="S82" i="84" s="1"/>
  <c r="R68" i="84"/>
  <c r="S68" i="84" s="1"/>
  <c r="R89" i="84"/>
  <c r="S89" i="84" s="1"/>
  <c r="R55" i="84"/>
  <c r="S55" i="84" s="1"/>
  <c r="R60" i="84"/>
  <c r="S60" i="84" s="1"/>
  <c r="R64" i="84"/>
  <c r="S64" i="84" s="1"/>
  <c r="R97" i="84"/>
  <c r="S97" i="84" s="1"/>
  <c r="R81" i="84"/>
  <c r="S81" i="84" s="1"/>
  <c r="R65" i="84"/>
  <c r="S65" i="84" s="1"/>
  <c r="R47" i="84"/>
  <c r="S47" i="84" s="1"/>
  <c r="R38" i="84"/>
  <c r="S38" i="84" s="1"/>
  <c r="R90" i="84"/>
  <c r="S90" i="84" s="1"/>
  <c r="R100" i="84"/>
  <c r="S100" i="84" s="1"/>
  <c r="R72" i="84"/>
  <c r="S72" i="84" s="1"/>
  <c r="R95" i="84"/>
  <c r="S95" i="84" s="1"/>
  <c r="R79" i="84"/>
  <c r="S79" i="84" s="1"/>
  <c r="R63" i="84"/>
  <c r="S63" i="84" s="1"/>
  <c r="R48" i="84"/>
  <c r="S48" i="84" s="1"/>
  <c r="R50" i="84"/>
  <c r="S50" i="84" s="1"/>
  <c r="R52" i="84"/>
  <c r="S52" i="84" s="1"/>
  <c r="R105" i="84"/>
  <c r="S105" i="84" s="1"/>
  <c r="R73" i="84"/>
  <c r="S73" i="84" s="1"/>
  <c r="R80" i="84"/>
  <c r="S80" i="84" s="1"/>
  <c r="R58" i="84"/>
  <c r="S58" i="84" s="1"/>
  <c r="R34" i="84"/>
  <c r="S34" i="84" s="1"/>
  <c r="R77" i="84"/>
  <c r="S77" i="84" s="1"/>
  <c r="R85" i="84"/>
  <c r="S85" i="84" s="1"/>
  <c r="R110" i="84"/>
  <c r="S110" i="84" s="1"/>
  <c r="R32" i="84"/>
  <c r="S32" i="84" s="1"/>
  <c r="R93" i="84"/>
  <c r="S93" i="84" s="1"/>
  <c r="R35" i="84"/>
  <c r="S35" i="84" s="1"/>
  <c r="R98" i="84"/>
  <c r="S98" i="84" s="1"/>
  <c r="R109" i="84"/>
  <c r="S109" i="84" s="1"/>
  <c r="R39" i="84"/>
  <c r="S39" i="84" s="1"/>
  <c r="R104" i="84"/>
  <c r="S104" i="84" s="1"/>
  <c r="R74" i="84"/>
  <c r="S74" i="84" s="1"/>
  <c r="R59" i="84"/>
  <c r="S59" i="84" s="1"/>
  <c r="R91" i="84"/>
  <c r="S91" i="84" s="1"/>
  <c r="R108" i="84"/>
  <c r="S108" i="84" s="1"/>
  <c r="R40" i="84"/>
  <c r="S40" i="84" s="1"/>
  <c r="R31" i="84"/>
  <c r="S31" i="84" s="1"/>
  <c r="R86" i="84"/>
  <c r="S86" i="84" s="1"/>
  <c r="R53" i="84"/>
  <c r="S53" i="84" s="1"/>
  <c r="R101" i="84"/>
  <c r="S101" i="84" s="1"/>
  <c r="R44" i="84"/>
  <c r="S44" i="84" s="1"/>
  <c r="R45" i="84"/>
  <c r="S45" i="84" s="1"/>
  <c r="R37" i="84"/>
  <c r="S37" i="84" s="1"/>
  <c r="R46" i="84"/>
  <c r="S46" i="84" s="1"/>
  <c r="R106" i="84"/>
  <c r="S106" i="84" s="1"/>
  <c r="R67" i="84"/>
  <c r="S67" i="84" s="1"/>
  <c r="R99" i="84"/>
  <c r="S99" i="84" s="1"/>
  <c r="R56" i="84"/>
  <c r="S56" i="84" s="1"/>
  <c r="R94" i="84"/>
  <c r="S94" i="84" s="1"/>
  <c r="R69" i="84"/>
  <c r="S69" i="84" s="1"/>
  <c r="R112" i="84"/>
  <c r="S112" i="84" s="1"/>
  <c r="R88" i="84"/>
  <c r="S88" i="84" s="1"/>
  <c r="R41" i="84"/>
  <c r="S41" i="84" s="1"/>
  <c r="R61" i="84"/>
  <c r="S61" i="84" s="1"/>
  <c r="R78" i="84"/>
  <c r="S78" i="84" s="1"/>
  <c r="R43" i="84"/>
  <c r="S43" i="84" s="1"/>
  <c r="R75" i="84"/>
  <c r="S75" i="84" s="1"/>
  <c r="R107" i="84"/>
  <c r="S107" i="84" s="1"/>
  <c r="R76" i="84"/>
  <c r="S76" i="84" s="1"/>
  <c r="R70" i="84"/>
  <c r="S70" i="84" s="1"/>
  <c r="R54" i="84"/>
  <c r="S54" i="84" s="1"/>
  <c r="R96" i="84"/>
  <c r="S96" i="84" s="1"/>
  <c r="R66" i="84"/>
  <c r="S66" i="84" s="1"/>
  <c r="R57" i="84"/>
  <c r="S57" i="84" s="1"/>
  <c r="R84" i="84"/>
  <c r="S84" i="84" s="1"/>
  <c r="R42" i="84"/>
  <c r="S42" i="84" s="1"/>
  <c r="R51" i="84"/>
  <c r="S51" i="84" s="1"/>
  <c r="R83" i="84"/>
  <c r="S83" i="84" s="1"/>
  <c r="R92" i="84"/>
  <c r="S92" i="84" s="1"/>
  <c r="R62" i="84"/>
  <c r="S62" i="84" s="1"/>
  <c r="R102" i="84"/>
  <c r="S102" i="84" s="1"/>
  <c r="R117" i="84"/>
  <c r="S117" i="84" s="1"/>
  <c r="R119" i="84"/>
  <c r="S119" i="84" s="1"/>
  <c r="R121" i="84"/>
  <c r="S121" i="84" s="1"/>
  <c r="R122" i="84"/>
  <c r="S122" i="84" s="1"/>
  <c r="R125" i="84"/>
  <c r="S125" i="84" s="1"/>
  <c r="R126" i="84"/>
  <c r="S126" i="84" s="1"/>
  <c r="R118" i="84"/>
  <c r="S118" i="84" s="1"/>
  <c r="R114" i="84"/>
  <c r="S114" i="84" s="1"/>
  <c r="R124" i="84"/>
  <c r="S124" i="84" s="1"/>
  <c r="R115" i="84"/>
  <c r="S115" i="84" s="1"/>
  <c r="R116" i="84"/>
  <c r="S116" i="84" s="1"/>
  <c r="R120" i="84"/>
  <c r="S120" i="84" s="1"/>
  <c r="R113" i="84"/>
  <c r="S113" i="84" s="1"/>
  <c r="R123" i="84"/>
  <c r="S123" i="84" s="1"/>
  <c r="R48" i="39"/>
  <c r="E47" i="39"/>
  <c r="T24" i="86" l="1"/>
  <c r="S22" i="86"/>
  <c r="C48" i="39"/>
  <c r="C47" i="39"/>
  <c r="E51" i="39"/>
  <c r="F51" i="39" s="1"/>
  <c r="E52" i="39"/>
  <c r="F52" i="39" s="1"/>
  <c r="I52" i="39"/>
  <c r="J52" i="39" s="1"/>
  <c r="F6" i="15"/>
  <c r="C10" i="15" l="1"/>
  <c r="C6" i="15"/>
  <c r="R22" i="86"/>
  <c r="B21" i="86" s="1"/>
  <c r="B20" i="86"/>
  <c r="B61" i="39"/>
  <c r="F61" i="39" s="1"/>
  <c r="B60" i="39"/>
  <c r="F60" i="39" s="1"/>
  <c r="B56" i="39"/>
  <c r="F56" i="39" s="1"/>
  <c r="B58" i="39"/>
  <c r="F58" i="39" s="1"/>
  <c r="B59" i="39"/>
  <c r="F59" i="39" s="1"/>
  <c r="B64" i="39"/>
  <c r="F64" i="39" s="1"/>
  <c r="B65" i="39"/>
  <c r="F65" i="39" s="1"/>
  <c r="B57" i="39"/>
  <c r="F57" i="39" s="1"/>
  <c r="B63" i="39"/>
  <c r="F63" i="39" s="1"/>
  <c r="B62" i="39"/>
  <c r="F62" i="39" s="1"/>
  <c r="F31" i="15"/>
  <c r="C5" i="15" l="1"/>
  <c r="F66" i="39"/>
  <c r="B2" i="39" s="1"/>
  <c r="B3" i="39" s="1"/>
  <c r="D35" i="9"/>
  <c r="C32" i="15" l="1"/>
  <c r="C31" i="15" s="1"/>
  <c r="C38" i="15"/>
  <c r="C30" i="15" l="1"/>
  <c r="C39" i="15" s="1"/>
  <c r="C40" i="15" s="1"/>
  <c r="Q69" i="15" l="1"/>
  <c r="Q68" i="15" s="1"/>
  <c r="C80" i="15"/>
  <c r="C79" i="15" s="1"/>
  <c r="C43" i="15"/>
  <c r="Q65" i="15"/>
  <c r="Q75" i="15" s="1"/>
  <c r="Q56" i="15"/>
  <c r="Q62" i="15" s="1"/>
  <c r="Q47" i="15"/>
  <c r="Q53" i="15" s="1"/>
  <c r="C83" i="15"/>
  <c r="C82" i="15" s="1"/>
  <c r="C46" i="15"/>
  <c r="B2" i="15"/>
  <c r="H112" i="9"/>
  <c r="D21" i="53" s="1"/>
  <c r="B39" i="72" s="1"/>
  <c r="H111" i="9"/>
  <c r="D126" i="9" s="1"/>
  <c r="D19" i="53"/>
  <c r="D59" i="9"/>
  <c r="M55" i="9"/>
  <c r="AO6" i="1"/>
  <c r="L51" i="15"/>
  <c r="D19" i="9"/>
  <c r="F8" i="85" l="1"/>
  <c r="Q67" i="15"/>
  <c r="B6" i="70"/>
  <c r="B2" i="70" s="1"/>
  <c r="B3" i="70" s="1"/>
  <c r="D22" i="9"/>
  <c r="D21" i="9"/>
  <c r="D102" i="9"/>
  <c r="G19" i="9"/>
  <c r="B3" i="15"/>
  <c r="B38" i="72"/>
  <c r="D20" i="53"/>
  <c r="B40" i="72" s="1"/>
  <c r="I14" i="74"/>
  <c r="B8" i="74" s="1"/>
  <c r="D127" i="9"/>
  <c r="D13" i="52" s="1"/>
  <c r="D12" i="52"/>
  <c r="D20" i="9"/>
  <c r="G21" i="9" l="1"/>
  <c r="D103" i="9"/>
  <c r="G20" i="9"/>
  <c r="R24" i="84" s="1"/>
  <c r="C32" i="9"/>
  <c r="C35" i="9" s="1"/>
  <c r="F118" i="9" s="1"/>
  <c r="G118" i="9" s="1"/>
  <c r="G4" i="52" s="1"/>
  <c r="B52" i="72" s="1"/>
  <c r="F9" i="85"/>
  <c r="D8" i="74"/>
  <c r="C8" i="74"/>
  <c r="R30" i="84" l="1"/>
  <c r="S30" i="84" s="1"/>
  <c r="R26" i="84"/>
  <c r="S26" i="84" s="1"/>
  <c r="R25" i="84"/>
  <c r="S25" i="84" s="1"/>
  <c r="R27" i="84"/>
  <c r="S27" i="84" s="1"/>
  <c r="R28" i="84"/>
  <c r="S28" i="84" s="1"/>
  <c r="S24" i="84"/>
  <c r="R29" i="84"/>
  <c r="S29" i="84" s="1"/>
  <c r="H118" i="9"/>
  <c r="C104" i="9" s="1"/>
  <c r="F119" i="9"/>
  <c r="F5" i="52" s="1"/>
  <c r="B53" i="72" s="1"/>
  <c r="F4" i="52"/>
  <c r="B51" i="72" s="1"/>
  <c r="C34" i="9"/>
  <c r="D118" i="9" s="1"/>
  <c r="S22" i="84" l="1"/>
  <c r="B20" i="84" s="1"/>
  <c r="H8" i="85" s="1"/>
  <c r="I118" i="9"/>
  <c r="C105" i="9" s="1"/>
  <c r="H4" i="52"/>
  <c r="D14" i="74"/>
  <c r="F14" i="74" s="1"/>
  <c r="H119" i="9"/>
  <c r="H5" i="52" s="1"/>
  <c r="H101" i="9"/>
  <c r="M48" i="9" s="1"/>
  <c r="D119" i="9"/>
  <c r="D5" i="52" s="1"/>
  <c r="B49" i="72" s="1"/>
  <c r="D4" i="52"/>
  <c r="B47" i="72" s="1"/>
  <c r="R22" i="84" l="1"/>
  <c r="B21" i="84" s="1"/>
  <c r="H9" i="85" s="1"/>
  <c r="E9" i="85"/>
  <c r="G8" i="85"/>
  <c r="G9" i="85" s="1"/>
  <c r="B5" i="74"/>
  <c r="C5" i="74" s="1"/>
  <c r="H102" i="9"/>
  <c r="D7" i="53" s="1"/>
  <c r="B21" i="72" s="1"/>
  <c r="E118" i="9"/>
  <c r="E4" i="52" s="1"/>
  <c r="B48" i="72" s="1"/>
  <c r="I4" i="52"/>
  <c r="E14" i="74"/>
  <c r="D45" i="9"/>
  <c r="D53" i="9" s="1"/>
  <c r="D5" i="53"/>
  <c r="B20" i="72" s="1"/>
  <c r="H107" i="9"/>
  <c r="D13" i="53" s="1"/>
  <c r="D14" i="53" s="1"/>
  <c r="B32" i="72" s="1"/>
  <c r="D5" i="74"/>
  <c r="D55" i="9" l="1"/>
  <c r="M53" i="9" s="1"/>
  <c r="C78" i="9"/>
  <c r="C73" i="9" s="1"/>
  <c r="B30" i="72"/>
  <c r="C85" i="9"/>
  <c r="C93" i="9"/>
  <c r="C86" i="9" s="1"/>
  <c r="C72" i="9"/>
  <c r="C64" i="9"/>
  <c r="C63" i="9" s="1"/>
  <c r="C67" i="9" s="1"/>
  <c r="C68" i="9" s="1"/>
  <c r="D54" i="9" s="1"/>
  <c r="D6" i="53"/>
  <c r="B22" i="72" s="1"/>
  <c r="H108" i="9"/>
  <c r="D15" i="53" s="1"/>
  <c r="B31" i="72" s="1"/>
  <c r="D52" i="9"/>
  <c r="D122" i="9"/>
  <c r="D123" i="9" s="1"/>
  <c r="D9" i="52" s="1"/>
  <c r="M49" i="9"/>
  <c r="L65" i="9" s="1"/>
  <c r="M65" i="9" s="1"/>
  <c r="C79" i="9" l="1"/>
  <c r="G14" i="74"/>
  <c r="B6" i="74" s="1"/>
  <c r="D6" i="74" s="1"/>
  <c r="C95" i="9"/>
  <c r="L67" i="9"/>
  <c r="M67" i="9" s="1"/>
  <c r="L64" i="9"/>
  <c r="M64" i="9" s="1"/>
  <c r="L66" i="9"/>
  <c r="M66" i="9" s="1"/>
  <c r="D8" i="52"/>
  <c r="L68" i="9"/>
  <c r="M68" i="9" s="1"/>
  <c r="L63" i="9"/>
  <c r="M63" i="9" s="1"/>
  <c r="M69" i="9" l="1"/>
  <c r="N69" i="9" s="1"/>
  <c r="C80" i="9"/>
  <c r="E80" i="9" s="1"/>
  <c r="E81" i="9" s="1"/>
  <c r="C6" i="74"/>
  <c r="C96" i="9"/>
  <c r="E96" i="9" s="1"/>
  <c r="E97" i="9" s="1"/>
  <c r="C81" i="9" l="1"/>
  <c r="C97" i="9"/>
  <c r="D58" i="9" s="1"/>
  <c r="D56" i="9" s="1"/>
  <c r="M54" i="9" s="1"/>
  <c r="N57" i="9" s="1"/>
  <c r="P57" i="9" l="1"/>
  <c r="N58" i="9"/>
  <c r="N59" i="9"/>
  <c r="N61" i="9" l="1"/>
  <c r="N60" i="9"/>
  <c r="E4" i="85" l="1"/>
  <c r="E5" i="85" s="1"/>
  <c r="F4" i="85" l="1"/>
  <c r="F5" i="85" l="1"/>
  <c r="G4" i="85"/>
  <c r="K4" i="85" l="1"/>
  <c r="K5" i="85" s="1"/>
  <c r="G5" i="85"/>
  <c r="J4"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作者</author>
  </authors>
  <commentList>
    <comment ref="P5" authorId="0">
      <text>
        <r>
          <rPr>
            <b/>
            <sz val="9"/>
            <color indexed="81"/>
            <rFont val="宋体"/>
            <family val="3"/>
            <charset val="134"/>
          </rPr>
          <t>作者:</t>
        </r>
        <r>
          <rPr>
            <sz val="9"/>
            <color indexed="81"/>
            <rFont val="宋体"/>
            <family val="3"/>
            <charset val="134"/>
          </rPr>
          <t xml:space="preserve">
实际开业</t>
        </r>
        <r>
          <rPr>
            <sz val="9"/>
            <color indexed="81"/>
            <rFont val="Tahoma"/>
            <family val="2"/>
          </rPr>
          <t>2016.6.27</t>
        </r>
      </text>
    </comment>
    <comment ref="J7" authorId="0">
      <text>
        <r>
          <rPr>
            <b/>
            <sz val="9"/>
            <color indexed="81"/>
            <rFont val="宋体"/>
            <family val="3"/>
            <charset val="134"/>
          </rPr>
          <t>作者</t>
        </r>
        <r>
          <rPr>
            <b/>
            <sz val="9"/>
            <color indexed="81"/>
            <rFont val="Tahoma"/>
            <family val="2"/>
          </rPr>
          <t>:</t>
        </r>
        <r>
          <rPr>
            <sz val="9"/>
            <color indexed="81"/>
            <rFont val="Tahoma"/>
            <family val="2"/>
          </rPr>
          <t xml:space="preserve">
17#L201/L202/L203/L205/L206/L215/L216</t>
        </r>
      </text>
    </comment>
    <comment ref="C11" authorId="0">
      <text>
        <r>
          <rPr>
            <b/>
            <sz val="9"/>
            <color indexed="81"/>
            <rFont val="宋体"/>
            <family val="3"/>
            <charset val="134"/>
          </rPr>
          <t>作者:</t>
        </r>
        <r>
          <rPr>
            <sz val="9"/>
            <color indexed="81"/>
            <rFont val="宋体"/>
            <family val="3"/>
            <charset val="134"/>
          </rPr>
          <t xml:space="preserve">
合同有误，已退回招商部</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<sst xmlns="http://schemas.openxmlformats.org/spreadsheetml/2006/main" count="10036" uniqueCount="3716">
  <si>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</si>
  <si>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</si>
  <si>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</si>
  <si>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</si>
  <si>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</si>
  <si>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</si>
  <si>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</si>
  <si>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</si>
  <si>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</si>
  <si>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</si>
  <si>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</si>
  <si>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</si>
  <si>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</si>
  <si>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</si>
  <si>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</si>
  <si>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</si>
  <si>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</si>
  <si>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</si>
  <si>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</si>
  <si>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</si>
  <si>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</si>
  <si>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</si>
  <si>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</si>
  <si>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</si>
  <si>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</si>
  <si>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</si>
  <si>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</si>
  <si>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</si>
  <si>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</si>
  <si>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</si>
  <si>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</si>
  <si>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</si>
  <si>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</si>
  <si>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</si>
  <si>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</si>
  <si>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</si>
  <si>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</si>
  <si>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</si>
  <si>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</si>
  <si>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</si>
  <si>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</si>
  <si>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</si>
  <si>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</si>
  <si>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</si>
  <si>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</si>
  <si>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</si>
  <si>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</si>
  <si>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</si>
  <si>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</si>
  <si>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</si>
  <si>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</si>
  <si>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</si>
  <si>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</si>
  <si>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</si>
  <si>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</si>
  <si>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</si>
  <si>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</si>
  <si>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</si>
  <si>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</si>
  <si>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</si>
  <si>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</si>
  <si>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</si>
  <si>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</si>
  <si>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</si>
  <si>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</si>
  <si>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</si>
  <si>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</si>
  <si>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</si>
  <si>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</si>
  <si>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</si>
  <si>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</si>
  <si>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</si>
  <si>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</si>
  <si>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</si>
  <si>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</si>
  <si>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</si>
  <si>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</si>
  <si>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</si>
  <si>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</si>
  <si>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</si>
  <si>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</si>
  <si>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</si>
  <si>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</si>
  <si>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</si>
  <si>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</si>
  <si>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</si>
  <si>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</si>
  <si>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</si>
  <si>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</si>
  <si>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</si>
  <si>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</si>
  <si>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</si>
  <si>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</si>
  <si>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</si>
  <si>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</si>
  <si>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</si>
  <si>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</si>
  <si>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</si>
  <si>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</si>
  <si>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</si>
  <si>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</si>
  <si>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</si>
  <si>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</si>
  <si>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</si>
  <si>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</si>
  <si>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</si>
  <si>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</si>
  <si>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</si>
  <si>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</si>
  <si>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</si>
  <si>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</si>
  <si>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</si>
  <si>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</si>
  <si>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</si>
  <si>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</si>
  <si>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</si>
  <si>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</si>
  <si>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</si>
  <si>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</si>
  <si>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</si>
  <si>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</si>
  <si>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</si>
  <si>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</si>
  <si>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</si>
  <si>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</si>
  <si>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</si>
  <si>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</si>
  <si>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</si>
  <si>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</si>
  <si>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</si>
  <si>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</si>
  <si>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</si>
  <si>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</si>
  <si>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</si>
  <si>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</si>
  <si>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</si>
  <si>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</si>
  <si>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</si>
  <si>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</si>
  <si>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</si>
  <si>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</si>
  <si>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</si>
  <si>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</si>
  <si>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</si>
  <si>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</si>
  <si>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</si>
  <si>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</si>
  <si>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</si>
  <si>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</si>
  <si>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</si>
  <si>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</si>
  <si>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</si>
  <si>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</si>
  <si>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</si>
  <si>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</si>
  <si>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</si>
  <si>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</si>
  <si>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</si>
  <si>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</si>
  <si>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</si>
  <si>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</si>
  <si>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</si>
  <si>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</si>
  <si>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</si>
  <si>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</si>
  <si>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</si>
  <si>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</si>
  <si>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</si>
  <si>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</si>
  <si>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</si>
  <si>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</si>
  <si>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</si>
  <si>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</si>
  <si>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</si>
  <si>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</si>
  <si>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</si>
  <si>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</si>
  <si>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</si>
  <si>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</si>
  <si>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</si>
  <si>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</si>
  <si>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</si>
  <si>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</si>
  <si>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</si>
  <si>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</si>
  <si>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</si>
  <si>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</si>
  <si>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</si>
  <si>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</si>
  <si>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</si>
  <si>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</si>
  <si>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</si>
  <si>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</si>
  <si>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</si>
  <si>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</si>
  <si>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</si>
  <si>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</si>
  <si>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</si>
  <si>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</si>
  <si>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</si>
  <si>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</si>
  <si>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</si>
  <si>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</si>
  <si>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</si>
  <si>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</si>
  <si>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</si>
  <si>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</si>
  <si>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</si>
  <si>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</si>
  <si>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</si>
  <si>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</si>
  <si>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</si>
  <si>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</si>
  <si>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</si>
  <si>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</si>
  <si>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</si>
  <si>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</si>
  <si>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</si>
  <si>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</si>
  <si>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</si>
  <si>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</si>
  <si>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</si>
  <si>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</si>
  <si>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</si>
  <si>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</si>
  <si>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</si>
  <si>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</si>
  <si>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</si>
  <si>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</si>
  <si>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</si>
  <si>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</si>
  <si>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</si>
  <si>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</si>
  <si>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</si>
  <si>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</si>
  <si>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</si>
  <si>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</si>
  <si>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</si>
  <si>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</si>
  <si>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</si>
  <si>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</si>
  <si>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</si>
  <si>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</si>
  <si>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</si>
  <si>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</si>
  <si>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</si>
  <si>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</si>
  <si>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</si>
  <si>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</si>
  <si>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</si>
  <si>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</si>
  <si>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</si>
  <si>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</si>
  <si>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</si>
  <si>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</si>
  <si>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</si>
  <si>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</si>
  <si>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</si>
  <si>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</si>
  <si>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</si>
  <si>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</si>
  <si>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</si>
  <si>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</si>
  <si>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</si>
  <si>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</si>
  <si>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</si>
  <si>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</si>
  <si>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</si>
  <si>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</si>
  <si>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</si>
  <si>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</si>
  <si>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</si>
  <si>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</si>
  <si>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</si>
  <si>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</si>
  <si>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</si>
  <si>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</si>
  <si>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</si>
  <si>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</si>
  <si>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</si>
  <si>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</si>
  <si>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</si>
  <si>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</si>
  <si>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</si>
  <si>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</si>
  <si>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</si>
  <si>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</si>
  <si>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</si>
  <si>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</si>
  <si>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</si>
  <si>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</si>
  <si>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</si>
  <si>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</si>
  <si>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</si>
  <si>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</si>
  <si>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</si>
  <si>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</si>
  <si>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</si>
  <si>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</si>
  <si>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</si>
  <si>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</si>
  <si>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</si>
  <si>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</si>
  <si>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</si>
  <si>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</si>
  <si>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</si>
  <si>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</si>
  <si>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</si>
  <si>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</si>
  <si>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</si>
  <si>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</si>
  <si>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</si>
  <si>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</si>
  <si>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</si>
  <si>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</si>
  <si>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</si>
  <si>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</si>
  <si>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</si>
  <si>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</si>
  <si>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</si>
  <si>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</si>
  <si>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</si>
  <si>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</si>
  <si>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</si>
  <si>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</si>
  <si>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</si>
  <si>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</si>
  <si>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</si>
  <si>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</si>
  <si>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</si>
  <si>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</si>
  <si>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</si>
  <si>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</si>
  <si>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</si>
  <si>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</si>
  <si>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</si>
  <si>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</si>
  <si>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</si>
  <si>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</si>
  <si>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</si>
  <si>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</si>
  <si>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</si>
  <si>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</si>
  <si>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</si>
  <si>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</si>
  <si>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</si>
  <si>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</si>
  <si>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</si>
  <si>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</si>
  <si>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</si>
  <si>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</si>
  <si>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</si>
  <si>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</si>
  <si>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</si>
  <si>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</si>
  <si>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</si>
  <si>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</si>
  <si>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</si>
  <si>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</si>
  <si>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</si>
  <si>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</si>
  <si>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</si>
  <si>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</si>
  <si>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</si>
  <si>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</si>
  <si>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</si>
  <si>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</si>
  <si>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</si>
  <si>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</si>
  <si>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</si>
  <si>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</si>
  <si>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</si>
  <si>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</si>
  <si>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</si>
  <si>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</si>
  <si>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</si>
  <si>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</si>
  <si>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</si>
  <si>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</si>
  <si>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</si>
  <si>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</si>
  <si>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</si>
  <si>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</si>
  <si>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</si>
  <si>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</si>
  <si>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</si>
  <si>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</si>
  <si>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</si>
  <si>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</si>
  <si>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</si>
  <si>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</si>
  <si>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</si>
  <si>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</si>
  <si>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</si>
  <si>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</si>
  <si>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</si>
  <si>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</si>
  <si>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</si>
  <si>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</si>
  <si>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</si>
  <si>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</si>
  <si>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</si>
  <si>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</si>
  <si>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</si>
  <si>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</si>
  <si>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</si>
  <si>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</si>
  <si>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</si>
  <si>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</si>
  <si>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</si>
  <si>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</si>
  <si>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</si>
  <si>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</si>
  <si>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</si>
  <si>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</si>
  <si>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</si>
  <si>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</si>
  <si>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</si>
  <si>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</si>
  <si>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</si>
  <si>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</si>
  <si>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</si>
  <si>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</si>
  <si>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</si>
  <si>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</si>
  <si>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</si>
  <si>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</si>
  <si>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</si>
  <si>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</si>
  <si>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</si>
  <si>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</si>
  <si>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</si>
  <si>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</si>
  <si>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</si>
  <si>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</si>
  <si>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</si>
  <si>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</si>
  <si>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</si>
  <si>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</si>
  <si>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</si>
  <si>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</si>
  <si>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</si>
  <si>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</si>
  <si>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</si>
  <si>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</si>
  <si>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</si>
  <si>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</si>
  <si>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</si>
  <si>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</si>
  <si>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</si>
  <si>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</si>
  <si>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</si>
  <si>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</si>
  <si>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</si>
  <si>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</si>
  <si>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</si>
  <si>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</si>
  <si>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</si>
  <si>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</si>
  <si>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</si>
  <si>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</si>
  <si>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</si>
  <si>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</si>
  <si>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</si>
  <si>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</si>
  <si>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</si>
  <si>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</si>
  <si>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</si>
  <si>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</si>
  <si>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</si>
  <si>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</si>
  <si>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</si>
  <si>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</si>
  <si>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</si>
  <si>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</si>
  <si>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</si>
  <si>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</si>
  <si>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</si>
  <si>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</si>
  <si>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</si>
  <si>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</si>
  <si>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</si>
  <si>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</si>
  <si>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</si>
  <si>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</si>
  <si>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</si>
  <si>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</si>
  <si>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</si>
  <si>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</si>
  <si>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</si>
  <si>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</si>
  <si>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</si>
  <si>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</si>
  <si>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</si>
  <si>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</si>
  <si>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</si>
  <si>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</si>
  <si>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</si>
  <si>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</si>
  <si>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</si>
  <si>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</si>
  <si>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</si>
  <si>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</si>
  <si>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</si>
  <si>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</si>
  <si>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</si>
  <si>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</si>
  <si>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</si>
  <si>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</si>
  <si>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</si>
  <si>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</si>
  <si>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</si>
  <si>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</si>
  <si>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</si>
  <si>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</si>
  <si>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</si>
  <si>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</si>
  <si>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</si>
  <si>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</si>
  <si>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</si>
  <si>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</si>
  <si>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</si>
  <si>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</si>
  <si>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</si>
  <si>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</si>
  <si>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</si>
  <si>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</si>
  <si>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</si>
  <si>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</si>
  <si>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</si>
  <si>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</si>
  <si>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</si>
  <si>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</si>
  <si>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</si>
  <si>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</si>
  <si>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</si>
  <si>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</si>
  <si>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</si>
  <si>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</si>
  <si>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</si>
  <si>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</si>
  <si>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</si>
  <si>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</si>
  <si>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</si>
  <si>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</si>
  <si>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</si>
  <si>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</si>
  <si>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</si>
  <si>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</si>
  <si>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</si>
  <si>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</si>
  <si>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</si>
  <si>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</si>
  <si>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</si>
  <si>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</si>
  <si>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</si>
  <si>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</si>
  <si>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</si>
  <si>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</si>
  <si>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</si>
  <si>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</si>
  <si>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</si>
  <si>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</si>
  <si>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</si>
  <si>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</si>
  <si>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</si>
  <si>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</si>
  <si>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</si>
  <si>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</si>
  <si>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</si>
  <si>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</si>
  <si>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</si>
  <si>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</si>
  <si>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</si>
  <si>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</si>
  <si>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</si>
  <si>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</si>
  <si>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</si>
  <si>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</si>
  <si>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</si>
  <si>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</si>
  <si>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</si>
  <si>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</si>
  <si>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</si>
  <si>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</si>
  <si>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</si>
  <si>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</si>
  <si>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</si>
  <si>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</si>
  <si>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</si>
  <si>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</si>
  <si>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</si>
  <si>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</si>
  <si>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</si>
  <si>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</si>
  <si>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</si>
  <si>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</si>
  <si>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</si>
  <si>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</si>
  <si>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</si>
  <si>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</si>
  <si>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</si>
  <si>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</si>
  <si>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</si>
  <si>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</si>
  <si>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</si>
  <si>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</si>
  <si>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</si>
  <si>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</si>
  <si>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</si>
  <si>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</si>
  <si>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</si>
  <si>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</si>
  <si>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</si>
  <si>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</si>
  <si>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</si>
  <si>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</si>
  <si>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</si>
  <si>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</si>
  <si>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</si>
  <si>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</si>
  <si>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</si>
  <si>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</si>
  <si>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</si>
  <si>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</si>
  <si>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</si>
  <si>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</si>
  <si>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</si>
  <si>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</si>
  <si>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</si>
  <si>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</si>
  <si>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</si>
  <si>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</si>
  <si>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</si>
  <si>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</si>
  <si>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</si>
  <si>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</si>
  <si>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</si>
  <si>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</si>
  <si>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</si>
  <si>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</si>
  <si>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</si>
  <si>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</si>
  <si>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</si>
  <si>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</si>
  <si>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</si>
  <si>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</si>
  <si>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</si>
  <si>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</si>
  <si>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</si>
  <si>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</si>
  <si>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</si>
  <si>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</si>
  <si>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</si>
  <si>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</si>
  <si>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</si>
  <si>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</si>
  <si>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</si>
  <si>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</si>
  <si>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</si>
  <si>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</si>
  <si>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</si>
  <si>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</si>
  <si>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</si>
  <si>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</si>
  <si>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</si>
  <si>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</si>
  <si>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</si>
  <si>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</si>
  <si>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</si>
  <si>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</si>
  <si>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</si>
  <si>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</si>
  <si>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</si>
  <si>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</si>
  <si>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</si>
  <si>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</si>
  <si>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</si>
  <si>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</si>
  <si>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</si>
  <si>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</si>
  <si>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</si>
  <si>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</si>
  <si>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</si>
  <si>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</si>
  <si>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</si>
  <si>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</si>
  <si>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</si>
  <si>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</si>
  <si>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</si>
  <si>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</si>
  <si>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</si>
  <si>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</si>
  <si>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</si>
  <si>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</si>
  <si>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</si>
  <si>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</si>
  <si>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</si>
  <si>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</si>
  <si>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</si>
  <si>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</si>
  <si>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</si>
  <si>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</si>
  <si>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</si>
  <si>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</si>
  <si>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</si>
  <si>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</si>
  <si>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</si>
  <si>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</si>
  <si>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</si>
  <si>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</si>
  <si>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</si>
  <si>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</si>
  <si>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</si>
  <si>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</si>
  <si>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</si>
  <si>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</si>
  <si>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</si>
  <si>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</si>
  <si>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</si>
  <si>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</si>
  <si>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</si>
  <si>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</si>
  <si>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</si>
  <si>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</si>
  <si>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</si>
  <si>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</si>
  <si>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</si>
  <si>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</si>
  <si>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</si>
  <si>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</si>
  <si>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</si>
  <si>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</si>
  <si>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</si>
  <si>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</si>
  <si>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</si>
  <si>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</si>
  <si>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</si>
  <si>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</si>
  <si>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</si>
  <si>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</si>
  <si>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</si>
  <si>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</si>
  <si>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</si>
  <si>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</si>
  <si>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</si>
  <si>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</si>
  <si>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</si>
  <si>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</si>
  <si>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</si>
  <si>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</si>
  <si>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</si>
  <si>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</si>
  <si>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</si>
  <si>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</si>
  <si>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</si>
  <si>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</si>
  <si>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</si>
  <si>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</si>
  <si>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</si>
  <si>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</si>
  <si>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</si>
  <si>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</si>
  <si>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</si>
  <si>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</si>
  <si>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</si>
  <si>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</si>
  <si>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</si>
  <si>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</si>
  <si>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</si>
  <si>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</si>
  <si>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</si>
  <si>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</si>
  <si>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</si>
  <si>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</si>
  <si>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</si>
  <si>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</si>
  <si>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</si>
  <si>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</si>
  <si>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</si>
  <si>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</si>
  <si>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</si>
  <si>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</si>
  <si>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</si>
  <si>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</si>
  <si>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</si>
  <si>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</si>
  <si>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</si>
  <si>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</si>
  <si>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</si>
  <si>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</si>
  <si>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</si>
  <si>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</si>
  <si>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</si>
  <si>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</si>
  <si>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</si>
  <si>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</si>
  <si>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</si>
  <si>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</si>
  <si>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</si>
  <si>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</si>
  <si>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</si>
  <si>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</si>
  <si>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</si>
  <si>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</si>
  <si>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</si>
  <si>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</si>
  <si>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</si>
  <si>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</si>
  <si>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</si>
  <si>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</si>
  <si>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</si>
  <si>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</si>
  <si>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</si>
  <si>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</si>
  <si>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</si>
  <si>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</si>
  <si>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</si>
  <si>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</si>
  <si>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</si>
  <si>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</si>
  <si>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</si>
  <si>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</si>
  <si>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</si>
  <si>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</si>
  <si>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</si>
  <si>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</si>
  <si>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</si>
  <si>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</si>
  <si>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</si>
  <si>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</si>
  <si>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</si>
  <si>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</si>
  <si>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</si>
  <si>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</si>
  <si>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</si>
  <si>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</si>
  <si>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</si>
  <si>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</si>
  <si>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</si>
  <si>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</si>
  <si>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</si>
  <si>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</si>
  <si>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</si>
  <si>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</si>
  <si>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</si>
  <si>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</si>
  <si>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</si>
  <si>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</si>
  <si>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</si>
  <si>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</si>
  <si>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</si>
  <si>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</si>
  <si>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</si>
  <si>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</si>
  <si>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</si>
  <si>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</si>
  <si>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</si>
  <si>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</si>
  <si>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</si>
  <si>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</si>
  <si>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</si>
  <si>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</si>
  <si>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</si>
  <si>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</si>
  <si>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</si>
  <si>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</si>
  <si>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</si>
  <si>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</si>
  <si>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</si>
  <si>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</si>
  <si>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</si>
  <si>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</si>
  <si>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</si>
  <si>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</si>
  <si>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</si>
  <si>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</si>
  <si>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</si>
  <si>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</si>
  <si>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</si>
  <si>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</si>
  <si>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</si>
  <si>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</si>
  <si>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</si>
  <si>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</si>
  <si>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</si>
  <si>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</si>
  <si>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</si>
  <si>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</si>
  <si>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</si>
  <si>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</si>
  <si>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</si>
  <si>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</si>
  <si>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</si>
  <si>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</si>
  <si>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</si>
  <si>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</si>
  <si>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</si>
  <si>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</si>
  <si>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</si>
  <si>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</si>
  <si>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</si>
  <si>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</si>
  <si>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</si>
  <si>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</si>
  <si>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</si>
  <si>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</si>
  <si>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</si>
  <si>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</si>
  <si>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</si>
  <si>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</si>
  <si>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</si>
  <si>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</si>
  <si>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</si>
  <si>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</si>
  <si>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</si>
  <si>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</si>
  <si>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</si>
  <si>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</si>
  <si>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</si>
  <si>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</si>
  <si>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</si>
  <si>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</si>
  <si>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</si>
  <si>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</si>
  <si>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</si>
  <si>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</si>
  <si>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</si>
  <si>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</si>
  <si>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</si>
  <si>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</si>
  <si>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</si>
  <si>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</si>
  <si>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</si>
  <si>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</si>
  <si>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</si>
  <si>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</si>
  <si>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</si>
  <si>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</si>
  <si>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</si>
  <si>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</si>
  <si>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</si>
  <si>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</si>
  <si>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</si>
  <si>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</si>
  <si>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</si>
  <si>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</si>
  <si>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</si>
  <si>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</si>
  <si>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</si>
  <si>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</si>
  <si>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</si>
  <si>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</si>
  <si>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</si>
  <si>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</si>
  <si>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</si>
  <si>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</si>
  <si>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</si>
  <si>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</si>
  <si>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</si>
  <si>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</si>
  <si>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</si>
  <si>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</si>
  <si>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</si>
  <si>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</si>
  <si>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</si>
  <si>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</si>
  <si>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</si>
  <si>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</si>
  <si>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</si>
  <si>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</si>
  <si>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</si>
  <si>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</si>
  <si>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</si>
  <si>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</si>
  <si>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</si>
  <si>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</si>
  <si>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</si>
  <si>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</si>
  <si>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</si>
  <si>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</si>
  <si>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</si>
  <si>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</si>
  <si>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</si>
  <si>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</si>
  <si>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</si>
  <si>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</si>
  <si>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</si>
  <si>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</si>
  <si>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</si>
  <si>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</si>
  <si>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</si>
  <si>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</si>
  <si>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</si>
  <si>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</si>
  <si>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</si>
  <si>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</si>
  <si>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</si>
  <si>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</si>
  <si>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</si>
  <si>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</si>
  <si>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</si>
  <si>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</si>
  <si>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</si>
  <si>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</si>
  <si>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</si>
  <si>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</si>
  <si>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</si>
  <si>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</si>
  <si>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</si>
  <si>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</si>
  <si>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</si>
  <si>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</si>
  <si>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</si>
  <si>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</si>
  <si>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</si>
  <si>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</si>
  <si>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</si>
  <si>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</si>
  <si>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</si>
  <si>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</si>
  <si>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</si>
  <si>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</si>
  <si>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</si>
  <si>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</si>
  <si>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</si>
  <si>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</si>
  <si>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</si>
  <si>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</si>
  <si>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</si>
  <si>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</si>
  <si>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</si>
  <si>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</si>
  <si>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</si>
  <si>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</si>
  <si>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</si>
  <si>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</si>
  <si>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</si>
  <si>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</si>
  <si>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</si>
  <si>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</si>
  <si>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</si>
  <si>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</si>
  <si>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</si>
  <si>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</si>
  <si>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</si>
  <si>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</si>
  <si>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</si>
  <si>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</si>
  <si>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</si>
  <si>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</si>
  <si>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</si>
  <si>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</si>
  <si>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</si>
  <si>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</si>
  <si>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</si>
  <si>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</si>
  <si>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</si>
  <si>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</si>
  <si>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</si>
  <si>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</si>
  <si>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</si>
  <si>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</si>
  <si>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</si>
  <si>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</si>
  <si>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</si>
  <si>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</si>
  <si>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</si>
  <si>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</si>
  <si>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</si>
  <si>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</si>
  <si>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</si>
  <si>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</si>
  <si>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</si>
  <si>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</si>
  <si>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</si>
  <si>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</si>
  <si>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</si>
  <si>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</si>
  <si>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</si>
  <si>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</si>
  <si>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</si>
  <si>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</si>
  <si>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</si>
  <si>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</si>
  <si>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</si>
  <si>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</si>
  <si>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</si>
  <si>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</si>
  <si>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</si>
  <si>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</si>
  <si>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</si>
  <si>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</si>
  <si>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</si>
  <si>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</si>
  <si>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</si>
  <si>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</si>
  <si>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</si>
  <si>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</si>
  <si>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</si>
  <si>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</si>
  <si>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</si>
  <si>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</si>
  <si>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</si>
  <si>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</si>
  <si>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</si>
  <si>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</si>
  <si>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</si>
  <si>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</si>
  <si>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</si>
  <si>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</si>
  <si>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</si>
  <si>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</si>
  <si>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</si>
  <si>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</si>
  <si>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</si>
  <si>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</si>
  <si>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</si>
  <si>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</si>
  <si>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</si>
  <si>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</si>
  <si>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</si>
  <si>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</si>
  <si>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</si>
  <si>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</si>
  <si>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</si>
  <si>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</si>
  <si>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</si>
  <si>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</si>
  <si>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</si>
  <si>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</si>
  <si>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</si>
  <si>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</si>
  <si>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</si>
  <si>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</si>
  <si>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</si>
  <si>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</si>
  <si>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</si>
  <si>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</si>
  <si>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</si>
  <si>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</si>
  <si>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</si>
  <si>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</si>
  <si>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</si>
  <si>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</si>
  <si>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</si>
  <si>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</si>
  <si>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</si>
  <si>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</si>
  <si>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</si>
  <si>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</si>
  <si>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</si>
  <si>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</si>
  <si>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</si>
  <si>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</si>
  <si>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</si>
  <si>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</si>
  <si>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</si>
  <si>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</si>
  <si>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</si>
  <si>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</si>
  <si>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</si>
  <si>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</si>
  <si>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</si>
  <si>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</si>
  <si>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</si>
  <si>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</si>
  <si>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</si>
  <si>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</si>
  <si>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</si>
  <si>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</si>
  <si>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</si>
  <si>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</si>
  <si>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</si>
  <si>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</si>
  <si>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</si>
  <si>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</si>
  <si>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</si>
  <si>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</si>
  <si>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</si>
  <si>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</si>
  <si>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</si>
  <si>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</si>
  <si>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</si>
  <si>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</si>
  <si>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</si>
  <si>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</si>
  <si>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</si>
  <si>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</si>
  <si>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</si>
  <si>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</si>
  <si>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</si>
  <si>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</si>
  <si>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</si>
  <si>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</si>
  <si>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</si>
  <si>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</si>
  <si>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</si>
  <si>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</si>
  <si>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</si>
  <si>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</si>
  <si>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</si>
  <si>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</si>
  <si>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</si>
  <si>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</si>
  <si>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</si>
  <si>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</si>
  <si>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</si>
  <si>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</si>
  <si>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</si>
  <si>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</si>
  <si>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</si>
  <si>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</si>
  <si>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</si>
  <si>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</si>
  <si>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</si>
  <si>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</si>
  <si>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</si>
  <si>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</si>
  <si>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</si>
  <si>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</si>
  <si>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</si>
  <si>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</si>
  <si>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</si>
  <si>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</si>
  <si>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</si>
  <si>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</si>
  <si>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</si>
  <si>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</si>
  <si>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</si>
  <si>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</si>
  <si>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</si>
  <si>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</si>
  <si>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</si>
  <si>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</si>
  <si>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</si>
  <si>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</si>
  <si>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</si>
  <si>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</si>
  <si>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</si>
  <si>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</si>
  <si>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</si>
  <si>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</si>
  <si>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</si>
  <si>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</si>
  <si>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</si>
  <si>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</si>
  <si>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</si>
  <si>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</si>
  <si>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</si>
  <si>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</si>
  <si>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</si>
  <si>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</si>
  <si>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</si>
  <si>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</si>
  <si>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</si>
  <si>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</si>
  <si>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</si>
  <si>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</si>
  <si>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</si>
  <si>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</si>
  <si>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</si>
  <si>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</si>
  <si>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</si>
  <si>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</si>
  <si>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</si>
  <si>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</si>
  <si>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</si>
  <si>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</si>
  <si>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</si>
  <si>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</si>
  <si>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</si>
  <si>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</si>
  <si>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</si>
  <si>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</si>
  <si>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</si>
  <si>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</si>
  <si>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</si>
  <si>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</si>
  <si>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</si>
  <si>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</si>
  <si>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</si>
  <si>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</si>
  <si>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</si>
  <si>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</si>
  <si>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</si>
  <si>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</si>
  <si>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</si>
  <si>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</si>
  <si>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</si>
  <si>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</si>
  <si>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</si>
  <si>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</si>
  <si>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</si>
  <si>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</si>
  <si>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</si>
  <si>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</si>
  <si>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</si>
  <si>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</si>
  <si>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</si>
  <si>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</si>
  <si>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</si>
  <si>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</si>
  <si>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</si>
  <si>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</si>
  <si>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</si>
  <si>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</si>
  <si>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</si>
  <si>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</si>
  <si>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</si>
  <si>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</si>
  <si>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</si>
  <si>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</si>
  <si>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</si>
  <si>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</si>
  <si>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</si>
  <si>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</si>
  <si>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</si>
  <si>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</si>
  <si>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</si>
  <si>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</si>
  <si>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</si>
  <si>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</si>
  <si>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</si>
  <si>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</si>
  <si>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</si>
  <si>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</si>
  <si>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</si>
  <si>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</si>
  <si>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</si>
  <si>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</si>
  <si>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</si>
  <si>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</si>
  <si>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</si>
  <si>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</si>
  <si>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</si>
  <si>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</si>
  <si>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</si>
  <si>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</si>
  <si>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</si>
  <si>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</si>
  <si>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</si>
  <si>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</si>
  <si>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</si>
  <si>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</si>
  <si>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</si>
  <si>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</si>
  <si>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</si>
  <si>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</si>
  <si>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</si>
  <si>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</si>
  <si>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</si>
  <si>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</si>
  <si>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</si>
  <si>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</si>
  <si>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</si>
  <si>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</si>
  <si>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</si>
  <si>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</si>
  <si>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</si>
  <si>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</si>
  <si>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</si>
  <si>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</si>
  <si>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</si>
  <si>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</si>
  <si>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</si>
  <si>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</si>
  <si>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</si>
  <si>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</si>
  <si>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</si>
  <si>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</si>
  <si>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</si>
  <si>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</si>
  <si>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</si>
  <si>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</si>
  <si>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</si>
  <si>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</si>
  <si>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</si>
  <si>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</si>
  <si>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</si>
  <si>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</si>
  <si>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</si>
  <si>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</si>
  <si>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</si>
  <si>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</si>
  <si>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</si>
  <si>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</si>
  <si>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</si>
  <si>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</si>
  <si>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</si>
  <si>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</si>
  <si>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</si>
  <si>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</si>
  <si>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</si>
  <si>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</si>
  <si>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</si>
  <si>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</si>
  <si>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</si>
  <si>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</si>
  <si>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</si>
  <si>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</si>
  <si>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</si>
  <si>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</si>
  <si>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</si>
  <si>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</si>
  <si>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</si>
  <si>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</si>
  <si>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</si>
  <si>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</si>
  <si>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</si>
  <si>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</si>
  <si>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</si>
  <si>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</si>
  <si>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</si>
  <si>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</si>
  <si>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</si>
  <si>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</si>
  <si>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</si>
  <si>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</si>
  <si>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</si>
  <si>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</si>
  <si>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</si>
  <si>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</si>
  <si>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</si>
  <si>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</si>
  <si>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</si>
  <si>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</si>
  <si>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</si>
  <si>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</si>
  <si>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</si>
  <si>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</si>
  <si>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</si>
  <si>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</si>
  <si>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</si>
  <si>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</si>
  <si>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</si>
  <si>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</si>
  <si>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</si>
  <si>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</si>
  <si>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</si>
  <si>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</si>
  <si>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</si>
  <si>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</si>
  <si>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</si>
  <si>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</si>
  <si>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</si>
  <si>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</si>
  <si>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</si>
  <si>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</si>
  <si>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</si>
  <si>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</si>
  <si>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</si>
  <si>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</si>
  <si>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</si>
  <si>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</si>
  <si>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</si>
  <si>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</si>
  <si>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</si>
  <si>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</si>
  <si>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</si>
  <si>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</si>
  <si>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</si>
  <si>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</si>
  <si>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</si>
  <si>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</si>
  <si>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</si>
  <si>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</si>
  <si>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</si>
  <si>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</si>
  <si>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</si>
  <si>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</si>
  <si>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</si>
  <si>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</si>
  <si>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</si>
  <si>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</si>
  <si>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</si>
  <si>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</si>
  <si>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</si>
  <si>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</si>
  <si>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</si>
  <si>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</si>
  <si>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</si>
  <si>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</si>
  <si>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</si>
  <si>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</si>
  <si>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</si>
  <si>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</si>
  <si>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</si>
  <si>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</si>
  <si>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</si>
  <si>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</si>
  <si>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</si>
  <si>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</si>
  <si>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</si>
  <si>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</si>
  <si>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</si>
  <si>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</si>
  <si>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</si>
  <si>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</si>
  <si>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</si>
  <si>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</si>
  <si>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</si>
  <si>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</si>
  <si>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</si>
  <si>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</si>
  <si>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</si>
  <si>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</si>
  <si>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</si>
  <si>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</si>
  <si>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</si>
  <si>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</si>
  <si>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</si>
  <si>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</si>
  <si>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</si>
  <si>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</si>
  <si>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</si>
  <si>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</si>
  <si>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</si>
  <si>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</si>
  <si>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</si>
  <si>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</si>
  <si>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</si>
  <si>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</si>
  <si>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</si>
  <si>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</si>
  <si>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</si>
  <si>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</si>
  <si>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</si>
  <si>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</si>
  <si>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</si>
  <si>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</si>
  <si>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</si>
  <si>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</si>
  <si>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</si>
  <si>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</si>
  <si>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</si>
  <si>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</si>
  <si>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</si>
  <si>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</si>
  <si>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</si>
  <si>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</si>
  <si>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</si>
  <si>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</si>
  <si>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</si>
  <si>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</si>
  <si>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</si>
  <si>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</si>
  <si>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</si>
  <si>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</si>
  <si>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</si>
  <si>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</si>
  <si>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</si>
  <si>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</si>
  <si>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</si>
  <si>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</si>
  <si>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</si>
  <si>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</si>
  <si>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</si>
  <si>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</si>
  <si>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</si>
  <si>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</si>
  <si>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</si>
  <si>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</si>
  <si>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</si>
  <si>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</si>
  <si>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</si>
  <si>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</si>
  <si>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</si>
  <si>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</si>
  <si>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</si>
  <si>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</si>
  <si>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</si>
  <si>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</si>
  <si>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</si>
  <si>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</si>
  <si>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</si>
  <si>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</si>
  <si>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</si>
  <si>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</si>
  <si>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</si>
  <si>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</si>
  <si>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</si>
  <si>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</si>
  <si>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</si>
  <si>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</si>
  <si>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</si>
  <si>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</si>
  <si>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</si>
  <si>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</si>
  <si>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</si>
  <si>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</si>
  <si>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</si>
  <si>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</si>
  <si>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</si>
  <si>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</si>
  <si>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</si>
  <si>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</si>
  <si>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</si>
  <si>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</si>
  <si>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</si>
  <si>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</si>
  <si>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</si>
  <si>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</si>
  <si>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</si>
  <si>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</si>
  <si>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</si>
  <si>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</si>
  <si>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</si>
  <si>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</si>
  <si>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</si>
  <si>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</si>
  <si>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</si>
  <si>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</si>
  <si>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</si>
  <si>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</si>
  <si>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</si>
  <si>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</si>
  <si>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</si>
  <si>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</si>
  <si>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</si>
  <si>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</si>
  <si>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</si>
  <si>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</si>
  <si>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</si>
  <si>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</si>
  <si>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</si>
  <si>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</si>
  <si>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</si>
  <si>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</si>
  <si>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</si>
  <si>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</si>
  <si>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</si>
  <si>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</si>
  <si>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</si>
  <si>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</si>
  <si>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</si>
  <si>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</si>
  <si>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</si>
  <si>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</si>
  <si>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</si>
  <si>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</si>
  <si>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</si>
  <si>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</si>
  <si>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</si>
  <si>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</si>
  <si>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</si>
  <si>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</si>
  <si>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</si>
  <si>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</si>
  <si>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</si>
  <si>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</si>
  <si>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</si>
  <si>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</si>
  <si>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</si>
  <si>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</si>
  <si>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</si>
  <si>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</si>
  <si>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</si>
  <si>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</si>
  <si>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</si>
  <si>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</si>
  <si>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</si>
  <si>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</si>
  <si>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</si>
  <si>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</si>
  <si>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</si>
  <si>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</si>
  <si>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</si>
  <si>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</si>
  <si>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</si>
  <si>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</si>
  <si>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</si>
  <si>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</si>
  <si>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</si>
  <si>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</si>
  <si>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</si>
  <si>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</si>
  <si>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</si>
  <si>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</si>
  <si>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</si>
  <si>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</si>
  <si>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</si>
  <si>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</si>
  <si>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</si>
  <si>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</si>
  <si>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</si>
  <si>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</si>
  <si>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</si>
  <si>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</si>
  <si>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</si>
  <si>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</si>
  <si>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</si>
  <si>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</si>
  <si>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</si>
  <si>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</si>
  <si>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</si>
  <si>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</si>
  <si>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</si>
  <si>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</si>
  <si>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</si>
  <si>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</si>
  <si>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</si>
  <si>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</si>
  <si>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</si>
  <si>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</si>
  <si>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</si>
  <si>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</si>
  <si>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</si>
  <si>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</si>
  <si>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</si>
  <si>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</si>
  <si>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</si>
  <si>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</si>
  <si>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</si>
  <si>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</si>
  <si>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</si>
  <si>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</si>
  <si>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</si>
  <si>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</si>
  <si>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</si>
  <si>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</si>
  <si>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</si>
  <si>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</si>
  <si>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</si>
  <si>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</si>
  <si>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</si>
  <si>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</si>
  <si>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</si>
  <si>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</si>
  <si>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</si>
  <si>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</si>
  <si>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</si>
  <si>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</si>
  <si>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</si>
  <si>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</si>
  <si>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</si>
  <si>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</si>
  <si>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</si>
  <si>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</si>
  <si>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</si>
  <si>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</si>
  <si>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</si>
  <si>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</si>
  <si>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</si>
  <si>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</si>
  <si>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</si>
  <si>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</si>
  <si>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</si>
  <si>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</si>
  <si>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</si>
  <si>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</si>
  <si>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</si>
  <si>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</si>
  <si>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</si>
  <si>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</si>
  <si>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</si>
  <si>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</si>
  <si>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</si>
  <si>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</si>
  <si>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</si>
  <si>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</si>
  <si>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</si>
  <si>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</si>
  <si>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</si>
  <si>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</si>
  <si>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</si>
  <si>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</si>
  <si>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</si>
  <si>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</si>
  <si>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</si>
  <si>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</si>
  <si>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</si>
  <si>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</si>
  <si>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</si>
  <si>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</si>
  <si>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</si>
  <si>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</si>
  <si>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</si>
  <si>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</si>
  <si>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</si>
  <si>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</si>
  <si>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</si>
  <si>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</si>
  <si>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</si>
  <si>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</si>
  <si>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</si>
  <si>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</si>
  <si>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</si>
  <si>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</si>
  <si>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</si>
  <si>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</si>
  <si>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</si>
  <si>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</si>
  <si>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</si>
  <si>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</si>
  <si>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</si>
  <si>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</si>
  <si>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</si>
  <si>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</si>
  <si>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</si>
  <si>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</si>
  <si>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</si>
  <si>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</si>
  <si>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</si>
  <si>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</si>
  <si>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</si>
  <si>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</si>
  <si>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</si>
  <si>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</si>
  <si>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</si>
  <si>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</si>
  <si>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</si>
  <si>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</si>
  <si>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</si>
  <si>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</si>
  <si>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</si>
  <si>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</si>
  <si>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</si>
  <si>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</si>
  <si>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</si>
  <si>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</si>
  <si>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</si>
  <si>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</si>
  <si>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</si>
  <si>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</si>
  <si>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</si>
  <si>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</si>
  <si>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</si>
  <si>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</si>
  <si>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</si>
  <si>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</si>
  <si>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</si>
  <si>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</si>
  <si>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</si>
  <si>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</si>
  <si>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</si>
  <si>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</si>
  <si>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</si>
  <si>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</si>
  <si>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</si>
  <si>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</si>
  <si>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</si>
  <si>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</si>
  <si>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</si>
  <si>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</si>
  <si>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</si>
  <si>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</si>
  <si>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</si>
  <si>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</si>
  <si>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</si>
  <si>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</si>
  <si>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</si>
  <si>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</si>
  <si>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</si>
  <si>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</si>
  <si>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</si>
  <si>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</si>
  <si>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</si>
  <si>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</si>
  <si>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</si>
  <si>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</si>
  <si>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</si>
  <si>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</si>
  <si>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</si>
  <si>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</si>
  <si>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</si>
  <si>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</si>
  <si>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</si>
  <si>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</si>
  <si>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</si>
  <si>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</si>
  <si>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</si>
  <si>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</si>
  <si>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</si>
  <si>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</si>
  <si>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</si>
  <si>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</si>
  <si>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</si>
  <si>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</si>
  <si>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</si>
  <si>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</si>
  <si>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</si>
  <si>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</si>
  <si>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</si>
  <si>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</si>
  <si>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</si>
  <si>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</si>
  <si>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</si>
  <si>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</si>
  <si>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</si>
  <si>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</si>
  <si>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</si>
  <si>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</si>
  <si>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</si>
  <si>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</si>
  <si>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</si>
  <si>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</si>
  <si>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</si>
  <si>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</si>
  <si>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</si>
  <si>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</si>
  <si>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</si>
  <si>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</si>
  <si>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</si>
  <si>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</si>
  <si>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</si>
  <si>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</si>
  <si>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</si>
  <si>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</si>
  <si>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</si>
  <si>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</si>
  <si>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</si>
  <si>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</si>
  <si>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</si>
  <si>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</si>
  <si>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</si>
  <si>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</si>
  <si>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</si>
  <si>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</si>
  <si>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</si>
  <si>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</si>
  <si>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</si>
  <si>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</si>
  <si>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</si>
  <si>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</si>
  <si>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</si>
  <si>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</si>
  <si>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</si>
  <si>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</si>
  <si>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</si>
  <si>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</si>
  <si>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</si>
  <si>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</si>
  <si>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</si>
  <si>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</si>
  <si>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</si>
  <si>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</si>
  <si>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</si>
  <si>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</si>
  <si>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</si>
  <si>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</si>
  <si>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</si>
  <si>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</si>
  <si>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</si>
  <si>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</si>
  <si>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</si>
  <si>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</si>
  <si>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</si>
  <si>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</si>
  <si>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</si>
  <si>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</si>
  <si>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</si>
  <si>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</si>
  <si>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</si>
  <si>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</si>
  <si>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</si>
  <si>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</si>
  <si>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</si>
  <si>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</si>
  <si>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</si>
  <si>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</si>
  <si>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</si>
  <si>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</si>
  <si>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</si>
  <si>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</si>
  <si>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</si>
  <si>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</si>
  <si>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</si>
  <si>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</si>
  <si>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</si>
  <si>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</si>
  <si>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</si>
  <si>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</si>
  <si>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</si>
  <si>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</si>
  <si>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</si>
  <si>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</si>
  <si>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</si>
  <si>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</si>
  <si>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</si>
  <si>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</si>
  <si>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</si>
  <si>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</si>
  <si>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</si>
  <si>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</si>
  <si>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</si>
  <si>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</si>
  <si>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</si>
  <si>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</si>
  <si>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</si>
  <si>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</si>
  <si>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</si>
  <si>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</si>
  <si>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</si>
  <si>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</si>
  <si>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</si>
  <si>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</si>
  <si>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</si>
  <si>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</si>
  <si>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</si>
  <si>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</si>
  <si>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</si>
  <si>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</si>
  <si>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</si>
  <si>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</si>
  <si>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</si>
  <si>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</si>
  <si>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</si>
  <si>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</si>
  <si>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</si>
  <si>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</si>
  <si>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</si>
  <si>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</si>
  <si>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</si>
  <si>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</si>
  <si>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</si>
  <si>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</si>
  <si>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</si>
  <si>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</si>
  <si>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</si>
  <si>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</si>
  <si>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</si>
  <si>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</si>
  <si>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</si>
  <si>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</si>
  <si>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</si>
  <si>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</si>
  <si>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</si>
  <si>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</si>
  <si>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</si>
  <si>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</si>
  <si>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</si>
  <si>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</si>
  <si>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</si>
  <si>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</si>
  <si>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</si>
  <si>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</si>
  <si>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</si>
  <si>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</si>
  <si>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</si>
  <si>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</si>
  <si>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</si>
  <si>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</si>
  <si>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</si>
  <si>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</si>
  <si>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</si>
  <si>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</si>
  <si>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</si>
  <si>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</si>
  <si>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</si>
  <si>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</si>
  <si>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</si>
  <si>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</si>
  <si>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</si>
  <si>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</si>
  <si>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</si>
  <si>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</si>
  <si>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</si>
  <si>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</si>
  <si>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</si>
  <si>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</si>
  <si>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</si>
  <si>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</si>
  <si>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</si>
  <si>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</si>
  <si>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</si>
  <si>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</si>
  <si>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</si>
  <si>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</si>
  <si>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</si>
  <si>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</si>
  <si>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</si>
  <si>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</si>
  <si>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</si>
  <si>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</si>
  <si>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</si>
  <si>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</si>
  <si>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</si>
  <si>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</si>
  <si>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</si>
  <si>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</si>
  <si>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</si>
  <si>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</si>
  <si>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</si>
  <si>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</si>
  <si>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</si>
  <si>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</si>
  <si>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</si>
  <si>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</si>
  <si>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</si>
  <si>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</si>
  <si>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</si>
  <si>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</si>
  <si>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</si>
  <si>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</si>
  <si>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</si>
  <si>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</si>
  <si>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</si>
  <si>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</si>
  <si>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</si>
  <si>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</si>
  <si>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</si>
  <si>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</si>
  <si>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</si>
  <si>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</si>
  <si>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</si>
  <si>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</si>
  <si>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</si>
  <si>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</si>
  <si>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</si>
  <si>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</si>
  <si>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</si>
  <si>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</si>
  <si>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</si>
  <si>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</si>
  <si>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</si>
  <si>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</si>
  <si>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</si>
  <si>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</si>
  <si>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</si>
  <si>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</si>
  <si>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</si>
  <si>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</si>
  <si>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</si>
  <si>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</si>
  <si>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</si>
  <si>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</si>
  <si>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</si>
  <si>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</si>
  <si>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</si>
  <si>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</si>
  <si>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</si>
  <si>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</si>
  <si>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</si>
  <si>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</si>
  <si>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</si>
  <si>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</si>
  <si>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</si>
  <si>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</si>
  <si>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</si>
  <si>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</si>
  <si>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</si>
  <si>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</si>
  <si>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</si>
  <si>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</si>
  <si>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</si>
  <si>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</si>
  <si>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</si>
  <si>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</si>
  <si>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</si>
  <si>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</si>
  <si>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</si>
  <si>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</si>
  <si>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</si>
  <si>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</si>
  <si>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</si>
  <si>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</si>
  <si>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</si>
  <si>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</si>
  <si>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</si>
  <si>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</si>
  <si>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</si>
  <si>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</si>
  <si>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</si>
  <si>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</si>
  <si>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</si>
  <si>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</si>
  <si>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</si>
  <si>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</si>
  <si>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</si>
  <si>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</si>
  <si>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</si>
  <si>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</si>
  <si>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</si>
  <si>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</si>
  <si>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</si>
  <si>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</si>
  <si>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</si>
  <si>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</si>
  <si>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</si>
  <si>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</si>
  <si>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</si>
  <si>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</si>
  <si>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</si>
  <si>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</si>
  <si>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</si>
  <si>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</si>
  <si>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</si>
  <si>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</si>
  <si>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</si>
  <si>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</si>
  <si>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</si>
  <si>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</si>
  <si>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</si>
  <si>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</si>
  <si>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</si>
  <si>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</si>
  <si>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</si>
  <si>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</si>
  <si>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</si>
  <si>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</si>
  <si>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</si>
  <si>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</si>
  <si>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</si>
  <si>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</si>
  <si>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</si>
  <si>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</si>
  <si>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</si>
  <si>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</si>
  <si>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</si>
  <si>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</si>
  <si>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</si>
  <si>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</si>
  <si>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</si>
  <si>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</si>
  <si>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</si>
  <si>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</si>
  <si>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</si>
  <si>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</si>
  <si>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</si>
  <si>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</si>
  <si>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</si>
  <si>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</si>
  <si>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</si>
  <si>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</si>
  <si>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</si>
  <si>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</si>
  <si>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</si>
  <si>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</si>
  <si>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</si>
  <si>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</si>
  <si>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</si>
  <si>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</si>
  <si>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</si>
  <si>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</si>
  <si>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</si>
  <si>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</si>
  <si>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</si>
  <si>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</si>
  <si>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</si>
  <si>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</si>
  <si>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</si>
  <si>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</si>
  <si>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</si>
  <si>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</si>
  <si>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</si>
  <si>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</si>
  <si>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</si>
  <si>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</si>
  <si>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</si>
  <si>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</si>
  <si>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</si>
  <si>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</si>
  <si>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</si>
  <si>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</si>
  <si>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</si>
  <si>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</si>
  <si>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</si>
  <si>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</si>
  <si>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</si>
  <si>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</si>
  <si>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</si>
  <si>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</si>
  <si>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</si>
  <si>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</si>
  <si>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</si>
  <si>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</si>
  <si>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</si>
  <si>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</si>
  <si>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</si>
  <si>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</si>
  <si>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</si>
  <si>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</si>
  <si>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</si>
  <si>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</si>
  <si>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</si>
  <si>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</si>
  <si>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</si>
  <si>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</si>
  <si>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</si>
  <si>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</si>
  <si>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</si>
  <si>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</si>
  <si>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</si>
  <si>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</si>
  <si>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</si>
  <si>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</si>
  <si>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</si>
  <si>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</si>
  <si>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</si>
  <si>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</si>
  <si>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</si>
  <si>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</si>
  <si>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</si>
  <si>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</si>
  <si>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</si>
  <si>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</si>
  <si>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</si>
  <si>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</si>
  <si>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</si>
  <si>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</si>
  <si>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</si>
  <si>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</si>
  <si>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</si>
  <si>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</si>
  <si>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</si>
  <si>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</si>
  <si>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</si>
  <si>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</si>
  <si>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</si>
  <si>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</si>
  <si>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</si>
  <si>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</si>
  <si>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</si>
  <si>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</si>
  <si>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</si>
  <si>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</si>
  <si>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</si>
  <si>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</si>
  <si>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</si>
  <si>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</si>
  <si>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</si>
  <si>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</si>
  <si>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</si>
  <si>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</si>
  <si>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</si>
  <si>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</si>
  <si>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</si>
  <si>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</si>
  <si>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</si>
  <si>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</si>
  <si>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</si>
  <si>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</si>
  <si>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</si>
  <si>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</si>
  <si>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</si>
  <si>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</si>
  <si>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</si>
  <si>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</si>
  <si>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</si>
  <si>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</si>
  <si>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</si>
  <si>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</si>
  <si>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</si>
  <si>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</si>
  <si>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</si>
  <si>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</si>
  <si>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</si>
  <si>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</si>
  <si>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</si>
  <si>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</si>
  <si>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</si>
  <si>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</si>
  <si>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</si>
  <si>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</si>
  <si>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</si>
  <si>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</si>
  <si>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</si>
  <si>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</si>
  <si>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</si>
  <si>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</si>
  <si>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</si>
  <si>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</si>
  <si>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</si>
  <si>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</si>
  <si>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</si>
  <si>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</si>
  <si>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</si>
  <si>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</si>
  <si>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</si>
  <si>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</si>
  <si>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</si>
  <si>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</si>
  <si>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</si>
  <si>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</si>
  <si>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</si>
  <si>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</si>
  <si>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</si>
  <si>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</si>
  <si>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</si>
  <si>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</si>
  <si>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</si>
  <si>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</si>
  <si>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</si>
  <si>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</si>
  <si>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</si>
  <si>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</si>
  <si>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</si>
  <si>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</si>
  <si>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</si>
  <si>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</si>
  <si>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</si>
  <si>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</si>
  <si>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</si>
  <si>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</si>
  <si>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</si>
  <si>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</si>
  <si>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</si>
  <si>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</si>
  <si>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</si>
  <si>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</si>
  <si>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</si>
  <si>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</si>
  <si>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</si>
  <si>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</si>
  <si>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</si>
  <si>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</si>
  <si>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</si>
  <si>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</si>
  <si>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</si>
  <si>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</si>
  <si>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</si>
  <si>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</si>
  <si>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</si>
  <si>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</si>
  <si>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</si>
  <si>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</si>
  <si>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</si>
  <si>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</si>
  <si>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</si>
  <si>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</si>
  <si>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</si>
  <si>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</si>
  <si>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</si>
  <si>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</si>
  <si>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</si>
  <si>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</si>
  <si>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</si>
  <si>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</si>
  <si>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</si>
  <si>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</si>
  <si>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</si>
  <si>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</si>
  <si>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</si>
  <si>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</si>
  <si>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</si>
  <si>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</si>
  <si>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</si>
  <si>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</si>
  <si>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</si>
  <si>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</si>
  <si>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</si>
  <si>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</si>
  <si>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</si>
  <si>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</si>
  <si>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</si>
  <si>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</si>
  <si>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</si>
  <si>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</si>
  <si>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</si>
  <si>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</si>
  <si>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</si>
  <si>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</si>
  <si>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</si>
  <si>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</si>
  <si>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</si>
  <si>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</si>
  <si>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</si>
  <si>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</si>
  <si>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</si>
  <si>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</si>
  <si>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</si>
  <si>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</si>
  <si>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</si>
  <si>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</si>
  <si>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</si>
  <si>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</si>
  <si>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</si>
  <si>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</si>
  <si>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</si>
  <si>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</si>
  <si>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</si>
  <si>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</si>
  <si>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</si>
  <si>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</si>
  <si>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</si>
  <si>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</si>
  <si>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</si>
  <si>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</si>
  <si>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</si>
  <si>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</si>
  <si>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</si>
  <si>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</si>
  <si>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</si>
  <si>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</si>
  <si>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</si>
  <si>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</si>
  <si>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</si>
  <si>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</si>
  <si>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</si>
  <si>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</si>
  <si>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</si>
  <si>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</si>
  <si>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</si>
  <si>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</si>
  <si>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</si>
  <si>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</si>
  <si>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</si>
  <si>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</si>
  <si>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</si>
  <si>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</si>
  <si>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</si>
  <si>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</si>
  <si>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</si>
  <si>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</si>
  <si>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</si>
  <si>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</si>
  <si>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</si>
  <si>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</si>
  <si>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</si>
  <si>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</si>
  <si>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</si>
  <si>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</si>
  <si>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</si>
  <si>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</si>
  <si>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</si>
  <si>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</si>
  <si>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</si>
  <si>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</si>
  <si>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</si>
  <si>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</si>
  <si>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</si>
  <si>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</si>
  <si>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</si>
  <si>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</si>
  <si>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</si>
  <si>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</si>
  <si>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</si>
  <si>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</si>
  <si>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</si>
  <si>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</si>
  <si>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</si>
  <si>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</si>
  <si>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</si>
  <si>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</si>
  <si>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</si>
  <si>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</si>
  <si>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</si>
  <si>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</si>
  <si>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</si>
  <si>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</si>
  <si>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</si>
  <si>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</si>
  <si>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</si>
  <si>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</si>
  <si>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</si>
  <si>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</si>
  <si>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</si>
  <si>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</si>
  <si>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</si>
  <si>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</si>
  <si>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</si>
  <si>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</si>
  <si>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</si>
  <si>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</si>
  <si>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</si>
  <si>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</si>
  <si>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</si>
  <si>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</si>
  <si>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</si>
  <si>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</si>
  <si>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</si>
  <si>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</si>
  <si>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</si>
  <si>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</si>
  <si>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</si>
  <si>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</si>
  <si>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</si>
  <si>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</si>
  <si>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</si>
  <si>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</si>
  <si>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</si>
  <si>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</si>
  <si>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</si>
  <si>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</si>
  <si>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</si>
  <si>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</si>
  <si>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</si>
  <si>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</si>
  <si>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</si>
  <si>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</si>
  <si>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</si>
  <si>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</si>
  <si>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</si>
  <si>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</si>
  <si>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</si>
  <si>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</si>
  <si>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</si>
  <si>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</si>
  <si>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</si>
  <si>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</si>
  <si>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</si>
  <si>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</si>
  <si>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</si>
  <si>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</si>
  <si>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</si>
  <si>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</si>
  <si>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</si>
  <si>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</si>
  <si>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</si>
  <si>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</si>
  <si>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</si>
  <si>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</si>
  <si>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</si>
  <si>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</si>
  <si>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</si>
  <si>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</si>
  <si>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</si>
  <si>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</si>
  <si>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</si>
  <si>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</si>
  <si>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</si>
  <si>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</si>
  <si>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</si>
  <si>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</si>
  <si>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</si>
  <si>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</si>
  <si>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</si>
  <si>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</si>
  <si>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</si>
  <si>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</si>
  <si>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</si>
  <si>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</si>
  <si>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</si>
  <si>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</si>
  <si>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</si>
  <si>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</si>
  <si>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</si>
  <si>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</si>
  <si>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</si>
  <si>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</si>
  <si>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</si>
  <si>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</si>
  <si>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</si>
  <si>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</si>
  <si>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</si>
  <si>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</si>
  <si>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</si>
  <si>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</si>
  <si>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</si>
  <si>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</si>
  <si>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</si>
  <si>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</si>
  <si>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</si>
  <si>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</si>
  <si>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</si>
  <si>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</si>
  <si>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</si>
  <si>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</si>
  <si>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</si>
  <si>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</si>
  <si>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</si>
  <si>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</si>
  <si>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</si>
  <si>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</si>
  <si>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</si>
  <si>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</si>
  <si>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</si>
  <si>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</si>
  <si>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</si>
  <si>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</si>
  <si>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</si>
  <si>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</si>
  <si>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</si>
  <si>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</si>
  <si>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</si>
  <si>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</si>
  <si>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</si>
  <si>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</si>
  <si>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</si>
  <si>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</si>
  <si>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</si>
  <si>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</si>
  <si>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</si>
  <si>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</si>
  <si>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</si>
  <si>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</si>
  <si>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</si>
  <si>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</si>
  <si>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</si>
  <si>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</si>
  <si>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</si>
  <si>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</si>
  <si>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</si>
  <si>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</si>
  <si>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</si>
  <si>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</si>
  <si>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</si>
  <si>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</si>
  <si>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</si>
  <si>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</si>
  <si>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</si>
  <si>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</si>
  <si>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</si>
  <si>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</si>
  <si>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</si>
  <si>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</si>
  <si>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</si>
  <si>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</si>
  <si>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</si>
  <si>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</si>
  <si>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</si>
  <si>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</si>
  <si>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</si>
  <si>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</si>
  <si>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</si>
  <si>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</si>
  <si>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</si>
  <si>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</si>
  <si>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</si>
  <si>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</si>
  <si>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</si>
  <si>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</si>
  <si>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</si>
  <si>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</si>
  <si>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</si>
  <si>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</si>
  <si>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</si>
  <si>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</si>
  <si>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</si>
  <si>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</si>
  <si>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</si>
  <si>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</si>
  <si>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</si>
  <si>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</si>
  <si>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</si>
  <si>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</si>
  <si>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</si>
  <si>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</si>
  <si>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</si>
  <si>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</si>
  <si>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</si>
  <si>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</si>
  <si>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</si>
  <si>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</si>
  <si>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</si>
  <si>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</si>
  <si>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</si>
  <si>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</si>
  <si>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</si>
  <si>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</si>
  <si>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</si>
  <si>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</si>
  <si>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</si>
  <si>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</si>
  <si>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</si>
  <si>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</si>
  <si>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</si>
  <si>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</si>
  <si>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</si>
  <si>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</si>
  <si>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</si>
  <si>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</si>
  <si>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</si>
  <si>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</si>
  <si>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</si>
  <si>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</si>
  <si>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</si>
  <si>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</si>
  <si>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</si>
  <si>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</si>
  <si>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</si>
  <si>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</si>
  <si>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</si>
  <si>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</si>
  <si>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</si>
  <si>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</si>
  <si>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</si>
  <si>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</si>
  <si>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</si>
  <si>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</si>
  <si>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</si>
  <si>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</si>
  <si>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</si>
  <si>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</si>
  <si>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</si>
  <si>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</si>
  <si>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</si>
  <si>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</si>
  <si>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</si>
  <si>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</si>
  <si>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</si>
  <si>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</si>
  <si>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</si>
  <si>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</si>
  <si>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</si>
  <si>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</si>
  <si>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</si>
  <si>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</si>
  <si>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</si>
  <si>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</si>
  <si>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</si>
  <si>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</si>
  <si>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</si>
  <si>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</si>
  <si>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</si>
  <si>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</si>
  <si>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</si>
  <si>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</si>
  <si>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</si>
  <si>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</si>
  <si>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</si>
  <si>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</si>
  <si>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</si>
  <si>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</si>
  <si>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</si>
  <si>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</si>
  <si>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</si>
  <si>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</si>
  <si>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</si>
  <si>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</si>
  <si>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</si>
  <si>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</si>
  <si>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</si>
  <si>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</si>
  <si>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</si>
  <si>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</si>
  <si>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</si>
  <si>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</si>
  <si>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</si>
  <si>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</si>
  <si>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</si>
  <si>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</si>
  <si>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</si>
  <si>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</si>
  <si>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</si>
  <si>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</si>
  <si>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</si>
  <si>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</si>
  <si>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</si>
  <si>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</si>
  <si>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</si>
  <si>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</si>
  <si>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</si>
  <si>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</si>
  <si>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</si>
  <si>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</si>
  <si>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</si>
  <si>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</si>
  <si>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</si>
  <si>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</si>
  <si>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</si>
  <si>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</si>
  <si>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</si>
  <si>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</si>
  <si>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</si>
  <si>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</si>
  <si>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</si>
  <si>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</si>
  <si>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</si>
  <si>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</si>
  <si>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</si>
  <si>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</si>
  <si>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</si>
  <si>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</si>
  <si>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</si>
  <si>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</si>
  <si>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</si>
  <si>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</si>
  <si>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</si>
  <si>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</si>
  <si>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</si>
  <si>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</si>
  <si>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</si>
  <si>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</si>
  <si>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</si>
  <si>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</si>
  <si>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</si>
  <si>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</si>
  <si>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</si>
  <si>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</si>
  <si>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</si>
  <si>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</si>
  <si>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</si>
  <si>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</si>
  <si>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</si>
  <si>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</si>
  <si>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</si>
  <si>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</si>
  <si>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</si>
  <si>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</si>
  <si>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</si>
  <si>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</si>
  <si>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</si>
  <si>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</si>
  <si>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</si>
  <si>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</si>
  <si>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</si>
  <si>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</si>
  <si>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</si>
  <si>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</si>
  <si>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</si>
  <si>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</si>
  <si>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</si>
  <si>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</si>
  <si>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</si>
  <si>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</si>
  <si>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</si>
  <si>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</si>
  <si>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</si>
  <si>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</si>
  <si>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</si>
  <si>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</si>
  <si>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</si>
  <si>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</si>
  <si>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</si>
  <si>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</si>
  <si>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</si>
  <si>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</si>
  <si>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</si>
  <si>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</si>
  <si>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</si>
  <si>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</si>
  <si>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</si>
  <si>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</si>
  <si>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</si>
  <si>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</si>
  <si>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</si>
  <si>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</si>
  <si>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</si>
  <si>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</si>
  <si>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</si>
  <si>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</si>
  <si>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</si>
  <si>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</si>
  <si>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</si>
  <si>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</si>
  <si>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</si>
  <si>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</si>
  <si>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</si>
  <si>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</si>
  <si>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</si>
  <si>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</si>
  <si>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</si>
  <si>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</si>
  <si>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</si>
  <si>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</si>
  <si>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</si>
  <si>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</si>
  <si>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</si>
  <si>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</si>
  <si>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</si>
  <si>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</si>
  <si>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</si>
  <si>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</si>
  <si>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</si>
  <si>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</si>
  <si>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</si>
  <si>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</si>
  <si>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</si>
  <si>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</si>
  <si>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</si>
  <si>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</si>
  <si>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</si>
  <si>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</si>
  <si>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</si>
  <si>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</si>
  <si>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</si>
  <si>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</si>
  <si>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</si>
  <si>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</si>
  <si>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</si>
  <si>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</si>
  <si>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</si>
  <si>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</si>
  <si>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</si>
  <si>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</si>
  <si>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</si>
  <si>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</si>
  <si>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</si>
  <si>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</si>
  <si>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</si>
  <si>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</si>
  <si>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</si>
  <si>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</si>
  <si>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</si>
  <si>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</si>
  <si>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</si>
  <si>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</si>
  <si>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</si>
  <si>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</si>
  <si>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</si>
  <si>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</si>
  <si>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</si>
  <si>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</si>
  <si>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</si>
  <si>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</si>
  <si>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</si>
  <si>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</si>
  <si>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</si>
  <si>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</si>
  <si>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</si>
  <si>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</si>
  <si>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</si>
  <si>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</si>
  <si>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</si>
  <si>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</si>
  <si>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</si>
  <si>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</si>
  <si>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</si>
  <si>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</si>
  <si>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</si>
  <si>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</si>
  <si>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</si>
  <si>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</si>
  <si>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</si>
  <si>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</si>
  <si>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</si>
  <si>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</si>
  <si>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</si>
  <si>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</si>
  <si>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</si>
  <si>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</si>
  <si>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</si>
  <si>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</si>
  <si>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</si>
  <si>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</si>
  <si>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</si>
  <si>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</si>
  <si>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</si>
  <si>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</si>
  <si>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</si>
  <si>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</si>
  <si>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</si>
  <si>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</si>
  <si>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</si>
  <si>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</si>
  <si>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</si>
  <si>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</si>
  <si>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</si>
  <si>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</si>
  <si>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</si>
  <si>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</si>
  <si>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</si>
  <si>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</si>
  <si>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</si>
  <si>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</si>
  <si>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</si>
  <si>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</si>
  <si>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</si>
  <si>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</si>
  <si>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</si>
  <si>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</si>
  <si>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</si>
  <si>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</si>
  <si>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</si>
  <si>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t>2</t>
    </r>
    <r>
      <rPr>
        <sz val="11"/>
        <color theme="1"/>
        <rFont val="宋体"/>
        <family val="3"/>
        <charset val="134"/>
        <scheme val="minor"/>
      </rPr>
      <t>1#楼</t>
    </r>
    <phoneticPr fontId="205" type="noConversion"/>
  </si>
  <si>
    <r>
      <t>1</t>
    </r>
    <r>
      <rPr>
        <sz val="11"/>
        <color theme="1"/>
        <rFont val="宋体"/>
        <family val="3"/>
        <charset val="134"/>
        <scheme val="minor"/>
      </rPr>
      <t>3#</t>
    </r>
    <phoneticPr fontId="205" type="noConversion"/>
  </si>
  <si>
    <t>楼层</t>
    <phoneticPr fontId="205" type="noConversion"/>
  </si>
  <si>
    <r>
      <t>1</t>
    </r>
    <r>
      <rPr>
        <sz val="11"/>
        <color theme="1"/>
        <rFont val="宋体"/>
        <family val="3"/>
        <charset val="134"/>
        <scheme val="minor"/>
      </rPr>
      <t>5号楼</t>
    </r>
    <phoneticPr fontId="205" type="noConversion"/>
  </si>
  <si>
    <r>
      <t>1</t>
    </r>
    <r>
      <rPr>
        <sz val="11"/>
        <color theme="1"/>
        <rFont val="宋体"/>
        <family val="3"/>
        <charset val="134"/>
        <scheme val="minor"/>
      </rPr>
      <t>9#楼</t>
    </r>
    <phoneticPr fontId="205" type="noConversion"/>
  </si>
  <si>
    <t>8号楼</t>
    <phoneticPr fontId="205" type="noConversion"/>
  </si>
  <si>
    <r>
      <t>1</t>
    </r>
    <r>
      <rPr>
        <sz val="11"/>
        <color theme="1"/>
        <rFont val="宋体"/>
        <family val="3"/>
        <charset val="134"/>
        <scheme val="minor"/>
      </rPr>
      <t>0号楼</t>
    </r>
    <phoneticPr fontId="205" type="noConversion"/>
  </si>
  <si>
    <t>5号楼</t>
    <phoneticPr fontId="205" type="noConversion"/>
  </si>
  <si>
    <t>坐落</t>
  </si>
  <si>
    <t>权证编号</t>
  </si>
  <si>
    <t>面积（㎡）/数量（个数）</t>
    <phoneticPr fontId="205" type="noConversion"/>
  </si>
  <si>
    <t>楼号</t>
    <phoneticPr fontId="205" type="noConversion"/>
  </si>
  <si>
    <t>楼层</t>
    <phoneticPr fontId="205" type="noConversion"/>
  </si>
  <si>
    <t>晋安区岳峰镇竹屿路6号（原连江北路与化工路交叉处）东二环泰禾城市广场（二期）地下室地下1层236商铺</t>
  </si>
  <si>
    <t>闽（2016）福州市不动产权第0011099号</t>
  </si>
  <si>
    <t>地下</t>
    <phoneticPr fontId="205" type="noConversion"/>
  </si>
  <si>
    <t>地下</t>
    <phoneticPr fontId="205" type="noConversion"/>
  </si>
  <si>
    <t>普拉那、水秀广场</t>
    <phoneticPr fontId="205" type="noConversion"/>
  </si>
  <si>
    <t>晋安区岳峰镇竹屿路6号（原连江北路与化工路交叉处）东二环泰禾城市广场（二期）地下室地下1层238商铺</t>
  </si>
  <si>
    <t>闽（2016）福州市不动产权第0011603号</t>
  </si>
  <si>
    <t>晋安区岳峰镇竹屿路6号（原连江北路与化工路交叉处）东二环泰禾城市广场（二期）地下室地下1层239商铺</t>
  </si>
  <si>
    <t>闽（2016）福州市不动产权第0012658号</t>
  </si>
  <si>
    <t>晋安区岳峰镇竹屿路6号（原连江北路与化工路交叉处）东二环泰禾城市广场（二期）地下室地下1层272商铺</t>
  </si>
  <si>
    <t>闽（2016）福州市不动产权第0012653号</t>
  </si>
  <si>
    <t>晋安区岳峰镇竹屿路6号（原连江北路与化工路交叉处）东二环泰禾城市广场（二期）地下室地下1层273商铺</t>
  </si>
  <si>
    <t>闽（2016）福州市不动产权第0007720号</t>
  </si>
  <si>
    <t>晋安区岳峰镇竹屿路6号（原连江北路与化工路交叉处）东二环泰禾城市广场（二期）地下室地下1层275商铺</t>
  </si>
  <si>
    <t>闽（2016）福州市不动产权第0008955号</t>
  </si>
  <si>
    <t>晋安区岳峰镇竹屿路6号（原连江北路与化工路交叉处）东二环泰禾城市广场（二期）地下室地下1层276商铺</t>
  </si>
  <si>
    <t>闽（2016）福州市不动产权第0012649号</t>
  </si>
  <si>
    <t>晋安区岳峰镇竹屿路6号（原连江北路与化工路交叉处）东二环泰禾城市广场（二期）地下室地下1层277商铺</t>
    <phoneticPr fontId="205" type="noConversion"/>
  </si>
  <si>
    <t>闽（2016）福州市不动产权第0012642号</t>
  </si>
  <si>
    <t>晋安区岳峰镇竹屿路6号（原连江北路与化工路交叉处）东二环泰禾城市广场（二期）地下室地下1层278商铺</t>
  </si>
  <si>
    <t>闽（2016）福州市不动产权第0010304号</t>
  </si>
  <si>
    <t>晋安区岳峰镇竹屿路6号（原连江北路与化工路交叉处）东二环泰禾城市广场（二期）地下室地下1层279商铺</t>
  </si>
  <si>
    <t>闽（2016）福州市不动产权第0012651号</t>
  </si>
  <si>
    <t>晋安区岳峰镇竹屿路6号（原连江北路与化工路交叉处）东二环泰禾城市广场（二期）地下室地下1层280商铺</t>
  </si>
  <si>
    <t>闽（2016）福州市不动产权第0007904号</t>
  </si>
  <si>
    <t>晋安区岳峰镇竹屿路6号（原连江北路与化工路交叉处）东二环泰禾城市广场（二期）地下室地下1层281商铺</t>
  </si>
  <si>
    <t>闽（2016）福州市不动产权第0012643号</t>
  </si>
  <si>
    <t>晋安区岳峰镇竹屿路6号（原连江北路与化工路交叉处）东二环泰禾城市广场（二期）地下室地下1层282商铺</t>
  </si>
  <si>
    <t>闽（2016）福州市不动产权第0011088号</t>
  </si>
  <si>
    <t>晋安区岳峰镇竹屿路6号（原连江北路与化工路交叉处）东二环泰禾城市广场（二期）地下室地下1层283商铺</t>
  </si>
  <si>
    <t>闽（2016）福州市不动产权第0007718号</t>
  </si>
  <si>
    <t>晋安区岳峰镇竹屿路6号（原连江北路与化工路交叉处）东二环泰禾城市广场（二期）地下室地下1层285商铺</t>
  </si>
  <si>
    <t>闽（2016）福州市不动产权第0011612号</t>
  </si>
  <si>
    <t>晋安区岳峰镇竹屿路6号（原连江北路与化工路交叉处）东二环泰禾城市广场（二期）地下室地下1层286商铺</t>
  </si>
  <si>
    <t>闽（2016）福州市不动产权第0011079号</t>
  </si>
  <si>
    <t>晋安区岳峰镇竹屿路6号（原连江北路与化工路交叉处）东二环泰禾城市广场（二期）地下室地下1层287商铺</t>
  </si>
  <si>
    <t>闽（2016）福州市不动产权第0012647号</t>
  </si>
  <si>
    <t>晋安区岳峰镇竹屿路6号（原连江北路与化工路交叉处）东二环泰禾城市广场（二期）地下室地下1层288商铺</t>
  </si>
  <si>
    <t>闽（2016）福州市不动产权第0011606号</t>
  </si>
  <si>
    <t>晋安区岳峰镇竹屿路6号（原连江北路与化工路交叉处）东二环泰禾城市广场（二期）地下室地下1层289商铺</t>
  </si>
  <si>
    <t>闽（2016）福州市不动产权第0011609号</t>
  </si>
  <si>
    <t>晋安区岳峰镇竹屿路6号（原连江北路与化工路交叉处）东二环泰禾城市广场（二期）地下室地下1层290商铺</t>
  </si>
  <si>
    <t>闽（2016）福州市不动产权第0011091号</t>
  </si>
  <si>
    <t>晋安区岳峰镇竹屿路6号（原连江北路与化工路交叉处）东二环泰禾城市广场（二期）地下室地下1层291商铺</t>
  </si>
  <si>
    <t>闽（2016）福州市不动产权第0012665号</t>
  </si>
  <si>
    <t>晋安区岳峰镇竹屿路6号（原连江北路与化工路交叉处）东二环泰禾城市广场（二期）地下室地下1层296商铺</t>
  </si>
  <si>
    <t>闽（2016）福州市不动产权第0012656号</t>
  </si>
  <si>
    <t>晋安区岳峰镇竹屿路6号（原连江北路与化工路交叉处）东二环泰禾城市广场（二期）地下室地下1层300商铺</t>
  </si>
  <si>
    <t>闽（2016）福州市不动产权第0007888号</t>
  </si>
  <si>
    <t>晋安区岳峰镇竹屿路6号（原连江北路与化工路交叉处）东二环泰禾城市广场（二期）地下室地下1层301商铺</t>
  </si>
  <si>
    <t>闽（2016）福州市不动产权第0011085号</t>
  </si>
  <si>
    <t>晋安区岳峰镇竹屿路6号（原连江北路与化工路交叉处）东二环泰禾城市广场（二期）地下室地下1层302商铺</t>
  </si>
  <si>
    <t>闽（2016）福州市不动产权第0011086号</t>
  </si>
  <si>
    <t>晋安区岳峰镇竹屿路6号（原连江北路与化工路交叉处）东二环泰禾城市广场（二期）地下室地下1层303商铺</t>
  </si>
  <si>
    <t>闽（2016）福州市不动产权第0007902号</t>
  </si>
  <si>
    <t>晋安区岳峰镇竹屿路6号（原连江北路与化工路交叉处）东二环泰禾城市广场（二期）地下室地下1层305商铺</t>
  </si>
  <si>
    <t>闽（2016）福州市不动产权第0012646号</t>
  </si>
  <si>
    <t>晋安区岳峰镇竹屿路6号（原连江北路与化工路交叉处）东二环泰禾城市广场（二期）地下室地下1层313商铺</t>
  </si>
  <si>
    <t>闽（2016）福州市不动产权第0012639号</t>
  </si>
  <si>
    <t>晋安区岳峰镇竹屿路6号（原连江北路与化工路交叉处）东二环泰禾城市广场（二期）地下室地下1层319商铺</t>
  </si>
  <si>
    <t>闽（2016）福州市不动产权第0012645号</t>
  </si>
  <si>
    <t>晋安区岳峰镇竹屿路6号（原连江北路与化工路交叉处）东二环泰禾城市广场（二期）地下室地下1层328商铺</t>
  </si>
  <si>
    <t>闽（2016）福州市不动产权第0011084号</t>
  </si>
  <si>
    <t>晋安区岳峰镇竹屿路6号（原连江北路与化工路交叉处）东二环泰禾城市广场（二期）地下室地下1层336商铺</t>
  </si>
  <si>
    <t>闽（2016）福州市不动产权第0011083号</t>
  </si>
  <si>
    <t>晋安区岳峰镇竹屿路6号（原连江北路与化工路交叉处）东二环泰禾城市广场（二期）地下室地下1层337商铺</t>
  </si>
  <si>
    <t>闽（2016）福州市不动产权第0011082号</t>
  </si>
  <si>
    <t>晋安区岳峰镇竹屿路6号（原连江北路与化工路交叉处）东二环泰禾城市广场（二期）地下室地下1层340商铺</t>
  </si>
  <si>
    <t>闽（2016）福州市不动产权第0011081号</t>
  </si>
  <si>
    <t>晋安区岳峰镇竹屿路6号（原连江北路与化工路交叉处）东二环泰禾城市广场（二期）地下室地下1层341商铺</t>
  </si>
  <si>
    <t>闽（2016）福州市不动产权第0011078号</t>
  </si>
  <si>
    <t>晋安区岳峰镇竹屿路6号（原连江北路与化工路交叉处）东二环泰禾城市广场（二期）地下室地下1层345商铺</t>
  </si>
  <si>
    <t>闽（2016）福州市不动产权第0012655号</t>
  </si>
  <si>
    <t>晋安区岳峰镇竹屿路6号（原连江北路与化工路交叉处）东二环泰禾城市广场（二期）地下室地下1层346商铺</t>
  </si>
  <si>
    <t>闽（2016）福州市不动产权第0012641号</t>
  </si>
  <si>
    <t>晋安区岳峰镇竹屿路6号（原连江北路与化工路交叉处）东二环泰禾城市广场（二期）地下室地下1层347商铺</t>
  </si>
  <si>
    <t>闽（2016）福州市不动产权第0011601号</t>
  </si>
  <si>
    <t>晋安区岳峰镇竹屿路6号（原连江北路与化工路交叉处）东二环泰禾城市广场（二期）地下室地下1层348商铺</t>
  </si>
  <si>
    <t>闽（2016）福州市不动产权第0011080号</t>
  </si>
  <si>
    <t>晋安区岳峰镇竹屿路6号（原连江北路与化工路交叉处）东二环泰禾城市广场（二期）地下室地下1层349商铺</t>
  </si>
  <si>
    <t>闽（2016）福州市不动产权第0012668号</t>
  </si>
  <si>
    <t>晋安区岳峰镇竹屿路6号（原连江北路与化工路交叉处）东二环泰禾城市广场（二期）地下室地下1层362商铺</t>
  </si>
  <si>
    <t>闽（2016）福州市不动产权第0007900号</t>
  </si>
  <si>
    <t>晋安区岳峰镇竹屿路6号（原连江北路与化工路交叉处）东二环泰禾城市广场（二期）13#楼1层12商铺、2层12商铺</t>
  </si>
  <si>
    <t>闽（2016）福州市不动产权第0010613号</t>
  </si>
  <si>
    <t>13#</t>
    <phoneticPr fontId="205" type="noConversion"/>
  </si>
  <si>
    <t>1-2层</t>
    <phoneticPr fontId="205" type="noConversion"/>
  </si>
  <si>
    <t>1-2层</t>
    <phoneticPr fontId="205" type="noConversion"/>
  </si>
  <si>
    <t>晋安区岳峰镇竹屿路6号（原连江北路与化工路交叉处）东二环泰禾城市广场（二期）13#楼3层06商铺</t>
  </si>
  <si>
    <t>闽（2016）福州市不动产权第0011600号</t>
  </si>
  <si>
    <t>3层</t>
    <phoneticPr fontId="205" type="noConversion"/>
  </si>
  <si>
    <t>晋安区岳峰镇竹屿路6号（原连江北路与化工路交叉处）东二环泰禾城市广场（二期）13#楼1层18商铺、2层18商铺</t>
  </si>
  <si>
    <t>闽（2016）福州市不动产权第0010110号</t>
  </si>
  <si>
    <t>晋安区岳峰镇竹屿路6号（原连江北路与化工路交叉处）东二环泰禾城市广场（二期）13#楼3层11商铺</t>
  </si>
  <si>
    <t>闽（2016）福州市不动产权第0010621号</t>
  </si>
  <si>
    <t>晋安区岳峰镇竹屿路6号（原连江北路与化工路交叉处）东二环泰禾城市广场（二期）13#楼3层12商铺（含管理用房）</t>
  </si>
  <si>
    <t>闽（2016）福州市不动产权第0010111号</t>
  </si>
  <si>
    <t>晋安区岳峰镇竹屿路6号（原连江北路与化工路交叉处）东二环泰禾城市广场（二期）13#楼1层23商铺</t>
  </si>
  <si>
    <t>闽（2016）福州市不动产权第0011364号</t>
  </si>
  <si>
    <t>晋安区岳峰镇竹屿路6号（原连江北路与化工路交叉处）东二环泰禾城市广场（二期）13#楼1层25商铺</t>
  </si>
  <si>
    <t>闽（2016）福州市不动产权第0011360号</t>
  </si>
  <si>
    <t>晋安区岳峰镇竹屿路6号（原连江北路与化工路交叉处）东二环泰禾城市广场（二期）15#楼1层27商铺</t>
  </si>
  <si>
    <t>闽（2016）福州市不动产权第0007714号</t>
  </si>
  <si>
    <r>
      <t>15</t>
    </r>
    <r>
      <rPr>
        <i/>
        <sz val="9"/>
        <color theme="1"/>
        <rFont val="宋体"/>
        <family val="3"/>
        <charset val="134"/>
        <scheme val="minor"/>
      </rPr>
      <t>#</t>
    </r>
    <phoneticPr fontId="205" type="noConversion"/>
  </si>
  <si>
    <t>晋安区岳峰镇竹屿路6号（原连江北路与化工路交叉处）东二环泰禾城市广场（二期）16#楼1层01商铺、2层01商铺</t>
  </si>
  <si>
    <t>闽（2016）福州市不动产权第0010617号</t>
  </si>
  <si>
    <r>
      <t>16</t>
    </r>
    <r>
      <rPr>
        <i/>
        <sz val="9"/>
        <color theme="1"/>
        <rFont val="宋体"/>
        <family val="3"/>
        <charset val="134"/>
        <scheme val="minor"/>
      </rPr>
      <t>#</t>
    </r>
    <phoneticPr fontId="205" type="noConversion"/>
  </si>
  <si>
    <t>晋安区岳峰镇竹屿路6号（原连江北路与化工路交叉处）东二环泰禾城市广场（二期）16#楼1层02商铺、2层02商铺</t>
  </si>
  <si>
    <t>闽（2016）福州市不动产权第0010119号</t>
  </si>
  <si>
    <t>晋安区岳峰镇竹屿路6号（原连江北路与化工路交叉处）东二环泰禾城市广场（二期）16#楼1层03商铺、2层03商铺</t>
  </si>
  <si>
    <t>闽（2016）福州市不动产权第0011843号</t>
  </si>
  <si>
    <t>晋安区岳峰镇竹屿路6号（原连江北路与化工路交叉处）东二环泰禾城市广场（二期）16#楼1层05商铺、2层05商铺</t>
  </si>
  <si>
    <t>闽（2016）福州市不动产权第0010118号</t>
  </si>
  <si>
    <t>晋安区岳峰镇竹屿路6号（原连江北路与化工路交叉处）东二环泰禾城市广场（二期）16#楼1层06商铺、2层06商铺</t>
  </si>
  <si>
    <t>闽（2016）福州市不动产权第0010114号</t>
  </si>
  <si>
    <t>晋安区岳峰镇竹屿路6号（原连江北路与化工路交叉处）东二环泰禾城市广场（二期）16#楼1层07商铺、2层07商铺</t>
  </si>
  <si>
    <t>闽（2016）福州市不动产权第0010616号</t>
  </si>
  <si>
    <t>晋安区岳峰镇竹屿路6号（原连江北路与化工路交叉处）东二环泰禾城市广场（二期）16#楼1层08商铺</t>
  </si>
  <si>
    <t>闽（2016）福州市不动产权第9003882号</t>
  </si>
  <si>
    <t>晋安区岳峰镇竹屿路6号（原连江北路与化工路交叉处）东二环泰禾城市广场（二期）16#楼1层09商铺</t>
  </si>
  <si>
    <t>闽（2016）福州市不动产权第9003883号</t>
  </si>
  <si>
    <t>晋安区岳峰镇竹屿路6号（原连江北路与化工路交叉处）东二环泰禾城市广场（二期）16#楼1层10商铺</t>
  </si>
  <si>
    <t>闽（2016）福州市不动产权第9003881号</t>
  </si>
  <si>
    <t>晋安区岳峰镇竹屿路6号（原连江北路与化工路交叉处）东二环泰禾城市广场（二期）16#楼1层11商铺</t>
  </si>
  <si>
    <t>闽（2016）福州市不动产权第0007355号</t>
  </si>
  <si>
    <t>晋安区岳峰镇竹屿路6号（原连江北路与化工路交叉处）东二环泰禾城市广场（二期）16#楼1层12商铺</t>
  </si>
  <si>
    <t>闽（2016）福州市不动产权第0007539号</t>
  </si>
  <si>
    <t>晋安区岳峰镇竹屿路6号（原连江北路与化工路交叉处）东二环泰禾城市广场（二期）16#楼1层13商铺</t>
  </si>
  <si>
    <t>闽（2016）福州市不动产权第0011387号</t>
  </si>
  <si>
    <t>晋安区岳峰镇竹屿路6号（原连江北路与化工路交叉处）东二环泰禾城市广场（二期）16#楼2层08商铺</t>
  </si>
  <si>
    <t>闽（2016）福州市不动产权第0011383号</t>
  </si>
  <si>
    <t>晋安区岳峰镇竹屿路6号（原连江北路与化工路交叉处）东二环泰禾城市广场（二期）16#楼2层09商铺</t>
  </si>
  <si>
    <t>闽（2016）福州市不动产权第0012670号</t>
  </si>
  <si>
    <t>晋安区岳峰镇竹屿路6号（原连江北路与化工路交叉处）东二环泰禾城市广场（二期）16#楼2层10商铺</t>
  </si>
  <si>
    <t>闽（2016）福州市不动产权第0011380号</t>
  </si>
  <si>
    <t>晋安区岳峰镇竹屿路6号（原连江北路与化工路交叉处）东二环泰禾城市广场（二期）16#楼2层11商铺</t>
  </si>
  <si>
    <t>闽（2016）福州市不动产权第0011279号</t>
  </si>
  <si>
    <t>晋安区岳峰镇竹屿路6号（原连江北路与化工路交叉处）东二环泰禾城市广场（二期）16#楼2层12商铺</t>
  </si>
  <si>
    <t>闽（2016）福州市不动产权第0011263号</t>
  </si>
  <si>
    <t>晋安区岳峰镇竹屿路6号（原连江北路与化工路交叉处）东二环泰禾城市广场（二期）16#楼2层13商铺</t>
  </si>
  <si>
    <t>闽（2016）福州市不动产权第0011259号</t>
  </si>
  <si>
    <t>晋安区岳峰镇竹屿路6号（原连江北路与化工路交叉处）东二环泰禾城市广场（二期）16#楼2层15商铺</t>
  </si>
  <si>
    <t>闽（2016）福州市不动产权第0011593号</t>
  </si>
  <si>
    <t>晋安区岳峰镇竹屿路6号（原连江北路与化工路交叉处）东二环泰禾城市广场（二期）17#楼1层01商铺</t>
  </si>
  <si>
    <t>闽（2016）福州市不动产权第0010620号</t>
  </si>
  <si>
    <r>
      <t>17</t>
    </r>
    <r>
      <rPr>
        <i/>
        <sz val="9"/>
        <color theme="1"/>
        <rFont val="宋体"/>
        <family val="3"/>
        <charset val="134"/>
        <scheme val="minor"/>
      </rPr>
      <t>#</t>
    </r>
    <phoneticPr fontId="205" type="noConversion"/>
  </si>
  <si>
    <t>基准</t>
    <phoneticPr fontId="205" type="noConversion"/>
  </si>
  <si>
    <t>晋安区岳峰镇竹屿路6号（原连江北路与化工路交叉处）东二环泰禾城市广场（二期）17#楼1层02商铺</t>
  </si>
  <si>
    <t>闽（2016）福州市不动产权第0012858号</t>
  </si>
  <si>
    <t>晋安区岳峰镇竹屿路6号（原连江北路与化工路交叉处）东二环泰禾城市广场（二期）17#楼1层03商铺</t>
  </si>
  <si>
    <t>闽（2016）福州市不动产权第0012652号</t>
  </si>
  <si>
    <t>晋安区岳峰镇竹屿路6号（原连江北路与化工路交叉处）东二环泰禾城市广场（二期）17#楼1层05商铺</t>
  </si>
  <si>
    <t>闽（2016）福州市不动产权第0012856号</t>
  </si>
  <si>
    <t>晋安区岳峰镇竹屿路6号（原连江北路与化工路交叉处）东二环泰禾城市广场（二期）17#楼1层06商铺</t>
  </si>
  <si>
    <t>闽（2016）福州市不动产权第0010610号</t>
  </si>
  <si>
    <t>晋安区岳峰镇竹屿路6号（原连江北路与化工路交叉处）东二环泰禾城市广场（二期）17#楼1层07商铺</t>
  </si>
  <si>
    <t>闽（2016）福州市不动产权第0011427号</t>
  </si>
  <si>
    <t>晋安区岳峰镇竹屿路6号（原连江北路与化工路交叉处）东二环泰禾城市广场（二期）17#楼1层08商铺</t>
  </si>
  <si>
    <t>闽（2016）福州市不动产权第0011379号</t>
  </si>
  <si>
    <t>晋安区岳峰镇竹屿路6号（原连江北路与化工路交叉处）东二环泰禾城市广场（二期）17#楼2层01商铺</t>
  </si>
  <si>
    <t>闽（2016）福州市不动产权第0011373号</t>
  </si>
  <si>
    <t>晋安区岳峰镇竹屿路6号（原连江北路与化工路交叉处）东二环泰禾城市广场（二期）17#楼2层02商铺</t>
  </si>
  <si>
    <t>闽（2016）福州市不动产权第0011378号</t>
  </si>
  <si>
    <t>晋安区岳峰镇竹屿路6号（原连江北路与化工路交叉处）东二环泰禾城市广场（二期）17#楼2层03商铺</t>
  </si>
  <si>
    <t>闽（2016）福州市不动产权第0011374号</t>
  </si>
  <si>
    <t>晋安区岳峰镇竹屿路6号（原连江北路与化工路交叉处）东二环泰禾城市广场（二期）17#楼2层05商铺</t>
  </si>
  <si>
    <t>闽（2016）福州市不动产权第0011375号</t>
  </si>
  <si>
    <t>晋安区岳峰镇竹屿路6号（原连江北路与化工路交叉处）东二环泰禾城市广场（二期）17#楼2层06商铺</t>
  </si>
  <si>
    <t>闽（2016）福州市不动产权第0011376号</t>
  </si>
  <si>
    <t>晋安区岳峰镇竹屿路6号（原连江北路与化工路交叉处）东二环泰禾城市广场（二期）17#楼2层07商铺</t>
  </si>
  <si>
    <t>闽（2016）福州市不动产权第0008779号</t>
  </si>
  <si>
    <t>晋安区岳峰镇竹屿路6号（原连江北路与化工路交叉处）东二环泰禾城市广场（二期）17#楼2层08商铺</t>
  </si>
  <si>
    <t>闽（2016）福州市不动产权第0008774号</t>
  </si>
  <si>
    <t>晋安区岳峰镇竹屿路6号（原连江北路与化工路交叉处）东二环泰禾城市广场（二期）17#楼2层09商铺</t>
  </si>
  <si>
    <t>闽（2016）福州市不动产权第0008938号</t>
  </si>
  <si>
    <t>晋安区岳峰镇竹屿路6号（原连江北路与化工路交叉处）东二环泰禾城市广场（二期）17#楼2层10商铺</t>
  </si>
  <si>
    <t>闽（2016）福州市不动产权第0009166号</t>
  </si>
  <si>
    <t>晋安区岳峰镇竹屿路6号（原连江北路与化工路交叉处）东二环泰禾城市广场（二期）17#楼2层11商铺</t>
  </si>
  <si>
    <t>闽（2016）福州市不动产权第0011369号</t>
  </si>
  <si>
    <t>晋安区岳峰镇竹屿路6号（原连江北路与化工路交叉处）东二环泰禾城市广场（二期）17#楼2层12商铺</t>
  </si>
  <si>
    <t>闽（2016）福州市不动产权第0010619号</t>
  </si>
  <si>
    <t>晋安区岳峰镇竹屿路6号（原连江北路与化工路交叉处）东二环泰禾城市广场（二期）17#楼2层13商铺</t>
  </si>
  <si>
    <t>闽（2016）福州市不动产权第0011371号</t>
  </si>
  <si>
    <t>晋安区岳峰镇竹屿路6号（原连江北路与化工路交叉处）东二环泰禾城市广场（二期）17#楼2层15商铺</t>
  </si>
  <si>
    <t>闽（2016）福州市不动产权第0011370号</t>
  </si>
  <si>
    <t>晋安区岳峰镇竹屿路6号（原连江北路与化工路交叉处）东二环泰禾城市广场（二期）17#楼2层16商铺</t>
  </si>
  <si>
    <t>闽（2016）福州市不动产权第0011366号</t>
  </si>
  <si>
    <t>晋安区岳峰镇竹屿路6号（原连江北路与化工路交叉处）东二环泰禾城市广场（二期）19#楼1层07商铺</t>
  </si>
  <si>
    <t>闽（2016）福州市不动产权第0011384号</t>
  </si>
  <si>
    <r>
      <t>19</t>
    </r>
    <r>
      <rPr>
        <i/>
        <sz val="9"/>
        <color theme="1"/>
        <rFont val="宋体"/>
        <family val="3"/>
        <charset val="134"/>
        <scheme val="minor"/>
      </rPr>
      <t>#</t>
    </r>
    <phoneticPr fontId="205" type="noConversion"/>
  </si>
  <si>
    <t>晋安区岳峰镇竹屿路6号（原连江北路与化工路交叉处）东二环泰禾城市广场（二期）12#楼1层13商铺、2层13商铺、3层05商铺</t>
  </si>
  <si>
    <t>闽（2016）福州市不动产权第0010614号</t>
  </si>
  <si>
    <t>12#</t>
    <phoneticPr fontId="205" type="noConversion"/>
  </si>
  <si>
    <t>1-3层</t>
    <phoneticPr fontId="205" type="noConversion"/>
  </si>
  <si>
    <t>晋安区岳峰镇竹屿路6号（原连江北路与化工路交叉处）东二环泰禾城市广场（二期）12#楼1层15商铺、2层15商铺、3层03商铺</t>
  </si>
  <si>
    <t>闽（2016）福州市不动产权第0012676号</t>
  </si>
  <si>
    <t>别墅商业</t>
    <phoneticPr fontId="205" type="noConversion"/>
  </si>
  <si>
    <t>晋安区岳峰镇竹屿路6号（原连江北路与化工路交叉处）东二环泰禾城市广场（二期）12#楼1层16商铺、2层16商铺、3层02商铺</t>
  </si>
  <si>
    <t>闽（2016）福州市不动产权第0010615号</t>
  </si>
  <si>
    <t>晋安区岳峰镇竹屿路6号（原连江北路与化工路交叉处）东二环泰禾城市广场（二期）12#楼1层17商铺、2层17商铺、3层01商铺</t>
  </si>
  <si>
    <t>闽（2016）福州市不动产权第0012672号</t>
  </si>
  <si>
    <t>晋安区岳峰镇竹屿路6号（原连江北路与化工路交叉处）东二环泰禾城市广场（二期）20#楼1层07商铺</t>
  </si>
  <si>
    <t>闽（2016）福州市不动产权第0012857号</t>
  </si>
  <si>
    <t>20#</t>
    <phoneticPr fontId="205" type="noConversion"/>
  </si>
  <si>
    <t>晋安区岳峰镇竹屿路6号（原连江北路与化工路交叉处）东二环泰禾城市广场（二期）20#楼1层09商铺、2层12商铺、3层05商铺</t>
  </si>
  <si>
    <t>闽（2016）福州市不动产权第0009173号</t>
  </si>
  <si>
    <t>晋安区岳峰镇竹屿路6号（原连江北路与化工路交叉处）东二环泰禾城市广场（二期）20#楼1层10商铺、2层13商铺、3层03商铺</t>
  </si>
  <si>
    <t>闽（2016）福州市不动产权第0008773号</t>
  </si>
  <si>
    <t>晋安区岳峰镇竹屿路6号（原连江北路与化工路交叉处）东二环泰禾城市广场（二期）21#楼1层03商铺</t>
  </si>
  <si>
    <t>闽（2016）福州市不动产权第0012661号</t>
  </si>
  <si>
    <r>
      <t>21</t>
    </r>
    <r>
      <rPr>
        <i/>
        <sz val="9"/>
        <color theme="1"/>
        <rFont val="宋体"/>
        <family val="3"/>
        <charset val="134"/>
        <scheme val="minor"/>
      </rPr>
      <t>#</t>
    </r>
    <phoneticPr fontId="205" type="noConversion"/>
  </si>
  <si>
    <t>晋安区岳峰镇竹屿路6号（原连江北路与化工路交叉处）东二环泰禾城市广场（二期）21#楼1层12商铺</t>
  </si>
  <si>
    <t>闽（2016）福州市不动产权第0011098号</t>
  </si>
  <si>
    <t>晋安区岳峰镇竹屿路6号（原连江北路与化工路交叉处）东二环泰禾城市广场（二期）21#楼1层16商铺、2层17商铺、3层07商铺</t>
  </si>
  <si>
    <t>闽（2016）福州市不动产权第0011092号</t>
  </si>
  <si>
    <t>晋安区岳峰镇竹屿路6号（原连江北路与化工路交叉处）东二环泰禾城市广场（二期）21#楼1层17商铺、2层18商铺、3层06商铺</t>
  </si>
  <si>
    <t>闽（2016）福州市不动产权第0007898号</t>
  </si>
  <si>
    <t>晋安区岳峰镇竹屿路6号（原连江北路与化工路交叉处）东二环泰禾城市广场（二期）21#楼1层18商铺、2层19商铺、3层05商铺</t>
  </si>
  <si>
    <t>闽（2016）福州市不动产权第0012657号</t>
  </si>
  <si>
    <t>晋安区岳峰镇竹屿路6号（原连江北路与化工路交叉处）东二环泰禾城市广场（二期）21#楼1层19商铺、2层20商铺、3层03商铺</t>
  </si>
  <si>
    <t>闽（2016）福州市不动产权第0012650号</t>
  </si>
  <si>
    <t>晋安区岳峰镇竹屿路6号（原连江北路与化工路交叉处）东二环泰禾城市广场（二期）21#楼1层20商铺、2层21商铺、3层01、02商铺</t>
  </si>
  <si>
    <t>闽（2016）福州市不动产权第0012664号</t>
  </si>
  <si>
    <t>晋安区岳峰镇横屿路17号（原连江北路与化工路交叉处）东二环泰禾城市广场（一期）7#楼1层02商业（餐饮），2层02商业服务用房（餐饮）</t>
  </si>
  <si>
    <t>榕房权证FZ字第15047531号</t>
    <phoneticPr fontId="205" type="noConversion"/>
  </si>
  <si>
    <t>7#</t>
    <phoneticPr fontId="205" type="noConversion"/>
  </si>
  <si>
    <t>晋安区岳峰镇横屿路17号（原连江北路与化工路交叉处）东二环泰禾城市广场（一期）7#楼1层1层06商业（餐饮），2层06商业服务用房（餐饮）</t>
  </si>
  <si>
    <t>榕房权证FZ字第15047226号</t>
  </si>
  <si>
    <t>晋安区岳峰镇横屿路23号（原连江北路与化工路交叉处）东二环泰禾城市广场（一期）10#楼1层02商业（餐饮），2层02商业服务用房（餐饮）</t>
  </si>
  <si>
    <t>榕房权证FZ字第15047224号</t>
  </si>
  <si>
    <t>10#</t>
    <phoneticPr fontId="205" type="noConversion"/>
  </si>
  <si>
    <t>晋安区岳峰镇横屿路23号（原连江北路与化工路交叉处）东二环泰禾城市广场（一期）10#楼1层1层05商业（餐饮），2层05商业服务用房（餐饮）</t>
    <phoneticPr fontId="205" type="noConversion"/>
  </si>
  <si>
    <t>榕房权证FZ字第15047225号</t>
  </si>
  <si>
    <t>晋安区岳峰镇横屿路23号（原连江北路与化工路交叉处）东二环泰禾城市广场（一期）10#楼1层1层06商业（餐饮），2层06商业服务用房（餐饮）</t>
  </si>
  <si>
    <t>榕房权证FZ字第15047228号</t>
  </si>
  <si>
    <t>晋安区岳峰镇横屿路23号（原连江北路与化工路交叉处）东二环泰禾城市广场（一期）10#楼1层1层07商业（餐饮），2层07商业服务用房（餐饮）</t>
  </si>
  <si>
    <t>榕房权证FZ字第15047227号</t>
  </si>
  <si>
    <t>晋安区岳峰镇横屿路23号（原连江北路与化工路交叉处）东二环泰禾城市广场（一期）10#楼1层17商业（餐饮），2层17商业服务用房（餐饮）</t>
  </si>
  <si>
    <t>榕房权证FZ字第15047318号</t>
  </si>
  <si>
    <t>晋安区岳峰镇竹屿路6号（原连江北路与化工路交叉处）东二环泰禾城市广场（二期）地下室地下2层001-360车位</t>
  </si>
  <si>
    <t>闽（2016）福州市不动产权第9009762号</t>
  </si>
  <si>
    <t>360个</t>
    <phoneticPr fontId="205" type="noConversion"/>
  </si>
  <si>
    <t>晋安区岳峰镇竹屿路6号（原连江北路与化工路交叉处）东二环泰禾城市广场（二期）地下室地下2层361-710车位</t>
  </si>
  <si>
    <t>闽（2016）福州市不动产权第9012524号</t>
  </si>
  <si>
    <t>350个</t>
    <phoneticPr fontId="205" type="noConversion"/>
  </si>
  <si>
    <t>合同号</t>
    <phoneticPr fontId="3" type="noConversion"/>
  </si>
  <si>
    <t>铺位类型</t>
    <phoneticPr fontId="262" type="noConversion"/>
  </si>
  <si>
    <t>类型</t>
    <phoneticPr fontId="262" type="noConversion"/>
  </si>
  <si>
    <t>收到合同原件</t>
  </si>
  <si>
    <t>是否有物管合同</t>
    <phoneticPr fontId="262" type="noConversion"/>
  </si>
  <si>
    <t>是否POS专用收银系统租用协议</t>
    <phoneticPr fontId="262" type="noConversion"/>
  </si>
  <si>
    <t>楼层</t>
  </si>
  <si>
    <t>品牌</t>
    <phoneticPr fontId="262" type="noConversion"/>
  </si>
  <si>
    <t>业态</t>
  </si>
  <si>
    <t>铺位
（铺号）</t>
  </si>
  <si>
    <t>租赁面积</t>
    <phoneticPr fontId="262" type="noConversion"/>
  </si>
  <si>
    <t>计租面积</t>
    <phoneticPr fontId="262" type="noConversion"/>
  </si>
  <si>
    <t>承租方</t>
  </si>
  <si>
    <t>品类</t>
  </si>
  <si>
    <t>计租方式</t>
    <phoneticPr fontId="262" type="noConversion"/>
  </si>
  <si>
    <t>合同起始日</t>
    <phoneticPr fontId="262" type="noConversion"/>
  </si>
  <si>
    <t>合同终止日</t>
  </si>
  <si>
    <t>合同期限
（年）</t>
    <phoneticPr fontId="262" type="noConversion"/>
  </si>
  <si>
    <t>扣率</t>
  </si>
  <si>
    <t>月平租金</t>
    <phoneticPr fontId="205" type="noConversion"/>
  </si>
  <si>
    <t>年租金</t>
    <phoneticPr fontId="205" type="noConversion"/>
  </si>
  <si>
    <t>ZL-00052</t>
  </si>
  <si>
    <t>自持</t>
    <phoneticPr fontId="262" type="noConversion"/>
  </si>
  <si>
    <t>租赁合同</t>
    <phoneticPr fontId="262" type="noConversion"/>
  </si>
  <si>
    <t>是</t>
    <phoneticPr fontId="262" type="noConversion"/>
  </si>
  <si>
    <t>B1</t>
    <phoneticPr fontId="262" type="noConversion"/>
  </si>
  <si>
    <t>满记甜品</t>
    <phoneticPr fontId="262" type="noConversion"/>
  </si>
  <si>
    <t>港式甜品（休闲餐饮）</t>
    <phoneticPr fontId="262" type="noConversion"/>
  </si>
  <si>
    <t>B143</t>
    <phoneticPr fontId="262" type="noConversion"/>
  </si>
  <si>
    <t>洪艺尹</t>
    <phoneticPr fontId="262" type="noConversion"/>
  </si>
  <si>
    <t>餐饮</t>
    <phoneticPr fontId="262" type="noConversion"/>
  </si>
  <si>
    <t>固定租金</t>
    <phoneticPr fontId="262" type="noConversion"/>
  </si>
  <si>
    <t>2015.12.18</t>
    <phoneticPr fontId="262" type="noConversion"/>
  </si>
  <si>
    <t>2020.12.17</t>
    <phoneticPr fontId="262" type="noConversion"/>
  </si>
  <si>
    <t>5</t>
    <phoneticPr fontId="262" type="noConversion"/>
  </si>
  <si>
    <t>ZL-00085</t>
    <phoneticPr fontId="262" type="noConversion"/>
  </si>
  <si>
    <t>自持</t>
    <phoneticPr fontId="262" type="noConversion"/>
  </si>
  <si>
    <t>租赁合同</t>
    <phoneticPr fontId="262" type="noConversion"/>
  </si>
  <si>
    <t>是</t>
    <phoneticPr fontId="262" type="noConversion"/>
  </si>
  <si>
    <t>否</t>
    <phoneticPr fontId="262" type="noConversion"/>
  </si>
  <si>
    <t>B1</t>
    <phoneticPr fontId="262" type="noConversion"/>
  </si>
  <si>
    <t>Starbucks</t>
    <phoneticPr fontId="262" type="noConversion"/>
  </si>
  <si>
    <t>餐饮</t>
    <phoneticPr fontId="262" type="noConversion"/>
  </si>
  <si>
    <t>B139</t>
    <phoneticPr fontId="262" type="noConversion"/>
  </si>
  <si>
    <t>广东星巴克咖啡有限公司</t>
    <phoneticPr fontId="262" type="noConversion"/>
  </si>
  <si>
    <t>纯提成</t>
    <phoneticPr fontId="262" type="noConversion"/>
  </si>
  <si>
    <t>2025.12.17</t>
    <phoneticPr fontId="262" type="noConversion"/>
  </si>
  <si>
    <t>10</t>
    <phoneticPr fontId="262" type="noConversion"/>
  </si>
  <si>
    <t>ZL-00186</t>
    <phoneticPr fontId="262" type="noConversion"/>
  </si>
  <si>
    <t>1F</t>
    <phoneticPr fontId="262" type="noConversion"/>
  </si>
  <si>
    <t>Dazzling</t>
    <phoneticPr fontId="262" type="noConversion"/>
  </si>
  <si>
    <t>17#L101/L102</t>
    <phoneticPr fontId="262" type="noConversion"/>
  </si>
  <si>
    <t>庄志</t>
    <phoneticPr fontId="262" type="noConversion"/>
  </si>
  <si>
    <t>保底提成</t>
    <phoneticPr fontId="262" type="noConversion"/>
  </si>
  <si>
    <t>2015.12.18</t>
    <phoneticPr fontId="262" type="noConversion"/>
  </si>
  <si>
    <t>2020.12.17</t>
    <phoneticPr fontId="262" type="noConversion"/>
  </si>
  <si>
    <t>5</t>
    <phoneticPr fontId="262" type="noConversion"/>
  </si>
  <si>
    <t>ZL-00208</t>
    <phoneticPr fontId="262" type="noConversion"/>
  </si>
  <si>
    <t>否</t>
    <phoneticPr fontId="262" type="noConversion"/>
  </si>
  <si>
    <t>金橄榄 Gea Olives</t>
    <phoneticPr fontId="262" type="noConversion"/>
  </si>
  <si>
    <t>16#1F-11/12</t>
    <phoneticPr fontId="262" type="noConversion"/>
  </si>
  <si>
    <t>安志义</t>
    <phoneticPr fontId="262" type="noConversion"/>
  </si>
  <si>
    <t>固定租金</t>
    <phoneticPr fontId="262" type="noConversion"/>
  </si>
  <si>
    <t>2016.6.27</t>
    <phoneticPr fontId="262" type="noConversion"/>
  </si>
  <si>
    <t>2021.6.26</t>
    <phoneticPr fontId="262" type="noConversion"/>
  </si>
  <si>
    <t>ZL-00243</t>
    <phoneticPr fontId="262" type="noConversion"/>
  </si>
  <si>
    <t>1F</t>
    <phoneticPr fontId="262" type="noConversion"/>
  </si>
  <si>
    <t>GODIVA</t>
    <phoneticPr fontId="262" type="noConversion"/>
  </si>
  <si>
    <t>休闲餐饮</t>
    <phoneticPr fontId="262" type="noConversion"/>
  </si>
  <si>
    <t>17#L105</t>
    <phoneticPr fontId="262" type="noConversion"/>
  </si>
  <si>
    <t>歌帝梵（上海）食品商贸有限公司</t>
    <phoneticPr fontId="262" type="noConversion"/>
  </si>
  <si>
    <t>第一二年纯提成，第三到五年保底提成</t>
    <phoneticPr fontId="262" type="noConversion"/>
  </si>
  <si>
    <t>2016.5.1</t>
    <phoneticPr fontId="262" type="noConversion"/>
  </si>
  <si>
    <t>2021.4.30</t>
    <phoneticPr fontId="262" type="noConversion"/>
  </si>
  <si>
    <t>ZL-00253</t>
    <phoneticPr fontId="262" type="noConversion"/>
  </si>
  <si>
    <t>自持</t>
    <phoneticPr fontId="262" type="noConversion"/>
  </si>
  <si>
    <t>租赁合同</t>
    <phoneticPr fontId="262" type="noConversion"/>
  </si>
  <si>
    <t>是</t>
    <phoneticPr fontId="262" type="noConversion"/>
  </si>
  <si>
    <t>1F</t>
    <phoneticPr fontId="262" type="noConversion"/>
  </si>
  <si>
    <t>英孚教育</t>
    <phoneticPr fontId="262" type="noConversion"/>
  </si>
  <si>
    <t>语言培训</t>
    <phoneticPr fontId="262" type="noConversion"/>
  </si>
  <si>
    <t>17#L201</t>
    <phoneticPr fontId="262" type="noConversion"/>
  </si>
  <si>
    <t>福建英孚语言培训有限公司</t>
    <phoneticPr fontId="262" type="noConversion"/>
  </si>
  <si>
    <t>配套</t>
    <phoneticPr fontId="262" type="noConversion"/>
  </si>
  <si>
    <t>固定租金</t>
    <phoneticPr fontId="262" type="noConversion"/>
  </si>
  <si>
    <t>2016.4.25</t>
    <phoneticPr fontId="262" type="noConversion"/>
  </si>
  <si>
    <t>2021.4.24</t>
    <phoneticPr fontId="262" type="noConversion"/>
  </si>
  <si>
    <t>5</t>
    <phoneticPr fontId="262" type="noConversion"/>
  </si>
  <si>
    <t>ZL-00261</t>
    <phoneticPr fontId="262" type="noConversion"/>
  </si>
  <si>
    <t>B1</t>
    <phoneticPr fontId="262" type="noConversion"/>
  </si>
  <si>
    <t>哈根达斯</t>
    <phoneticPr fontId="262" type="noConversion"/>
  </si>
  <si>
    <t>餐饮</t>
    <phoneticPr fontId="262" type="noConversion"/>
  </si>
  <si>
    <t>17#B142-2</t>
    <phoneticPr fontId="262" type="noConversion"/>
  </si>
  <si>
    <t>通用磨坊贸易（上海）有限公司</t>
    <phoneticPr fontId="262" type="noConversion"/>
  </si>
  <si>
    <t>纯提成</t>
    <phoneticPr fontId="262" type="noConversion"/>
  </si>
  <si>
    <t>2016.9.30</t>
    <phoneticPr fontId="262" type="noConversion"/>
  </si>
  <si>
    <t>2024.9.29</t>
    <phoneticPr fontId="262" type="noConversion"/>
  </si>
  <si>
    <t>8</t>
    <phoneticPr fontId="262" type="noConversion"/>
  </si>
  <si>
    <t>ZL-00264</t>
    <phoneticPr fontId="262" type="noConversion"/>
  </si>
  <si>
    <t>否</t>
    <phoneticPr fontId="262" type="noConversion"/>
  </si>
  <si>
    <t>屈臣氏</t>
    <phoneticPr fontId="262" type="noConversion"/>
  </si>
  <si>
    <t>妆品</t>
    <phoneticPr fontId="262" type="noConversion"/>
  </si>
  <si>
    <t>B141、B142-1</t>
    <phoneticPr fontId="262" type="noConversion"/>
  </si>
  <si>
    <t>福州屈臣氏个人用品商店有限公司</t>
    <phoneticPr fontId="262" type="noConversion"/>
  </si>
  <si>
    <t>化妆品</t>
    <phoneticPr fontId="262" type="noConversion"/>
  </si>
  <si>
    <t>第一年至第三年纯提成，第四年至第五年保底提成</t>
    <phoneticPr fontId="262" type="noConversion"/>
  </si>
  <si>
    <t>2016.10.15</t>
    <phoneticPr fontId="262" type="noConversion"/>
  </si>
  <si>
    <t>2021.10.14</t>
    <phoneticPr fontId="262" type="noConversion"/>
  </si>
  <si>
    <t xml:space="preserve">年营业额﹤800万元，按7%抽成；800万≤年营业额＜1200万元，按8%抽成；1200万元≤年营业额＜1600万元，按9%抽成；营业额≥1600万元，按10%抽成
</t>
    <phoneticPr fontId="262" type="noConversion"/>
  </si>
  <si>
    <t>ZL-00274</t>
    <phoneticPr fontId="262" type="noConversion"/>
  </si>
  <si>
    <t>例外</t>
    <phoneticPr fontId="262" type="noConversion"/>
  </si>
  <si>
    <t>服装</t>
    <phoneticPr fontId="262" type="noConversion"/>
  </si>
  <si>
    <t>17#L105/06-1</t>
    <phoneticPr fontId="262" type="noConversion"/>
  </si>
  <si>
    <t>厦门傲丽服饰有限公司</t>
    <phoneticPr fontId="262" type="noConversion"/>
  </si>
  <si>
    <t>保底提成</t>
    <phoneticPr fontId="262" type="noConversion"/>
  </si>
  <si>
    <t>2017.1.24</t>
    <phoneticPr fontId="262" type="noConversion"/>
  </si>
  <si>
    <t>2020.1.23</t>
    <phoneticPr fontId="262" type="noConversion"/>
  </si>
  <si>
    <t>3</t>
    <phoneticPr fontId="262" type="noConversion"/>
  </si>
  <si>
    <t>ZL-00275</t>
    <phoneticPr fontId="262" type="noConversion"/>
  </si>
  <si>
    <t>千造型</t>
    <phoneticPr fontId="262" type="noConversion"/>
  </si>
  <si>
    <t>美发美容</t>
    <phoneticPr fontId="262" type="noConversion"/>
  </si>
  <si>
    <t>17#L103</t>
    <phoneticPr fontId="262" type="noConversion"/>
  </si>
  <si>
    <t>沈子荣</t>
    <phoneticPr fontId="262" type="noConversion"/>
  </si>
  <si>
    <t>2016.12.16</t>
    <phoneticPr fontId="262" type="noConversion"/>
  </si>
  <si>
    <t>2019.12.15</t>
    <phoneticPr fontId="262" type="noConversion"/>
  </si>
  <si>
    <t>ZL-00276</t>
    <phoneticPr fontId="262" type="noConversion"/>
  </si>
  <si>
    <t>2F</t>
    <phoneticPr fontId="262" type="noConversion"/>
  </si>
  <si>
    <t>七田真教育</t>
    <phoneticPr fontId="262" type="noConversion"/>
  </si>
  <si>
    <t>早教</t>
    <phoneticPr fontId="262" type="noConversion"/>
  </si>
  <si>
    <t>17#L207-213</t>
    <phoneticPr fontId="262" type="noConversion"/>
  </si>
  <si>
    <t>深圳市七田真信息咨询有限公司</t>
    <phoneticPr fontId="262" type="noConversion"/>
  </si>
  <si>
    <t>儿童教育</t>
    <phoneticPr fontId="262" type="noConversion"/>
  </si>
  <si>
    <t>2017.2.13</t>
    <phoneticPr fontId="262" type="noConversion"/>
  </si>
  <si>
    <t>2022.2.12</t>
    <phoneticPr fontId="262" type="noConversion"/>
  </si>
  <si>
    <t>ZL-00279</t>
    <phoneticPr fontId="262" type="noConversion"/>
  </si>
  <si>
    <t>Spazio Italia</t>
    <phoneticPr fontId="262" type="noConversion"/>
  </si>
  <si>
    <t>意大利餐厅</t>
    <phoneticPr fontId="262" type="noConversion"/>
  </si>
  <si>
    <t>16#L101-09</t>
    <phoneticPr fontId="262" type="noConversion"/>
  </si>
  <si>
    <t>Spazio Italia limited</t>
    <phoneticPr fontId="262" type="noConversion"/>
  </si>
  <si>
    <t>2017.3.31</t>
    <phoneticPr fontId="262" type="noConversion"/>
  </si>
  <si>
    <t>2019.3.30</t>
    <phoneticPr fontId="262" type="noConversion"/>
  </si>
  <si>
    <t>2</t>
    <phoneticPr fontId="262" type="noConversion"/>
  </si>
  <si>
    <t>ZL-00283</t>
    <phoneticPr fontId="262" type="noConversion"/>
  </si>
  <si>
    <t>MEITU美图</t>
    <phoneticPr fontId="262" type="noConversion"/>
  </si>
  <si>
    <t>手机、数码配件</t>
    <phoneticPr fontId="262" type="noConversion"/>
  </si>
  <si>
    <t>17#-04</t>
    <phoneticPr fontId="262" type="noConversion"/>
  </si>
  <si>
    <t>福建睿誉科技有限公司</t>
    <phoneticPr fontId="262" type="noConversion"/>
  </si>
  <si>
    <t>配套</t>
    <phoneticPr fontId="262" type="noConversion"/>
  </si>
  <si>
    <t>2017.3.23</t>
    <phoneticPr fontId="262" type="noConversion"/>
  </si>
  <si>
    <t>2020.3.22</t>
    <phoneticPr fontId="262" type="noConversion"/>
  </si>
  <si>
    <t>3</t>
    <phoneticPr fontId="262" type="noConversion"/>
  </si>
  <si>
    <t>XZHS-2015006</t>
    <phoneticPr fontId="262" type="noConversion"/>
  </si>
  <si>
    <t>先租后售</t>
    <phoneticPr fontId="262" type="noConversion"/>
  </si>
  <si>
    <t>租赁合同</t>
    <phoneticPr fontId="262" type="noConversion"/>
  </si>
  <si>
    <t>是</t>
    <phoneticPr fontId="262" type="noConversion"/>
  </si>
  <si>
    <t>1F</t>
  </si>
  <si>
    <t>流行美</t>
    <phoneticPr fontId="262" type="noConversion"/>
  </si>
  <si>
    <t>配套</t>
    <phoneticPr fontId="262" type="noConversion"/>
  </si>
  <si>
    <t>15#1F-27</t>
    <phoneticPr fontId="262" type="noConversion"/>
  </si>
  <si>
    <t>张正华</t>
    <phoneticPr fontId="262" type="noConversion"/>
  </si>
  <si>
    <t>固定租金</t>
  </si>
  <si>
    <t>2015.6.16</t>
    <phoneticPr fontId="262" type="noConversion"/>
  </si>
  <si>
    <t>2020.6.15</t>
    <phoneticPr fontId="262" type="noConversion"/>
  </si>
  <si>
    <t>5</t>
    <phoneticPr fontId="262" type="noConversion"/>
  </si>
  <si>
    <t>XZHS-2015007</t>
    <phoneticPr fontId="262" type="noConversion"/>
  </si>
  <si>
    <t>潮汕火锅</t>
    <phoneticPr fontId="262" type="noConversion"/>
  </si>
  <si>
    <t>餐饮</t>
    <phoneticPr fontId="262" type="noConversion"/>
  </si>
  <si>
    <t>21#1F-03</t>
    <phoneticPr fontId="262" type="noConversion"/>
  </si>
  <si>
    <t>李杨健</t>
    <phoneticPr fontId="262" type="noConversion"/>
  </si>
  <si>
    <t>2015.6.1</t>
    <phoneticPr fontId="262" type="noConversion"/>
  </si>
  <si>
    <t>2020.5.31</t>
    <phoneticPr fontId="262" type="noConversion"/>
  </si>
  <si>
    <t>XZHS-2015012</t>
    <phoneticPr fontId="262" type="noConversion"/>
  </si>
  <si>
    <t>先租后售</t>
    <phoneticPr fontId="262" type="noConversion"/>
  </si>
  <si>
    <t>小公主亲蛙撞奶</t>
    <phoneticPr fontId="262" type="noConversion"/>
  </si>
  <si>
    <t>13#1F-25</t>
    <phoneticPr fontId="262" type="noConversion"/>
  </si>
  <si>
    <t>陈玉钗</t>
    <phoneticPr fontId="262" type="noConversion"/>
  </si>
  <si>
    <t>2015.7.23</t>
    <phoneticPr fontId="262" type="noConversion"/>
  </si>
  <si>
    <t>2020.7.22</t>
    <phoneticPr fontId="262" type="noConversion"/>
  </si>
  <si>
    <t>XZHS-2015013</t>
    <phoneticPr fontId="262" type="noConversion"/>
  </si>
  <si>
    <t>漾漾好贡茶</t>
    <phoneticPr fontId="262" type="noConversion"/>
  </si>
  <si>
    <t>B1-303</t>
    <phoneticPr fontId="262" type="noConversion"/>
  </si>
  <si>
    <t>吴敬勇</t>
    <phoneticPr fontId="262" type="noConversion"/>
  </si>
  <si>
    <t>2015.8.1</t>
    <phoneticPr fontId="262" type="noConversion"/>
  </si>
  <si>
    <t>2020.7.31</t>
    <phoneticPr fontId="262" type="noConversion"/>
  </si>
  <si>
    <t>XZHS-2015014</t>
    <phoneticPr fontId="262" type="noConversion"/>
  </si>
  <si>
    <t>MU BAKERY麦卡秀</t>
    <phoneticPr fontId="262" type="noConversion"/>
  </si>
  <si>
    <t>B1-305</t>
    <phoneticPr fontId="262" type="noConversion"/>
  </si>
  <si>
    <t>福州民康食品有限公司</t>
    <phoneticPr fontId="262" type="noConversion"/>
  </si>
  <si>
    <t>2016.1.1</t>
    <phoneticPr fontId="262" type="noConversion"/>
  </si>
  <si>
    <t>2019.12.31</t>
    <phoneticPr fontId="262" type="noConversion"/>
  </si>
  <si>
    <t>4</t>
    <phoneticPr fontId="262" type="noConversion"/>
  </si>
  <si>
    <t>XZHS-2015021</t>
    <phoneticPr fontId="262" type="noConversion"/>
  </si>
  <si>
    <t>笨熊便利店</t>
    <phoneticPr fontId="262" type="noConversion"/>
  </si>
  <si>
    <t>便利店</t>
    <phoneticPr fontId="262" type="noConversion"/>
  </si>
  <si>
    <t>13#1F-23</t>
    <phoneticPr fontId="262" type="noConversion"/>
  </si>
  <si>
    <t>王仁涛</t>
    <phoneticPr fontId="262" type="noConversion"/>
  </si>
  <si>
    <t>2015.9.10</t>
    <phoneticPr fontId="262" type="noConversion"/>
  </si>
  <si>
    <t>2020.9.9</t>
    <phoneticPr fontId="262" type="noConversion"/>
  </si>
  <si>
    <t>XZHS-2015023</t>
    <phoneticPr fontId="262" type="noConversion"/>
  </si>
  <si>
    <t>黑龙茶</t>
    <phoneticPr fontId="262" type="noConversion"/>
  </si>
  <si>
    <t>B1-293</t>
    <phoneticPr fontId="262" type="noConversion"/>
  </si>
  <si>
    <t>陈依媄</t>
    <phoneticPr fontId="262" type="noConversion"/>
  </si>
  <si>
    <t>2015.11.1</t>
    <phoneticPr fontId="262" type="noConversion"/>
  </si>
  <si>
    <t>2020.10.31</t>
    <phoneticPr fontId="262" type="noConversion"/>
  </si>
  <si>
    <t>XZHS-2015024</t>
  </si>
  <si>
    <t>1F</t>
    <phoneticPr fontId="262" type="noConversion"/>
  </si>
  <si>
    <t>韩</t>
    <phoneticPr fontId="262" type="noConversion"/>
  </si>
  <si>
    <t>20#1F-07</t>
    <phoneticPr fontId="262" type="noConversion"/>
  </si>
  <si>
    <t>尹顺子</t>
    <phoneticPr fontId="262" type="noConversion"/>
  </si>
  <si>
    <t>2015.9.10</t>
    <phoneticPr fontId="262" type="noConversion"/>
  </si>
  <si>
    <t>2020.9.9</t>
    <phoneticPr fontId="262" type="noConversion"/>
  </si>
  <si>
    <t>XZHS-2015025</t>
    <phoneticPr fontId="262" type="noConversion"/>
  </si>
  <si>
    <t>B1</t>
    <phoneticPr fontId="262" type="noConversion"/>
  </si>
  <si>
    <t>令狐冲</t>
    <phoneticPr fontId="262" type="noConversion"/>
  </si>
  <si>
    <t>B1-345/346/347/348/349</t>
    <phoneticPr fontId="262" type="noConversion"/>
  </si>
  <si>
    <t>郑锦清</t>
    <phoneticPr fontId="262" type="noConversion"/>
  </si>
  <si>
    <t>2015.9.18</t>
    <phoneticPr fontId="262" type="noConversion"/>
  </si>
  <si>
    <t>2021.9.17</t>
    <phoneticPr fontId="262" type="noConversion"/>
  </si>
  <si>
    <t>6</t>
    <phoneticPr fontId="262" type="noConversion"/>
  </si>
  <si>
    <t>XZHS-2016003</t>
    <phoneticPr fontId="262" type="noConversion"/>
  </si>
  <si>
    <t>迷尚</t>
    <phoneticPr fontId="262" type="noConversion"/>
  </si>
  <si>
    <t>B1-295</t>
    <phoneticPr fontId="262" type="noConversion"/>
  </si>
  <si>
    <t>张婷婷</t>
    <phoneticPr fontId="262" type="noConversion"/>
  </si>
  <si>
    <t>2016.3.1</t>
    <phoneticPr fontId="262" type="noConversion"/>
  </si>
  <si>
    <t>2021.2.28</t>
    <phoneticPr fontId="262" type="noConversion"/>
  </si>
  <si>
    <t>5</t>
  </si>
  <si>
    <t>XZHS-2016004</t>
    <phoneticPr fontId="262" type="noConversion"/>
  </si>
  <si>
    <t>SmartFit</t>
    <phoneticPr fontId="262" type="noConversion"/>
  </si>
  <si>
    <t>B1-336/337</t>
    <phoneticPr fontId="262" type="noConversion"/>
  </si>
  <si>
    <t>福州睿动体育文化发展有限公司</t>
    <phoneticPr fontId="262" type="noConversion"/>
  </si>
  <si>
    <t>2016.3.10</t>
    <phoneticPr fontId="262" type="noConversion"/>
  </si>
  <si>
    <t>2021.3.9</t>
    <phoneticPr fontId="262" type="noConversion"/>
  </si>
  <si>
    <t>XZHS-2016022</t>
    <phoneticPr fontId="262" type="noConversion"/>
  </si>
  <si>
    <t>红蜻蜓</t>
    <phoneticPr fontId="262" type="noConversion"/>
  </si>
  <si>
    <t>皮鞋、皮具、儿童</t>
    <phoneticPr fontId="262" type="noConversion"/>
  </si>
  <si>
    <t>19#1F-07</t>
    <phoneticPr fontId="262" type="noConversion"/>
  </si>
  <si>
    <t>金冬冬</t>
    <phoneticPr fontId="262" type="noConversion"/>
  </si>
  <si>
    <t>零售</t>
    <phoneticPr fontId="262" type="noConversion"/>
  </si>
  <si>
    <t>2016.7.1</t>
    <phoneticPr fontId="262" type="noConversion"/>
  </si>
  <si>
    <t>2021.6.30</t>
    <phoneticPr fontId="262" type="noConversion"/>
  </si>
  <si>
    <t>XZHS-2016023</t>
  </si>
  <si>
    <t>海购先生</t>
    <phoneticPr fontId="262" type="noConversion"/>
  </si>
  <si>
    <t>B1-291</t>
    <phoneticPr fontId="262" type="noConversion"/>
  </si>
  <si>
    <t>潘钊</t>
    <phoneticPr fontId="262" type="noConversion"/>
  </si>
  <si>
    <t>2016.11.1</t>
    <phoneticPr fontId="262" type="noConversion"/>
  </si>
  <si>
    <t>2019.10.30</t>
    <phoneticPr fontId="262" type="noConversion"/>
  </si>
  <si>
    <t>3</t>
    <phoneticPr fontId="262" type="noConversion"/>
  </si>
  <si>
    <t>XZHS-2016024</t>
  </si>
  <si>
    <t>树一派</t>
  </si>
  <si>
    <t>B1-301</t>
    <phoneticPr fontId="262" type="noConversion"/>
  </si>
  <si>
    <t>林晓茹</t>
    <phoneticPr fontId="262" type="noConversion"/>
  </si>
  <si>
    <t>2019.10.31</t>
    <phoneticPr fontId="262" type="noConversion"/>
  </si>
  <si>
    <t>抵押</t>
  </si>
  <si>
    <t>房地产抵押价值</t>
  </si>
  <si>
    <t>其他：</t>
  </si>
  <si>
    <t>福建省福州市</t>
    <phoneticPr fontId="6" type="noConversion"/>
  </si>
  <si>
    <t>晋安区</t>
    <phoneticPr fontId="6" type="noConversion"/>
  </si>
  <si>
    <t>福州泰禾新世界房地产开发有限公司</t>
    <phoneticPr fontId="6" type="noConversion"/>
  </si>
  <si>
    <t>是</t>
  </si>
  <si>
    <t>商业</t>
  </si>
  <si>
    <t>4-6年</t>
    <phoneticPr fontId="205" type="noConversion"/>
  </si>
  <si>
    <t>8-10年</t>
    <phoneticPr fontId="205" type="noConversion"/>
  </si>
  <si>
    <t>2-3年</t>
    <phoneticPr fontId="205" type="noConversion"/>
  </si>
  <si>
    <t>未出租</t>
  </si>
  <si>
    <t>未出租</t>
    <phoneticPr fontId="205" type="noConversion"/>
  </si>
  <si>
    <t>面积</t>
    <phoneticPr fontId="205" type="noConversion"/>
  </si>
  <si>
    <t>平均租金</t>
    <phoneticPr fontId="205" type="noConversion"/>
  </si>
  <si>
    <t>平均增长率</t>
    <phoneticPr fontId="205" type="noConversion"/>
  </si>
  <si>
    <t>4-6年租期</t>
  </si>
  <si>
    <t>8-10年租期</t>
  </si>
  <si>
    <t>钢混</t>
  </si>
  <si>
    <t>收益法 (元)</t>
    <phoneticPr fontId="17" type="noConversion"/>
  </si>
  <si>
    <t>收益法(4-6)</t>
    <phoneticPr fontId="17" type="noConversion"/>
  </si>
  <si>
    <t>收益法(8-10)</t>
    <phoneticPr fontId="17" type="noConversion"/>
  </si>
  <si>
    <t>收益法(未出租)</t>
    <phoneticPr fontId="17" type="noConversion"/>
  </si>
  <si>
    <t>租金</t>
  </si>
  <si>
    <t>泰禾广场</t>
    <phoneticPr fontId="3" type="noConversion"/>
  </si>
  <si>
    <t>商业</t>
    <phoneticPr fontId="45" type="noConversion"/>
  </si>
  <si>
    <t>30-40（含）</t>
  </si>
  <si>
    <t>好</t>
  </si>
  <si>
    <t>好</t>
    <phoneticPr fontId="45" type="noConversion"/>
  </si>
  <si>
    <t>较好</t>
  </si>
  <si>
    <t>较好</t>
    <phoneticPr fontId="45" type="noConversion"/>
  </si>
  <si>
    <t>较差</t>
    <phoneticPr fontId="45" type="noConversion"/>
  </si>
  <si>
    <t>差</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</si>
  <si>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</si>
  <si>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</si>
  <si>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</si>
  <si>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</si>
  <si>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</si>
  <si>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多面临街</t>
    <phoneticPr fontId="45" type="noConversion"/>
  </si>
  <si>
    <t>单面临街</t>
  </si>
  <si>
    <t>单面临街</t>
    <phoneticPr fontId="45" type="noConversion"/>
  </si>
  <si>
    <t>双面临街</t>
  </si>
  <si>
    <t>双面临街</t>
    <phoneticPr fontId="45" type="noConversion"/>
  </si>
  <si>
    <t>不临街</t>
    <phoneticPr fontId="45" type="noConversion"/>
  </si>
  <si>
    <t>购物中心商业</t>
    <phoneticPr fontId="45" type="noConversion"/>
  </si>
  <si>
    <t>商业街商业</t>
  </si>
  <si>
    <t>商业街商业</t>
    <phoneticPr fontId="45" type="noConversion"/>
  </si>
  <si>
    <t>写字楼底商</t>
    <phoneticPr fontId="45" type="noConversion"/>
  </si>
  <si>
    <t>钢混</t>
    <phoneticPr fontId="45" type="noConversion"/>
  </si>
  <si>
    <t>砖混</t>
    <phoneticPr fontId="45" type="noConversion"/>
  </si>
  <si>
    <t>砖木</t>
    <phoneticPr fontId="45" type="noConversion"/>
  </si>
  <si>
    <t>精装修</t>
  </si>
  <si>
    <t>精装修</t>
    <phoneticPr fontId="45" type="noConversion"/>
  </si>
  <si>
    <t>毛坯</t>
    <phoneticPr fontId="45" type="noConversion"/>
  </si>
  <si>
    <t>七通</t>
    <phoneticPr fontId="45" type="noConversion"/>
  </si>
  <si>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</si>
  <si>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</si>
  <si>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</si>
  <si>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</si>
  <si>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</si>
  <si>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</si>
  <si>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</si>
  <si>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</si>
  <si>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调高</t>
    <phoneticPr fontId="45" type="noConversion"/>
  </si>
  <si>
    <t>普通</t>
    <phoneticPr fontId="45" type="noConversion"/>
  </si>
  <si>
    <t>一般装修</t>
    <phoneticPr fontId="45" type="noConversion"/>
  </si>
  <si>
    <t>简单装修</t>
    <phoneticPr fontId="45" type="noConversion"/>
  </si>
  <si>
    <t>一般装修</t>
    <phoneticPr fontId="45" type="noConversion"/>
  </si>
  <si>
    <t>简单装修</t>
    <phoneticPr fontId="45" type="noConversion"/>
  </si>
  <si>
    <t>楼号</t>
    <phoneticPr fontId="205" type="noConversion"/>
  </si>
  <si>
    <t>地下</t>
    <phoneticPr fontId="205" type="noConversion"/>
  </si>
  <si>
    <t>13#</t>
    <phoneticPr fontId="205" type="noConversion"/>
  </si>
  <si>
    <t>15#</t>
    <phoneticPr fontId="205" type="noConversion"/>
  </si>
  <si>
    <t>16#</t>
    <phoneticPr fontId="205" type="noConversion"/>
  </si>
  <si>
    <t>17#</t>
    <phoneticPr fontId="205" type="noConversion"/>
  </si>
  <si>
    <t>19#</t>
    <phoneticPr fontId="205" type="noConversion"/>
  </si>
  <si>
    <t>12#</t>
    <phoneticPr fontId="205" type="noConversion"/>
  </si>
  <si>
    <t>20#</t>
    <phoneticPr fontId="205" type="noConversion"/>
  </si>
  <si>
    <t>21#</t>
    <phoneticPr fontId="205" type="noConversion"/>
  </si>
  <si>
    <t>7#</t>
    <phoneticPr fontId="205" type="noConversion"/>
  </si>
  <si>
    <t>10#</t>
    <phoneticPr fontId="205" type="noConversion"/>
  </si>
  <si>
    <t>可视性</t>
    <phoneticPr fontId="3" type="noConversion"/>
  </si>
  <si>
    <t>人流量</t>
    <phoneticPr fontId="3" type="noConversion"/>
  </si>
  <si>
    <t>大</t>
    <phoneticPr fontId="34" type="noConversion"/>
  </si>
  <si>
    <t>较大</t>
    <phoneticPr fontId="34" type="noConversion"/>
  </si>
  <si>
    <t>一般</t>
    <phoneticPr fontId="34" type="noConversion"/>
  </si>
  <si>
    <t>小</t>
    <phoneticPr fontId="34" type="noConversion"/>
  </si>
  <si>
    <t>较小</t>
    <phoneticPr fontId="34" type="noConversion"/>
  </si>
  <si>
    <r>
      <t>1-2</t>
    </r>
    <r>
      <rPr>
        <sz val="10"/>
        <color indexed="8"/>
        <rFont val="宋体"/>
        <family val="3"/>
        <charset val="134"/>
      </rPr>
      <t>层</t>
    </r>
    <phoneticPr fontId="3" type="noConversion"/>
  </si>
  <si>
    <r>
      <t>1-3</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</si>
  <si>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</si>
  <si>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</si>
  <si>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1-2层</t>
  </si>
  <si>
    <t>商业</t>
    <phoneticPr fontId="205" type="noConversion"/>
  </si>
  <si>
    <t>好</t>
    <phoneticPr fontId="205" type="noConversion"/>
  </si>
  <si>
    <t>较好</t>
    <phoneticPr fontId="205" type="noConversion"/>
  </si>
  <si>
    <t>一般</t>
    <phoneticPr fontId="205" type="noConversion"/>
  </si>
  <si>
    <t>较差</t>
    <phoneticPr fontId="205" type="noConversion"/>
  </si>
  <si>
    <t>差</t>
    <phoneticPr fontId="205" type="noConversion"/>
  </si>
  <si>
    <r>
      <t>1</t>
    </r>
    <r>
      <rPr>
        <sz val="11"/>
        <color theme="1"/>
        <rFont val="宋体"/>
        <family val="3"/>
        <charset val="134"/>
        <scheme val="minor"/>
      </rPr>
      <t>5#楼</t>
    </r>
    <phoneticPr fontId="205" type="noConversion"/>
  </si>
  <si>
    <r>
      <t>1</t>
    </r>
    <r>
      <rPr>
        <sz val="11"/>
        <color theme="1"/>
        <rFont val="宋体"/>
        <family val="3"/>
        <charset val="134"/>
        <scheme val="minor"/>
      </rPr>
      <t>9#</t>
    </r>
    <phoneticPr fontId="205" type="noConversion"/>
  </si>
  <si>
    <t>19#</t>
    <phoneticPr fontId="205" type="noConversion"/>
  </si>
  <si>
    <t>较好</t>
    <phoneticPr fontId="205" type="noConversion"/>
  </si>
  <si>
    <t>市场法</t>
    <phoneticPr fontId="205" type="noConversion"/>
  </si>
  <si>
    <t>收益法</t>
    <phoneticPr fontId="205" type="noConversion"/>
  </si>
  <si>
    <t>总价</t>
    <phoneticPr fontId="205" type="noConversion"/>
  </si>
  <si>
    <t>单价</t>
    <phoneticPr fontId="205" type="noConversion"/>
  </si>
  <si>
    <t>结果</t>
    <phoneticPr fontId="205" type="noConversion"/>
  </si>
  <si>
    <t>车库</t>
    <phoneticPr fontId="205" type="noConversion"/>
  </si>
  <si>
    <t>总计</t>
    <phoneticPr fontId="205" type="noConversion"/>
  </si>
  <si>
    <t>未出租底商</t>
  </si>
  <si>
    <t>收益法</t>
  </si>
  <si>
    <t>收益法</t>
    <phoneticPr fontId="17" type="noConversion"/>
  </si>
  <si>
    <t>一般</t>
  </si>
  <si>
    <t>一般</t>
    <phoneticPr fontId="45" type="noConversion"/>
  </si>
  <si>
    <t>好</t>
    <phoneticPr fontId="45" type="noConversion"/>
  </si>
  <si>
    <t>好</t>
    <phoneticPr fontId="205" type="noConversion"/>
  </si>
  <si>
    <t>一般</t>
    <phoneticPr fontId="205" type="noConversion"/>
  </si>
  <si>
    <t>一般</t>
    <phoneticPr fontId="205" type="noConversion"/>
  </si>
  <si>
    <t>面积</t>
    <phoneticPr fontId="205" type="noConversion"/>
  </si>
  <si>
    <t>总价</t>
    <phoneticPr fontId="205" type="noConversion"/>
  </si>
  <si>
    <t>市场法</t>
    <phoneticPr fontId="205" type="noConversion"/>
  </si>
  <si>
    <t>收益法</t>
    <phoneticPr fontId="205" type="noConversion"/>
  </si>
  <si>
    <t>结果</t>
    <phoneticPr fontId="205" type="noConversion"/>
  </si>
  <si>
    <t>底商</t>
    <phoneticPr fontId="205" type="noConversion"/>
  </si>
  <si>
    <t>新天地</t>
    <phoneticPr fontId="205" type="noConversion"/>
  </si>
  <si>
    <t>估价对象位于福州东二环泰禾广场商圈，周围有泰禾广场购物中心及步行街，周边商业氛围成熟，人流量大，商业繁华度好。</t>
    <phoneticPr fontId="3" type="noConversion"/>
  </si>
  <si>
    <t>估价对象周边道路状况较好，有56、46、68路等多条公交线路经过，临近东二环路，估价对象所在商圈配有地下停车场，停车方便，综合评价交通便捷度较好。</t>
    <phoneticPr fontId="3" type="noConversion"/>
  </si>
  <si>
    <t>估价对象所在区域有银行（工商银行、建设银行等）、医院（福建省第二人民医院）、学校（福州第十中学、福州市岳峰中心小学等）、超市（永辉超市）等，公共配套设施条件好。</t>
    <phoneticPr fontId="3" type="noConversion"/>
  </si>
  <si>
    <t>估价对象周边有牛岗山公园、金鸡山公园；综合评价环境状况一般。</t>
    <phoneticPr fontId="3" type="noConversion"/>
  </si>
  <si>
    <t>写字楼底商</t>
  </si>
  <si>
    <t>比较法-商业（售价）</t>
  </si>
  <si>
    <t>比较法-商业（售价）</t>
    <phoneticPr fontId="17" type="noConversion"/>
  </si>
  <si>
    <t>比较法-商业（租金）</t>
    <phoneticPr fontId="17" type="noConversion"/>
  </si>
  <si>
    <t>现房</t>
  </si>
  <si>
    <t>项目全部</t>
  </si>
  <si>
    <t>结果</t>
    <phoneticPr fontId="205" type="noConversion"/>
  </si>
  <si>
    <t>地下</t>
  </si>
  <si>
    <t>车库</t>
  </si>
  <si>
    <t>车库</t>
    <phoneticPr fontId="7" type="noConversion"/>
  </si>
  <si>
    <t>车库</t>
    <phoneticPr fontId="46" type="noConversion"/>
  </si>
  <si>
    <t>负一</t>
  </si>
  <si>
    <t>负一</t>
    <phoneticPr fontId="46" type="noConversion"/>
  </si>
  <si>
    <t>负二</t>
  </si>
  <si>
    <t>负二</t>
    <phoneticPr fontId="46" type="noConversion"/>
  </si>
  <si>
    <t>比较法-车位</t>
  </si>
  <si>
    <t>住宅</t>
    <phoneticPr fontId="46" type="noConversion"/>
  </si>
  <si>
    <t>精装修</t>
    <phoneticPr fontId="46" type="noConversion"/>
  </si>
  <si>
    <t>普通装修</t>
  </si>
  <si>
    <t>普通装修</t>
    <phoneticPr fontId="46" type="noConversion"/>
  </si>
  <si>
    <t>简装</t>
    <phoneticPr fontId="46" type="noConversion"/>
  </si>
  <si>
    <t>毛坯</t>
    <phoneticPr fontId="46" type="noConversion"/>
  </si>
  <si>
    <t>专业物业</t>
  </si>
  <si>
    <t>专业物业</t>
    <phoneticPr fontId="46" type="noConversion"/>
  </si>
  <si>
    <t>非专业物业</t>
    <phoneticPr fontId="46" type="noConversion"/>
  </si>
  <si>
    <t>是</t>
    <phoneticPr fontId="46" type="noConversion"/>
  </si>
  <si>
    <t>否</t>
    <phoneticPr fontId="46" type="noConversion"/>
  </si>
  <si>
    <t>40-50（含）</t>
  </si>
  <si>
    <t>六通</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</si>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</sst>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yyyy/mm/dd"/>
    <numFmt numFmtId="198" formatCode="#,##0.00_ ;[Red]\-#,##0.00\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9"/>
      <color theme="1"/>
      <name val="宋体"/>
      <family val="3"/>
      <charset val="134"/>
      <scheme val="minor"/>
    </font>
    <font>
      <sz val="9"/>
      <color rgb="FF000000"/>
      <name val="宋体"/>
      <family val="3"/>
      <charset val="134"/>
      <scheme val="minor"/>
    </font>
    <font>
      <i/>
      <sz val="9"/>
      <color theme="1"/>
      <name val="宋体"/>
      <family val="3"/>
      <charset val="134"/>
      <scheme val="minor"/>
    </font>
    <font>
      <sz val="9"/>
      <name val="微软雅黑"/>
      <family val="2"/>
      <charset val="134"/>
    </font>
    <font>
      <sz val="9"/>
      <name val="宋体"/>
      <family val="2"/>
      <charset val="134"/>
      <scheme val="minor"/>
    </font>
    <font>
      <sz val="9"/>
      <color theme="1"/>
      <name val="微软雅黑"/>
      <family val="2"/>
      <charset val="134"/>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57" fillId="0" borderId="0" applyFont="0" applyFill="0" applyBorder="0" applyAlignment="0" applyProtection="0">
      <alignment vertical="center"/>
    </xf>
  </cellStyleXfs>
  <cellXfs count="379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5" fillId="6" borderId="9" xfId="0" applyNumberFormat="1" applyFont="1" applyFill="1" applyBorder="1" applyAlignment="1" applyProtection="1">
      <alignment horizontal="center" vertical="center" wrapText="1"/>
      <protection locked="0"/>
    </xf>
    <xf numFmtId="0" fontId="130" fillId="0" borderId="0" xfId="0" applyFont="1">
      <alignment vertical="center"/>
    </xf>
    <xf numFmtId="0" fontId="0" fillId="5" borderId="0" xfId="0" applyFill="1">
      <alignment vertical="center"/>
    </xf>
    <xf numFmtId="0" fontId="130" fillId="5" borderId="0" xfId="0" applyFont="1" applyFill="1">
      <alignment vertical="center"/>
    </xf>
    <xf numFmtId="0" fontId="0" fillId="9" borderId="0" xfId="0" applyFill="1">
      <alignment vertical="center"/>
    </xf>
    <xf numFmtId="0" fontId="130" fillId="9" borderId="0" xfId="0" applyFont="1" applyFill="1">
      <alignment vertical="center"/>
    </xf>
    <xf numFmtId="0" fontId="205" fillId="0" borderId="1" xfId="0" applyFont="1" applyFill="1" applyBorder="1" applyAlignment="1">
      <alignment horizontal="center" vertical="center"/>
    </xf>
    <xf numFmtId="0" fontId="258" fillId="0" borderId="1" xfId="0" applyFont="1" applyFill="1" applyBorder="1" applyAlignment="1">
      <alignment horizontal="center" vertical="center" wrapText="1"/>
    </xf>
    <xf numFmtId="0" fontId="259" fillId="7" borderId="1" xfId="0" applyFont="1" applyFill="1" applyBorder="1" applyAlignment="1">
      <alignment horizontal="left" vertical="center" wrapText="1"/>
    </xf>
    <xf numFmtId="0" fontId="258" fillId="0" borderId="1" xfId="0" applyFont="1" applyFill="1" applyBorder="1" applyAlignment="1">
      <alignment horizontal="left" vertical="center" wrapText="1"/>
    </xf>
    <xf numFmtId="0" fontId="258" fillId="16" borderId="1" xfId="0" applyFont="1" applyFill="1" applyBorder="1" applyAlignment="1">
      <alignment horizontal="center" vertical="center" wrapText="1"/>
    </xf>
    <xf numFmtId="0" fontId="258" fillId="17" borderId="1" xfId="0" applyFont="1" applyFill="1" applyBorder="1" applyAlignment="1">
      <alignment horizontal="center" vertical="center" wrapText="1"/>
    </xf>
    <xf numFmtId="0" fontId="130" fillId="17" borderId="0" xfId="0" applyFont="1" applyFill="1">
      <alignment vertical="center"/>
    </xf>
    <xf numFmtId="0" fontId="0" fillId="0" borderId="58" xfId="0" applyBorder="1" applyAlignment="1">
      <alignment horizontal="center" vertical="center" wrapText="1"/>
    </xf>
    <xf numFmtId="0" fontId="258" fillId="5" borderId="1" xfId="0" applyFont="1" applyFill="1" applyBorder="1" applyAlignment="1">
      <alignment horizontal="center" vertical="center" wrapText="1"/>
    </xf>
    <xf numFmtId="58" fontId="258" fillId="0" borderId="1" xfId="0" applyNumberFormat="1" applyFont="1" applyFill="1" applyBorder="1" applyAlignment="1">
      <alignment horizontal="center" vertical="center" wrapText="1"/>
    </xf>
    <xf numFmtId="0" fontId="205" fillId="5" borderId="1" xfId="0" applyFont="1" applyFill="1" applyBorder="1" applyAlignment="1">
      <alignment horizontal="center" vertical="center"/>
    </xf>
    <xf numFmtId="0" fontId="258" fillId="5" borderId="1" xfId="0" applyFont="1" applyFill="1" applyBorder="1" applyAlignment="1">
      <alignment horizontal="left" vertical="center" wrapText="1"/>
    </xf>
    <xf numFmtId="58" fontId="258" fillId="5" borderId="1" xfId="0" applyNumberFormat="1" applyFont="1" applyFill="1" applyBorder="1" applyAlignment="1">
      <alignment horizontal="center" vertical="center" wrapText="1"/>
    </xf>
    <xf numFmtId="0" fontId="258" fillId="7" borderId="1" xfId="0" applyFont="1" applyFill="1" applyBorder="1" applyAlignment="1">
      <alignment horizontal="left" vertical="center" wrapText="1"/>
    </xf>
    <xf numFmtId="0" fontId="258" fillId="0" borderId="1" xfId="0" applyFont="1" applyFill="1" applyBorder="1" applyAlignment="1">
      <alignment horizontal="center" vertical="center"/>
    </xf>
    <xf numFmtId="43" fontId="261" fillId="0" borderId="1" xfId="13" applyNumberFormat="1" applyFont="1" applyFill="1" applyBorder="1" applyAlignment="1" applyProtection="1">
      <alignment horizontal="center" vertical="center" shrinkToFit="1"/>
      <protection locked="0"/>
    </xf>
    <xf numFmtId="43" fontId="261" fillId="0" borderId="1" xfId="13" applyNumberFormat="1" applyFont="1" applyFill="1" applyBorder="1" applyAlignment="1" applyProtection="1">
      <alignment horizontal="center" vertical="center"/>
      <protection locked="0"/>
    </xf>
    <xf numFmtId="43" fontId="261" fillId="0" borderId="1" xfId="13" applyNumberFormat="1" applyFont="1" applyFill="1" applyBorder="1" applyAlignment="1" applyProtection="1">
      <alignment horizontal="center" vertical="center" wrapText="1"/>
      <protection locked="0"/>
    </xf>
    <xf numFmtId="49" fontId="261" fillId="0" borderId="1" xfId="13" applyNumberFormat="1" applyFont="1" applyFill="1" applyBorder="1" applyAlignment="1" applyProtection="1">
      <alignment horizontal="center" vertical="center" wrapText="1"/>
      <protection locked="0"/>
    </xf>
    <xf numFmtId="176" fontId="261" fillId="0" borderId="1" xfId="13" applyNumberFormat="1" applyFont="1" applyFill="1" applyBorder="1" applyAlignment="1" applyProtection="1">
      <alignment horizontal="center" vertical="center" wrapText="1"/>
      <protection locked="0"/>
    </xf>
    <xf numFmtId="197" fontId="261" fillId="0" borderId="1" xfId="13" applyNumberFormat="1" applyFont="1" applyFill="1" applyBorder="1" applyAlignment="1" applyProtection="1">
      <alignment horizontal="center" vertical="center"/>
      <protection locked="0"/>
    </xf>
    <xf numFmtId="10" fontId="261" fillId="0" borderId="1" xfId="13" applyNumberFormat="1" applyFont="1" applyFill="1" applyBorder="1" applyAlignment="1" applyProtection="1">
      <alignment horizontal="center" vertical="center" wrapText="1"/>
      <protection locked="0"/>
    </xf>
    <xf numFmtId="0" fontId="263" fillId="0" borderId="1" xfId="0" applyFont="1" applyFill="1" applyBorder="1" applyAlignment="1">
      <alignment horizontal="center" vertical="center"/>
    </xf>
    <xf numFmtId="198" fontId="261" fillId="0" borderId="1" xfId="13" applyNumberFormat="1" applyFont="1" applyFill="1" applyBorder="1" applyAlignment="1" applyProtection="1">
      <alignment horizontal="center" vertical="center" wrapText="1"/>
      <protection locked="0"/>
    </xf>
    <xf numFmtId="0" fontId="263" fillId="0" borderId="0" xfId="0" applyFont="1" applyFill="1" applyAlignment="1">
      <alignment horizontal="center" vertical="center"/>
    </xf>
    <xf numFmtId="43" fontId="263" fillId="0" borderId="1" xfId="0" applyNumberFormat="1" applyFont="1" applyFill="1" applyBorder="1" applyAlignment="1">
      <alignment horizontal="center" vertical="center" shrinkToFit="1"/>
    </xf>
    <xf numFmtId="0" fontId="263" fillId="0" borderId="1" xfId="0" applyFont="1" applyFill="1" applyBorder="1" applyAlignment="1">
      <alignment horizontal="center" vertical="center" wrapText="1"/>
    </xf>
    <xf numFmtId="0" fontId="261" fillId="0" borderId="1" xfId="0" applyFont="1" applyFill="1" applyBorder="1" applyAlignment="1">
      <alignment horizontal="center" vertical="center"/>
    </xf>
    <xf numFmtId="0" fontId="263" fillId="0" borderId="1" xfId="0" applyFont="1" applyFill="1" applyBorder="1" applyAlignment="1">
      <alignment horizontal="center" vertical="center" shrinkToFit="1"/>
    </xf>
    <xf numFmtId="49" fontId="263" fillId="0" borderId="1" xfId="0" applyNumberFormat="1" applyFont="1" applyFill="1" applyBorder="1" applyAlignment="1">
      <alignment horizontal="center" vertical="center"/>
    </xf>
    <xf numFmtId="10" fontId="263" fillId="0" borderId="1" xfId="0" applyNumberFormat="1" applyFont="1" applyFill="1" applyBorder="1" applyAlignment="1">
      <alignment horizontal="center" vertical="center"/>
    </xf>
    <xf numFmtId="198" fontId="263" fillId="0" borderId="1" xfId="0" applyNumberFormat="1" applyFont="1" applyFill="1" applyBorder="1" applyAlignment="1">
      <alignment horizontal="center" vertical="center"/>
    </xf>
    <xf numFmtId="0" fontId="261" fillId="0" borderId="1" xfId="0" applyFont="1" applyFill="1" applyBorder="1" applyAlignment="1">
      <alignment horizontal="center" vertical="center" wrapText="1"/>
    </xf>
    <xf numFmtId="0" fontId="261" fillId="5" borderId="1" xfId="0" applyFont="1" applyFill="1" applyBorder="1" applyAlignment="1">
      <alignment horizontal="center" vertical="center"/>
    </xf>
    <xf numFmtId="43" fontId="263" fillId="0" borderId="0" xfId="0" applyNumberFormat="1" applyFont="1" applyFill="1" applyAlignment="1">
      <alignment horizontal="center" vertical="center" shrinkToFit="1"/>
    </xf>
    <xf numFmtId="0" fontId="261" fillId="0" borderId="0" xfId="0" applyFont="1" applyFill="1" applyAlignment="1">
      <alignment horizontal="center" vertical="center"/>
    </xf>
    <xf numFmtId="0" fontId="263" fillId="0" borderId="0" xfId="0" applyFont="1" applyFill="1" applyAlignment="1">
      <alignment horizontal="center" vertical="center" wrapText="1"/>
    </xf>
    <xf numFmtId="0" fontId="263" fillId="0" borderId="0" xfId="0" applyFont="1" applyFill="1" applyAlignment="1">
      <alignment horizontal="center" vertical="center" shrinkToFit="1"/>
    </xf>
    <xf numFmtId="49" fontId="263" fillId="0" borderId="0" xfId="0" applyNumberFormat="1" applyFont="1" applyFill="1" applyAlignment="1">
      <alignment horizontal="center" vertical="center"/>
    </xf>
    <xf numFmtId="10" fontId="263" fillId="0" borderId="0" xfId="0" applyNumberFormat="1" applyFont="1" applyFill="1" applyAlignment="1">
      <alignment horizontal="center" vertical="center"/>
    </xf>
    <xf numFmtId="198" fontId="263" fillId="0" borderId="0" xfId="0" applyNumberFormat="1" applyFont="1" applyFill="1" applyAlignment="1">
      <alignment horizontal="center" vertical="center"/>
    </xf>
    <xf numFmtId="49" fontId="263" fillId="9" borderId="1" xfId="0" applyNumberFormat="1" applyFont="1" applyFill="1" applyBorder="1" applyAlignment="1">
      <alignment horizontal="center" vertical="center"/>
    </xf>
    <xf numFmtId="0" fontId="263" fillId="17" borderId="1" xfId="0" applyFont="1" applyFill="1" applyBorder="1" applyAlignment="1">
      <alignment horizontal="center" vertical="center"/>
    </xf>
    <xf numFmtId="0" fontId="261" fillId="17" borderId="1" xfId="0" applyFont="1" applyFill="1" applyBorder="1" applyAlignment="1">
      <alignment horizontal="center" vertical="center"/>
    </xf>
    <xf numFmtId="0" fontId="261" fillId="8" borderId="1" xfId="0" applyFont="1" applyFill="1" applyBorder="1" applyAlignment="1">
      <alignment horizontal="center" vertical="center"/>
    </xf>
    <xf numFmtId="9" fontId="263" fillId="0" borderId="0" xfId="0" applyNumberFormat="1" applyFont="1" applyFill="1" applyAlignment="1">
      <alignment horizontal="center" vertical="center"/>
    </xf>
    <xf numFmtId="177" fontId="194" fillId="0" borderId="1" xfId="1" applyNumberFormat="1" applyFont="1" applyFill="1" applyBorder="1" applyAlignment="1" applyProtection="1">
      <alignment vertical="center"/>
      <protection locked="0"/>
    </xf>
    <xf numFmtId="181" fontId="68" fillId="16" borderId="24" xfId="0" applyNumberFormat="1" applyFont="1" applyFill="1" applyBorder="1" applyAlignment="1" applyProtection="1">
      <alignment vertical="center"/>
      <protection locked="0"/>
    </xf>
    <xf numFmtId="181" fontId="71" fillId="16" borderId="24" xfId="0" applyNumberFormat="1" applyFont="1" applyFill="1" applyBorder="1" applyAlignment="1" applyProtection="1">
      <alignment vertical="center"/>
      <protection locked="0"/>
    </xf>
    <xf numFmtId="0" fontId="30" fillId="17" borderId="23" xfId="0" applyFont="1" applyFill="1" applyBorder="1" applyAlignment="1" applyProtection="1">
      <alignment horizontal="center" vertical="center" wrapText="1"/>
      <protection locked="0"/>
    </xf>
    <xf numFmtId="0" fontId="205" fillId="17" borderId="1" xfId="0" applyFont="1" applyFill="1" applyBorder="1" applyAlignment="1">
      <alignment horizontal="center" vertical="center"/>
    </xf>
    <xf numFmtId="0" fontId="258" fillId="17" borderId="1" xfId="0" applyFont="1" applyFill="1" applyBorder="1" applyAlignment="1">
      <alignment horizontal="left" vertical="center" wrapText="1"/>
    </xf>
    <xf numFmtId="0" fontId="0" fillId="17" borderId="0" xfId="0" applyFill="1">
      <alignment vertical="center"/>
    </xf>
    <xf numFmtId="0" fontId="258" fillId="0" borderId="1" xfId="0" applyFont="1" applyFill="1" applyBorder="1" applyAlignment="1" applyProtection="1">
      <alignment horizontal="left" vertical="center" wrapText="1"/>
      <protection locked="0"/>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86" fillId="0" borderId="2"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30" fillId="0" borderId="0" xfId="0" applyFont="1" applyAlignment="1">
      <alignment horizontal="center"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258" fillId="0" borderId="1" xfId="0" applyFont="1" applyFill="1" applyBorder="1" applyAlignment="1" applyProtection="1">
      <alignment horizontal="center" vertical="center" wrapText="1"/>
      <protection locked="0"/>
    </xf>
    <xf numFmtId="0" fontId="77" fillId="5" borderId="32" xfId="0" applyNumberFormat="1" applyFont="1" applyFill="1" applyBorder="1" applyAlignment="1" applyProtection="1">
      <alignment horizontal="center" vertical="center" wrapText="1"/>
      <protection locked="0"/>
    </xf>
    <xf numFmtId="0" fontId="130" fillId="5" borderId="0" xfId="0" applyFont="1" applyFill="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130" fillId="0" borderId="1" xfId="0" applyFont="1" applyBorder="1" applyAlignment="1">
      <alignment horizontal="center" vertical="center"/>
    </xf>
    <xf numFmtId="0" fontId="130" fillId="0" borderId="0" xfId="0" applyFont="1" applyAlignment="1">
      <alignment horizontal="center" vertical="center"/>
    </xf>
    <xf numFmtId="0" fontId="0" fillId="0" borderId="0" xfId="0" applyAlignment="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58" xfId="0" applyFont="1" applyBorder="1" applyAlignment="1">
      <alignment horizontal="center" vertical="center" wrapText="1"/>
    </xf>
    <xf numFmtId="0" fontId="0" fillId="0" borderId="58" xfId="0" applyBorder="1" applyAlignment="1">
      <alignment horizontal="center" vertical="center" wrapText="1"/>
    </xf>
    <xf numFmtId="0" fontId="130" fillId="0" borderId="58" xfId="0" applyFont="1" applyFill="1" applyBorder="1" applyAlignment="1">
      <alignment horizontal="center" vertical="center"/>
    </xf>
    <xf numFmtId="0" fontId="0" fillId="0" borderId="58" xfId="0" applyFill="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9"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xdr:rowOff>
    </xdr:from>
    <xdr:to>
      <xdr:col>10</xdr:col>
      <xdr:colOff>247650</xdr:colOff>
      <xdr:row>22</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1"/>
          <a:ext cx="6343650" cy="3886200"/>
        </a:xfrm>
        <a:prstGeom prst="rect">
          <a:avLst/>
        </a:prstGeom>
      </xdr:spPr>
    </xdr:pic>
    <xdr:clientData/>
  </xdr:twoCellAnchor>
  <xdr:twoCellAnchor editAs="oneCell">
    <xdr:from>
      <xdr:col>0</xdr:col>
      <xdr:colOff>342901</xdr:colOff>
      <xdr:row>24</xdr:row>
      <xdr:rowOff>9525</xdr:rowOff>
    </xdr:from>
    <xdr:to>
      <xdr:col>10</xdr:col>
      <xdr:colOff>323851</xdr:colOff>
      <xdr:row>49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1" y="4124325"/>
          <a:ext cx="6838950" cy="4391025"/>
        </a:xfrm>
        <a:prstGeom prst="rect">
          <a:avLst/>
        </a:prstGeom>
      </xdr:spPr>
    </xdr:pic>
    <xdr:clientData/>
  </xdr:twoCellAnchor>
  <xdr:twoCellAnchor editAs="oneCell">
    <xdr:from>
      <xdr:col>0</xdr:col>
      <xdr:colOff>161925</xdr:colOff>
      <xdr:row>49</xdr:row>
      <xdr:rowOff>19051</xdr:rowOff>
    </xdr:from>
    <xdr:to>
      <xdr:col>10</xdr:col>
      <xdr:colOff>200024</xdr:colOff>
      <xdr:row>77</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 y="8420101"/>
          <a:ext cx="6896099" cy="4838700"/>
        </a:xfrm>
        <a:prstGeom prst="rect">
          <a:avLst/>
        </a:prstGeom>
      </xdr:spPr>
    </xdr:pic>
    <xdr:clientData/>
  </xdr:twoCellAnchor>
  <xdr:twoCellAnchor editAs="oneCell">
    <xdr:from>
      <xdr:col>11</xdr:col>
      <xdr:colOff>19050</xdr:colOff>
      <xdr:row>40</xdr:row>
      <xdr:rowOff>9525</xdr:rowOff>
    </xdr:from>
    <xdr:to>
      <xdr:col>18</xdr:col>
      <xdr:colOff>638175</xdr:colOff>
      <xdr:row>68</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7562850" y="6867525"/>
          <a:ext cx="5572125" cy="4791075"/>
        </a:xfrm>
        <a:prstGeom prst="rect">
          <a:avLst/>
        </a:prstGeom>
      </xdr:spPr>
    </xdr:pic>
    <xdr:clientData/>
  </xdr:twoCellAnchor>
  <xdr:twoCellAnchor editAs="oneCell">
    <xdr:from>
      <xdr:col>12</xdr:col>
      <xdr:colOff>38100</xdr:colOff>
      <xdr:row>18</xdr:row>
      <xdr:rowOff>85725</xdr:rowOff>
    </xdr:from>
    <xdr:to>
      <xdr:col>22</xdr:col>
      <xdr:colOff>228600</xdr:colOff>
      <xdr:row>44</xdr:row>
      <xdr:rowOff>66674</xdr:rowOff>
    </xdr:to>
    <xdr:pic>
      <xdr:nvPicPr>
        <xdr:cNvPr id="6" name="图片 5"/>
        <xdr:cNvPicPr>
          <a:picLocks noChangeAspect="1"/>
        </xdr:cNvPicPr>
      </xdr:nvPicPr>
      <xdr:blipFill>
        <a:blip xmlns:r="http://schemas.openxmlformats.org/officeDocument/2006/relationships" r:embed="rId5"/>
        <a:stretch>
          <a:fillRect/>
        </a:stretch>
      </xdr:blipFill>
      <xdr:spPr>
        <a:xfrm>
          <a:off x="8267700" y="3171825"/>
          <a:ext cx="7124700" cy="4438649"/>
        </a:xfrm>
        <a:prstGeom prst="rect">
          <a:avLst/>
        </a:prstGeom>
      </xdr:spPr>
    </xdr:pic>
    <xdr:clientData/>
  </xdr:twoCellAnchor>
  <xdr:twoCellAnchor editAs="oneCell">
    <xdr:from>
      <xdr:col>14</xdr:col>
      <xdr:colOff>28575</xdr:colOff>
      <xdr:row>76</xdr:row>
      <xdr:rowOff>66675</xdr:rowOff>
    </xdr:from>
    <xdr:to>
      <xdr:col>28</xdr:col>
      <xdr:colOff>484500</xdr:colOff>
      <xdr:row>109</xdr:row>
      <xdr:rowOff>142159</xdr:rowOff>
    </xdr:to>
    <xdr:pic>
      <xdr:nvPicPr>
        <xdr:cNvPr id="7" name="图片 6"/>
        <xdr:cNvPicPr>
          <a:picLocks noChangeAspect="1"/>
        </xdr:cNvPicPr>
      </xdr:nvPicPr>
      <xdr:blipFill>
        <a:blip xmlns:r="http://schemas.openxmlformats.org/officeDocument/2006/relationships" r:embed="rId6"/>
        <a:stretch>
          <a:fillRect/>
        </a:stretch>
      </xdr:blipFill>
      <xdr:spPr>
        <a:xfrm>
          <a:off x="9629775" y="13096875"/>
          <a:ext cx="10133325" cy="5733334"/>
        </a:xfrm>
        <a:prstGeom prst="rect">
          <a:avLst/>
        </a:prstGeom>
      </xdr:spPr>
    </xdr:pic>
    <xdr:clientData/>
  </xdr:twoCellAnchor>
  <xdr:twoCellAnchor editAs="oneCell">
    <xdr:from>
      <xdr:col>0</xdr:col>
      <xdr:colOff>0</xdr:colOff>
      <xdr:row>82</xdr:row>
      <xdr:rowOff>133350</xdr:rowOff>
    </xdr:from>
    <xdr:to>
      <xdr:col>13</xdr:col>
      <xdr:colOff>370315</xdr:colOff>
      <xdr:row>116</xdr:row>
      <xdr:rowOff>151669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192250"/>
          <a:ext cx="9285715" cy="5847619"/>
        </a:xfrm>
        <a:prstGeom prst="rect">
          <a:avLst/>
        </a:prstGeom>
      </xdr:spPr>
    </xdr:pic>
    <xdr:clientData/>
  </xdr:twoCellAnchor>
  <xdr:twoCellAnchor editAs="oneCell">
    <xdr:from>
      <xdr:col>0</xdr:col>
      <xdr:colOff>0</xdr:colOff>
      <xdr:row>120</xdr:row>
      <xdr:rowOff>0</xdr:rowOff>
    </xdr:from>
    <xdr:to>
      <xdr:col>14</xdr:col>
      <xdr:colOff>217848</xdr:colOff>
      <xdr:row>160</xdr:row>
      <xdr:rowOff>8667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574000"/>
          <a:ext cx="9819048" cy="6866667"/>
        </a:xfrm>
        <a:prstGeom prst="rect">
          <a:avLst/>
        </a:prstGeom>
      </xdr:spPr>
    </xdr:pic>
    <xdr:clientData/>
  </xdr:twoCellAnchor>
  <xdr:twoCellAnchor editAs="oneCell">
    <xdr:from>
      <xdr:col>16</xdr:col>
      <xdr:colOff>0</xdr:colOff>
      <xdr:row>120</xdr:row>
      <xdr:rowOff>0</xdr:rowOff>
    </xdr:from>
    <xdr:to>
      <xdr:col>30</xdr:col>
      <xdr:colOff>227353</xdr:colOff>
      <xdr:row>153</xdr:row>
      <xdr:rowOff>170722</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20574000"/>
          <a:ext cx="9980953" cy="5828572"/>
        </a:xfrm>
        <a:prstGeom prst="rect">
          <a:avLst/>
        </a:prstGeom>
      </xdr:spPr>
    </xdr:pic>
    <xdr:clientData/>
  </xdr:twoCellAnchor>
  <xdr:twoCellAnchor editAs="oneCell">
    <xdr:from>
      <xdr:col>0</xdr:col>
      <xdr:colOff>0</xdr:colOff>
      <xdr:row>208</xdr:row>
      <xdr:rowOff>0</xdr:rowOff>
    </xdr:from>
    <xdr:to>
      <xdr:col>13</xdr:col>
      <xdr:colOff>179839</xdr:colOff>
      <xdr:row>240</xdr:row>
      <xdr:rowOff>46934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5661600"/>
          <a:ext cx="9095239" cy="5533334"/>
        </a:xfrm>
        <a:prstGeom prst="rect">
          <a:avLst/>
        </a:prstGeom>
      </xdr:spPr>
    </xdr:pic>
    <xdr:clientData/>
  </xdr:twoCellAnchor>
  <xdr:twoCellAnchor editAs="oneCell">
    <xdr:from>
      <xdr:col>0</xdr:col>
      <xdr:colOff>0</xdr:colOff>
      <xdr:row>241</xdr:row>
      <xdr:rowOff>0</xdr:rowOff>
    </xdr:from>
    <xdr:to>
      <xdr:col>13</xdr:col>
      <xdr:colOff>265553</xdr:colOff>
      <xdr:row>279</xdr:row>
      <xdr:rowOff>161091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1319450"/>
          <a:ext cx="9180953" cy="6676191"/>
        </a:xfrm>
        <a:prstGeom prst="rect">
          <a:avLst/>
        </a:prstGeom>
      </xdr:spPr>
    </xdr:pic>
    <xdr:clientData/>
  </xdr:twoCellAnchor>
  <xdr:twoCellAnchor editAs="oneCell">
    <xdr:from>
      <xdr:col>0</xdr:col>
      <xdr:colOff>0</xdr:colOff>
      <xdr:row>281</xdr:row>
      <xdr:rowOff>0</xdr:rowOff>
    </xdr:from>
    <xdr:to>
      <xdr:col>11</xdr:col>
      <xdr:colOff>351439</xdr:colOff>
      <xdr:row>320</xdr:row>
      <xdr:rowOff>170593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8177450"/>
          <a:ext cx="7895239" cy="6857143"/>
        </a:xfrm>
        <a:prstGeom prst="rect">
          <a:avLst/>
        </a:prstGeom>
      </xdr:spPr>
    </xdr:pic>
    <xdr:clientData/>
  </xdr:twoCellAnchor>
  <xdr:twoCellAnchor editAs="oneCell">
    <xdr:from>
      <xdr:col>0</xdr:col>
      <xdr:colOff>0</xdr:colOff>
      <xdr:row>322</xdr:row>
      <xdr:rowOff>0</xdr:rowOff>
    </xdr:from>
    <xdr:to>
      <xdr:col>13</xdr:col>
      <xdr:colOff>265553</xdr:colOff>
      <xdr:row>361</xdr:row>
      <xdr:rowOff>113450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5206900"/>
          <a:ext cx="9180953" cy="6800000"/>
        </a:xfrm>
        <a:prstGeom prst="rect">
          <a:avLst/>
        </a:prstGeom>
      </xdr:spPr>
    </xdr:pic>
    <xdr:clientData/>
  </xdr:twoCellAnchor>
  <xdr:twoCellAnchor editAs="oneCell">
    <xdr:from>
      <xdr:col>15</xdr:col>
      <xdr:colOff>0</xdr:colOff>
      <xdr:row>210</xdr:row>
      <xdr:rowOff>0</xdr:rowOff>
    </xdr:from>
    <xdr:to>
      <xdr:col>28</xdr:col>
      <xdr:colOff>389344</xdr:colOff>
      <xdr:row>245</xdr:row>
      <xdr:rowOff>161155</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0287000" y="36004500"/>
          <a:ext cx="9457144" cy="6161905"/>
        </a:xfrm>
        <a:prstGeom prst="rect">
          <a:avLst/>
        </a:prstGeom>
      </xdr:spPr>
    </xdr:pic>
    <xdr:clientData/>
  </xdr:twoCellAnchor>
  <xdr:twoCellAnchor editAs="oneCell">
    <xdr:from>
      <xdr:col>0</xdr:col>
      <xdr:colOff>0</xdr:colOff>
      <xdr:row>363</xdr:row>
      <xdr:rowOff>0</xdr:rowOff>
    </xdr:from>
    <xdr:to>
      <xdr:col>12</xdr:col>
      <xdr:colOff>227543</xdr:colOff>
      <xdr:row>396</xdr:row>
      <xdr:rowOff>46912</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62236350"/>
          <a:ext cx="8457143" cy="5704762"/>
        </a:xfrm>
        <a:prstGeom prst="rect">
          <a:avLst/>
        </a:prstGeom>
      </xdr:spPr>
    </xdr:pic>
    <xdr:clientData/>
  </xdr:twoCellAnchor>
  <xdr:twoCellAnchor editAs="oneCell">
    <xdr:from>
      <xdr:col>0</xdr:col>
      <xdr:colOff>0</xdr:colOff>
      <xdr:row>398</xdr:row>
      <xdr:rowOff>0</xdr:rowOff>
    </xdr:from>
    <xdr:to>
      <xdr:col>13</xdr:col>
      <xdr:colOff>8410</xdr:colOff>
      <xdr:row>434</xdr:row>
      <xdr:rowOff>8753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68237100"/>
          <a:ext cx="8923810" cy="6180953"/>
        </a:xfrm>
        <a:prstGeom prst="rect">
          <a:avLst/>
        </a:prstGeom>
      </xdr:spPr>
    </xdr:pic>
    <xdr:clientData/>
  </xdr:twoCellAnchor>
  <xdr:twoCellAnchor editAs="oneCell">
    <xdr:from>
      <xdr:col>15</xdr:col>
      <xdr:colOff>0</xdr:colOff>
      <xdr:row>248</xdr:row>
      <xdr:rowOff>0</xdr:rowOff>
    </xdr:from>
    <xdr:to>
      <xdr:col>26</xdr:col>
      <xdr:colOff>103801</xdr:colOff>
      <xdr:row>281</xdr:row>
      <xdr:rowOff>161198</xdr:rowOff>
    </xdr:to>
    <xdr:pic>
      <xdr:nvPicPr>
        <xdr:cNvPr id="19" name="图片 18"/>
        <xdr:cNvPicPr>
          <a:picLocks noChangeAspect="1"/>
        </xdr:cNvPicPr>
      </xdr:nvPicPr>
      <xdr:blipFill>
        <a:blip xmlns:r="http://schemas.openxmlformats.org/officeDocument/2006/relationships" r:embed="rId17"/>
        <a:stretch>
          <a:fillRect/>
        </a:stretch>
      </xdr:blipFill>
      <xdr:spPr>
        <a:xfrm>
          <a:off x="10287000" y="42519600"/>
          <a:ext cx="7800001" cy="5819048"/>
        </a:xfrm>
        <a:prstGeom prst="rect">
          <a:avLst/>
        </a:prstGeom>
      </xdr:spPr>
    </xdr:pic>
    <xdr:clientData/>
  </xdr:twoCellAnchor>
  <xdr:twoCellAnchor editAs="oneCell">
    <xdr:from>
      <xdr:col>0</xdr:col>
      <xdr:colOff>0</xdr:colOff>
      <xdr:row>436</xdr:row>
      <xdr:rowOff>0</xdr:rowOff>
    </xdr:from>
    <xdr:to>
      <xdr:col>12</xdr:col>
      <xdr:colOff>284686</xdr:colOff>
      <xdr:row>465</xdr:row>
      <xdr:rowOff>170807</xdr:rowOff>
    </xdr:to>
    <xdr:pic>
      <xdr:nvPicPr>
        <xdr:cNvPr id="21" name="图片 20"/>
        <xdr:cNvPicPr>
          <a:picLocks noChangeAspect="1"/>
        </xdr:cNvPicPr>
      </xdr:nvPicPr>
      <xdr:blipFill>
        <a:blip xmlns:r="http://schemas.openxmlformats.org/officeDocument/2006/relationships" r:embed="rId18"/>
        <a:stretch>
          <a:fillRect/>
        </a:stretch>
      </xdr:blipFill>
      <xdr:spPr>
        <a:xfrm>
          <a:off x="0" y="74752200"/>
          <a:ext cx="8514286" cy="5142857"/>
        </a:xfrm>
        <a:prstGeom prst="rect">
          <a:avLst/>
        </a:prstGeom>
      </xdr:spPr>
    </xdr:pic>
    <xdr:clientData/>
  </xdr:twoCellAnchor>
  <xdr:twoCellAnchor editAs="oneCell">
    <xdr:from>
      <xdr:col>0</xdr:col>
      <xdr:colOff>0</xdr:colOff>
      <xdr:row>470</xdr:row>
      <xdr:rowOff>0</xdr:rowOff>
    </xdr:from>
    <xdr:to>
      <xdr:col>13</xdr:col>
      <xdr:colOff>265553</xdr:colOff>
      <xdr:row>500</xdr:row>
      <xdr:rowOff>151738</xdr:rowOff>
    </xdr:to>
    <xdr:pic>
      <xdr:nvPicPr>
        <xdr:cNvPr id="22" name="图片 21"/>
        <xdr:cNvPicPr>
          <a:picLocks noChangeAspect="1"/>
        </xdr:cNvPicPr>
      </xdr:nvPicPr>
      <xdr:blipFill>
        <a:blip xmlns:r="http://schemas.openxmlformats.org/officeDocument/2006/relationships" r:embed="rId19"/>
        <a:stretch>
          <a:fillRect/>
        </a:stretch>
      </xdr:blipFill>
      <xdr:spPr>
        <a:xfrm>
          <a:off x="0" y="80581500"/>
          <a:ext cx="9180953" cy="5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14</xdr:col>
      <xdr:colOff>465553</xdr:colOff>
      <xdr:row>67</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657850"/>
          <a:ext cx="9380953" cy="5904762"/>
        </a:xfrm>
        <a:prstGeom prst="rect">
          <a:avLst/>
        </a:prstGeom>
      </xdr:spPr>
    </xdr:pic>
    <xdr:clientData/>
  </xdr:twoCellAnchor>
  <xdr:twoCellAnchor editAs="oneCell">
    <xdr:from>
      <xdr:col>1</xdr:col>
      <xdr:colOff>0</xdr:colOff>
      <xdr:row>71</xdr:row>
      <xdr:rowOff>0</xdr:rowOff>
    </xdr:from>
    <xdr:to>
      <xdr:col>12</xdr:col>
      <xdr:colOff>665724</xdr:colOff>
      <xdr:row>101</xdr:row>
      <xdr:rowOff>56500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2172950"/>
          <a:ext cx="8209524" cy="5200000"/>
        </a:xfrm>
        <a:prstGeom prst="rect">
          <a:avLst/>
        </a:prstGeom>
      </xdr:spPr>
    </xdr:pic>
    <xdr:clientData/>
  </xdr:twoCellAnchor>
  <xdr:twoCellAnchor editAs="oneCell">
    <xdr:from>
      <xdr:col>0</xdr:col>
      <xdr:colOff>0</xdr:colOff>
      <xdr:row>0</xdr:row>
      <xdr:rowOff>1</xdr:rowOff>
    </xdr:from>
    <xdr:to>
      <xdr:col>11</xdr:col>
      <xdr:colOff>618105</xdr:colOff>
      <xdr:row>30</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
          <a:ext cx="8161905" cy="5162550"/>
        </a:xfrm>
        <a:prstGeom prst="rect">
          <a:avLst/>
        </a:prstGeom>
      </xdr:spPr>
    </xdr:pic>
    <xdr:clientData/>
  </xdr:twoCellAnchor>
  <xdr:twoCellAnchor editAs="oneCell">
    <xdr:from>
      <xdr:col>17</xdr:col>
      <xdr:colOff>28575</xdr:colOff>
      <xdr:row>37</xdr:row>
      <xdr:rowOff>161925</xdr:rowOff>
    </xdr:from>
    <xdr:to>
      <xdr:col>30</xdr:col>
      <xdr:colOff>189366</xdr:colOff>
      <xdr:row>79</xdr:row>
      <xdr:rowOff>18168</xdr:rowOff>
    </xdr:to>
    <xdr:pic>
      <xdr:nvPicPr>
        <xdr:cNvPr id="5" name="图片 4"/>
        <xdr:cNvPicPr>
          <a:picLocks noChangeAspect="1"/>
        </xdr:cNvPicPr>
      </xdr:nvPicPr>
      <xdr:blipFill>
        <a:blip xmlns:r="http://schemas.openxmlformats.org/officeDocument/2006/relationships" r:embed="rId4"/>
        <a:stretch>
          <a:fillRect/>
        </a:stretch>
      </xdr:blipFill>
      <xdr:spPr>
        <a:xfrm>
          <a:off x="11687175" y="6505575"/>
          <a:ext cx="9076191" cy="7057143"/>
        </a:xfrm>
        <a:prstGeom prst="rect">
          <a:avLst/>
        </a:prstGeom>
      </xdr:spPr>
    </xdr:pic>
    <xdr:clientData/>
  </xdr:twoCellAnchor>
  <xdr:twoCellAnchor editAs="oneCell">
    <xdr:from>
      <xdr:col>1</xdr:col>
      <xdr:colOff>0</xdr:colOff>
      <xdr:row>103</xdr:row>
      <xdr:rowOff>0</xdr:rowOff>
    </xdr:from>
    <xdr:to>
      <xdr:col>12</xdr:col>
      <xdr:colOff>256201</xdr:colOff>
      <xdr:row>137</xdr:row>
      <xdr:rowOff>27843</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659350"/>
          <a:ext cx="7800001" cy="5857143"/>
        </a:xfrm>
        <a:prstGeom prst="rect">
          <a:avLst/>
        </a:prstGeom>
      </xdr:spPr>
    </xdr:pic>
    <xdr:clientData/>
  </xdr:twoCellAnchor>
  <xdr:twoCellAnchor editAs="oneCell">
    <xdr:from>
      <xdr:col>1</xdr:col>
      <xdr:colOff>0</xdr:colOff>
      <xdr:row>140</xdr:row>
      <xdr:rowOff>0</xdr:rowOff>
    </xdr:from>
    <xdr:to>
      <xdr:col>12</xdr:col>
      <xdr:colOff>151439</xdr:colOff>
      <xdr:row>174</xdr:row>
      <xdr:rowOff>46891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4003000"/>
          <a:ext cx="7695239" cy="5876191"/>
        </a:xfrm>
        <a:prstGeom prst="rect">
          <a:avLst/>
        </a:prstGeom>
      </xdr:spPr>
    </xdr:pic>
    <xdr:clientData/>
  </xdr:twoCellAnchor>
  <xdr:twoCellAnchor editAs="oneCell">
    <xdr:from>
      <xdr:col>1</xdr:col>
      <xdr:colOff>0</xdr:colOff>
      <xdr:row>177</xdr:row>
      <xdr:rowOff>0</xdr:rowOff>
    </xdr:from>
    <xdr:to>
      <xdr:col>14</xdr:col>
      <xdr:colOff>113172</xdr:colOff>
      <xdr:row>212</xdr:row>
      <xdr:rowOff>132584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30346650"/>
          <a:ext cx="9028572" cy="6133334"/>
        </a:xfrm>
        <a:prstGeom prst="rect">
          <a:avLst/>
        </a:prstGeom>
      </xdr:spPr>
    </xdr:pic>
    <xdr:clientData/>
  </xdr:twoCellAnchor>
  <xdr:twoCellAnchor editAs="oneCell">
    <xdr:from>
      <xdr:col>17</xdr:col>
      <xdr:colOff>133350</xdr:colOff>
      <xdr:row>79</xdr:row>
      <xdr:rowOff>95250</xdr:rowOff>
    </xdr:from>
    <xdr:to>
      <xdr:col>27</xdr:col>
      <xdr:colOff>380112</xdr:colOff>
      <xdr:row>109</xdr:row>
      <xdr:rowOff>27941</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1950" y="13639800"/>
          <a:ext cx="7104762" cy="5076191"/>
        </a:xfrm>
        <a:prstGeom prst="rect">
          <a:avLst/>
        </a:prstGeom>
      </xdr:spPr>
    </xdr:pic>
    <xdr:clientData/>
  </xdr:twoCellAnchor>
  <xdr:twoCellAnchor editAs="oneCell">
    <xdr:from>
      <xdr:col>17</xdr:col>
      <xdr:colOff>0</xdr:colOff>
      <xdr:row>110</xdr:row>
      <xdr:rowOff>0</xdr:rowOff>
    </xdr:from>
    <xdr:to>
      <xdr:col>28</xdr:col>
      <xdr:colOff>560962</xdr:colOff>
      <xdr:row>142</xdr:row>
      <xdr:rowOff>37410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58600" y="18859500"/>
          <a:ext cx="8104762" cy="5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113258</xdr:colOff>
      <xdr:row>23</xdr:row>
      <xdr:rowOff>132841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342858" cy="4076191"/>
        </a:xfrm>
        <a:prstGeom prst="rect">
          <a:avLst/>
        </a:prstGeom>
      </xdr:spPr>
    </xdr:pic>
    <xdr:clientData/>
  </xdr:twoCellAnchor>
  <xdr:twoCellAnchor editAs="oneCell">
    <xdr:from>
      <xdr:col>0</xdr:col>
      <xdr:colOff>0</xdr:colOff>
      <xdr:row>25</xdr:row>
      <xdr:rowOff>104775</xdr:rowOff>
    </xdr:from>
    <xdr:to>
      <xdr:col>12</xdr:col>
      <xdr:colOff>46591</xdr:colOff>
      <xdr:row>52</xdr:row>
      <xdr:rowOff>161340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391025"/>
          <a:ext cx="8276191" cy="4685715"/>
        </a:xfrm>
        <a:prstGeom prst="rect">
          <a:avLst/>
        </a:prstGeom>
      </xdr:spPr>
    </xdr:pic>
    <xdr:clientData/>
  </xdr:twoCellAnchor>
  <xdr:twoCellAnchor editAs="oneCell">
    <xdr:from>
      <xdr:col>0</xdr:col>
      <xdr:colOff>0</xdr:colOff>
      <xdr:row>53</xdr:row>
      <xdr:rowOff>28575</xdr:rowOff>
    </xdr:from>
    <xdr:to>
      <xdr:col>13</xdr:col>
      <xdr:colOff>27458</xdr:colOff>
      <xdr:row>79</xdr:row>
      <xdr:rowOff>161352</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115425"/>
          <a:ext cx="8942858" cy="4590477"/>
        </a:xfrm>
        <a:prstGeom prst="rect">
          <a:avLst/>
        </a:prstGeom>
      </xdr:spPr>
    </xdr:pic>
    <xdr:clientData/>
  </xdr:twoCellAnchor>
  <xdr:twoCellAnchor editAs="oneCell">
    <xdr:from>
      <xdr:col>0</xdr:col>
      <xdr:colOff>0</xdr:colOff>
      <xdr:row>83</xdr:row>
      <xdr:rowOff>95250</xdr:rowOff>
    </xdr:from>
    <xdr:to>
      <xdr:col>15</xdr:col>
      <xdr:colOff>646334</xdr:colOff>
      <xdr:row>116</xdr:row>
      <xdr:rowOff>18353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4325600"/>
          <a:ext cx="10933334" cy="5580953"/>
        </a:xfrm>
        <a:prstGeom prst="rect">
          <a:avLst/>
        </a:prstGeom>
      </xdr:spPr>
    </xdr:pic>
    <xdr:clientData/>
  </xdr:twoCellAnchor>
  <xdr:twoCellAnchor editAs="oneCell">
    <xdr:from>
      <xdr:col>0</xdr:col>
      <xdr:colOff>0</xdr:colOff>
      <xdr:row>118</xdr:row>
      <xdr:rowOff>0</xdr:rowOff>
    </xdr:from>
    <xdr:to>
      <xdr:col>16</xdr:col>
      <xdr:colOff>312915</xdr:colOff>
      <xdr:row>148</xdr:row>
      <xdr:rowOff>142215</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20231100"/>
          <a:ext cx="11285715" cy="5285715"/>
        </a:xfrm>
        <a:prstGeom prst="rect">
          <a:avLst/>
        </a:prstGeom>
      </xdr:spPr>
    </xdr:pic>
    <xdr:clientData/>
  </xdr:twoCellAnchor>
  <xdr:twoCellAnchor editAs="oneCell">
    <xdr:from>
      <xdr:col>0</xdr:col>
      <xdr:colOff>0</xdr:colOff>
      <xdr:row>150</xdr:row>
      <xdr:rowOff>0</xdr:rowOff>
    </xdr:from>
    <xdr:to>
      <xdr:col>16</xdr:col>
      <xdr:colOff>217677</xdr:colOff>
      <xdr:row>179</xdr:row>
      <xdr:rowOff>123188</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5717500"/>
          <a:ext cx="11190477" cy="5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6032;&#2282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2"/>
      <sheetName val="结果表"/>
      <sheetName val="系统读取表"/>
      <sheetName val="比较法-商业 (售价)"/>
      <sheetName val="比较法-商业（租金）"/>
      <sheetName val="收益法（2-3）"/>
      <sheetName val="成本法"/>
      <sheetName val="成本法 (元)"/>
      <sheetName val="假设开发法"/>
      <sheetName val="收益法（4-6）"/>
      <sheetName val="收益法（8-10）"/>
      <sheetName val="收益法（未出租）"/>
      <sheetName val="收益法 (元)"/>
      <sheetName val="收益法（汇总）"/>
      <sheetName val="酒店收入计算"/>
      <sheetName val="比较法-住宅"/>
      <sheetName val="比较法-办公"/>
      <sheetName val="比较法-工业"/>
      <sheetName val="比较法-仓储"/>
      <sheetName val="土地比较法-住宅、综合"/>
      <sheetName val="土地比较法-工业"/>
      <sheetName val="基准地价修正"/>
      <sheetName val="修正"/>
      <sheetName val="容积率修正"/>
      <sheetName val="地价"/>
      <sheetName val="典型户型修正（售价）"/>
      <sheetName val="典型户型修正（租金）"/>
      <sheetName val="成本法（废）"/>
      <sheetName val="区片价"/>
      <sheetName val="因素修正幅度"/>
      <sheetName val="存贷款利率"/>
      <sheetName val="比较法-车位"/>
      <sheetName val="租金案例"/>
      <sheetName val="售价案例"/>
      <sheetName val="车库售价"/>
      <sheetName val="面积"/>
      <sheetName val="租赁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v>121081</v>
          </cell>
        </row>
      </sheetData>
      <sheetData sheetId="30"/>
      <sheetData sheetId="31"/>
      <sheetData sheetId="32"/>
      <sheetData sheetId="33"/>
      <sheetData sheetId="34"/>
      <sheetData sheetId="35"/>
      <sheetData sheetId="36"/>
      <sheetData sheetId="37"/>
      <sheetData sheetId="38"/>
      <sheetData sheetId="39"/>
      <sheetData sheetId="40"/>
      <sheetData sheetId="41">
        <row r="20">
          <cell r="B20">
            <v>162341</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2807</v>
      </c>
      <c r="B1" s="3056" t="s">
        <v>2897</v>
      </c>
    </row>
    <row r="2" spans="1:2" s="3061" customFormat="1" ht="15" thickTop="1">
      <c r="A2" s="3059" t="s">
        <v>2808</v>
      </c>
      <c r="B2" s="3060" t="str">
        <f>'预评函-封皮'!B37:I37</f>
        <v>福建省福州市晋安区预评估</v>
      </c>
    </row>
    <row r="3" spans="1:2" s="3064" customFormat="1">
      <c r="A3" s="3062" t="s">
        <v>2809</v>
      </c>
      <c r="B3" s="3063">
        <f>'预评函-封皮'!B40</f>
        <v>0</v>
      </c>
    </row>
    <row r="4" spans="1:2" s="3064" customFormat="1">
      <c r="A4" s="3062" t="s">
        <v>2810</v>
      </c>
      <c r="B4" s="3063" t="str">
        <f>'预评函-封皮'!B46</f>
        <v>（注册号：0)、（注册号：0)</v>
      </c>
    </row>
    <row r="5" spans="1:2" s="3058" customFormat="1" ht="15" thickBot="1">
      <c r="A5" s="3065" t="s">
        <v>2811</v>
      </c>
      <c r="B5" s="3066" t="str">
        <f>'预评函-封皮'!B49</f>
        <v>康正预评字号</v>
      </c>
    </row>
    <row r="6" spans="1:2" s="3061" customFormat="1" ht="15" thickTop="1">
      <c r="A6" s="3059" t="s">
        <v>2812</v>
      </c>
      <c r="B6" s="3060" t="str">
        <f>'预评函-1'!A4</f>
        <v>受贵公司委托，我公司对福建省福州市晋安区进行了预评估。</v>
      </c>
    </row>
    <row r="7" spans="1:2" s="3064" customFormat="1">
      <c r="A7" s="3062" t="s">
        <v>2852</v>
      </c>
      <c r="B7" s="3063" t="str">
        <f>'预评函-1'!A7</f>
        <v>估价对象为福建省福州市晋安区房地产，为福州泰禾新世界房地产开发有限公司所有。根据《国有土地使用证》[]，估价对象（分摊）出让国有建设用地使用权面积为0平方米，建筑面积为31303.89平方米。</v>
      </c>
    </row>
    <row r="8" spans="1:2" s="3064" customFormat="1">
      <c r="A8" s="3062" t="s">
        <v>2853</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2854</v>
      </c>
      <c r="B9" s="3063" t="str">
        <f>'预评函-1'!A10</f>
        <v>估价对象为福建省福州市晋安区房地产,为福州泰禾新世界房地产开发有限公司开发建设的，该项目尚在开发建设中。根据《国有土地使用证》[]，估价对象（分摊）出让国有建设用地使用权面积为0平方米，规划建筑面积为31303.89平方米。</v>
      </c>
    </row>
    <row r="10" spans="1:2" s="3064" customFormat="1">
      <c r="A10" s="3062" t="s">
        <v>2855</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2813</v>
      </c>
      <c r="B11" s="3063" t="str">
        <f>'预评函-1'!A13</f>
        <v>拟使用福建省福州市晋安区房地产作为抵押担保物，向办理贷款手续。特委托北京康正宏基房地产评估有限公司对上述抵押物进行评估。本次评估为确定房地产抵押贷款额度提供参考依据而评估房地产抵押价值。</v>
      </c>
    </row>
    <row r="12" spans="1:2" s="3064" customFormat="1">
      <c r="A12" s="3062" t="s">
        <v>2814</v>
      </c>
      <c r="B12" s="3063" t="str">
        <f>'预评函-1'!A15</f>
        <v>2017年7月19日（评估专业人员实地查勘之日）</v>
      </c>
    </row>
    <row r="13" spans="1:2" s="3064" customFormat="1">
      <c r="A13" s="3062" t="s">
        <v>2815</v>
      </c>
      <c r="B13" s="3063" t="str">
        <f>'预评函-1'!A18</f>
        <v>本次估价的“房地产价值”是指在正常市场情况下，在价值时点2017年7月19日，估价对象规划用途为，土地取得方式为出让，出让国有建设用地使用权剩余土地使用年限为，假定未设立法定优先受偿款下的房地产市场价值。</v>
      </c>
    </row>
    <row r="14" spans="1:2" s="3064" customFormat="1">
      <c r="A14" s="3062" t="s">
        <v>2816</v>
      </c>
      <c r="B14" s="3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2817</v>
      </c>
      <c r="B15" s="3063" t="str">
        <f>'预评函-1'!A20</f>
        <v>本次估价的“房地产抵押价值”是指估价对象在价值时点的“房地产价值”扣减估价师于价值时点所知悉的法定优先受偿款后的余额。</v>
      </c>
    </row>
    <row r="16" spans="1:2" s="3064" customFormat="1">
      <c r="A16" s="3062" t="s">
        <v>2818</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2819</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2820</v>
      </c>
      <c r="B18" s="3066" t="str">
        <f>'预评函-1'!A24</f>
        <v>本次评估采用的主估价方法为比较法和收益法。</v>
      </c>
    </row>
    <row r="19" spans="1:2" s="3061" customFormat="1" ht="15" thickTop="1">
      <c r="A19" s="3059" t="s">
        <v>2821</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2822</v>
      </c>
      <c r="B20" s="3063">
        <f ca="1">'预评函-2'!D5</f>
        <v>21523</v>
      </c>
    </row>
    <row r="21" spans="1:2" s="3064" customFormat="1">
      <c r="A21" s="3062" t="s">
        <v>2823</v>
      </c>
      <c r="B21" s="3063">
        <f ca="1">'预评函-2'!D7</f>
        <v>6876</v>
      </c>
    </row>
    <row r="22" spans="1:2" s="3064" customFormat="1">
      <c r="A22" s="3062" t="s">
        <v>2824</v>
      </c>
      <c r="B22" s="3063" t="str">
        <f ca="1">'预评函-2'!D6</f>
        <v>贰亿壹仟伍佰贰拾叁万元整</v>
      </c>
    </row>
    <row r="23" spans="1:2" s="3064" customFormat="1">
      <c r="A23" s="3062" t="s">
        <v>2885</v>
      </c>
      <c r="B23" s="3063" t="str">
        <f>'预评函-2'!B8</f>
        <v>2.估价师知悉的法定优先受偿款</v>
      </c>
    </row>
    <row r="24" spans="1:2" s="3064" customFormat="1">
      <c r="A24" s="3062" t="s">
        <v>2891</v>
      </c>
      <c r="B24" s="3063">
        <f>'预评函-2'!D8</f>
        <v>0</v>
      </c>
    </row>
    <row r="25" spans="1:2" s="3064" customFormat="1">
      <c r="A25" s="3062" t="s">
        <v>2825</v>
      </c>
      <c r="B25" s="3063" t="str">
        <f>'预评函-2'!D9</f>
        <v>零元整</v>
      </c>
    </row>
    <row r="26" spans="1:2" s="3064" customFormat="1">
      <c r="A26" s="3062" t="s">
        <v>2826</v>
      </c>
      <c r="B26" s="3063">
        <f>'预评函-2'!D10</f>
        <v>0</v>
      </c>
    </row>
    <row r="27" spans="1:2" s="3064" customFormat="1">
      <c r="A27" s="3062" t="s">
        <v>2827</v>
      </c>
      <c r="B27" s="3063">
        <f>'预评函-2'!D11</f>
        <v>0</v>
      </c>
    </row>
    <row r="28" spans="1:2" s="3064" customFormat="1">
      <c r="A28" s="3062" t="s">
        <v>2828</v>
      </c>
      <c r="B28" s="3063">
        <f>'预评函-2'!D12</f>
        <v>0</v>
      </c>
    </row>
    <row r="29" spans="1:2" s="3064" customFormat="1">
      <c r="A29" s="3062" t="s">
        <v>2889</v>
      </c>
      <c r="B29" s="3063" t="str">
        <f>'预评函-2'!B13</f>
        <v>3.房地产抵押价值</v>
      </c>
    </row>
    <row r="30" spans="1:2" s="3064" customFormat="1">
      <c r="A30" s="3062" t="s">
        <v>2890</v>
      </c>
      <c r="B30" s="3063">
        <f ca="1">'预评函-2'!D13</f>
        <v>21523</v>
      </c>
    </row>
    <row r="31" spans="1:2" s="3064" customFormat="1">
      <c r="A31" s="3062" t="s">
        <v>2863</v>
      </c>
      <c r="B31" s="3063">
        <f ca="1">'预评函-2'!D15</f>
        <v>6876</v>
      </c>
    </row>
    <row r="32" spans="1:2" s="3064" customFormat="1">
      <c r="A32" s="3062" t="s">
        <v>2829</v>
      </c>
      <c r="B32" s="3063" t="str">
        <f ca="1">'预评函-2'!D14</f>
        <v>贰亿壹仟伍佰贰拾叁万元整</v>
      </c>
    </row>
    <row r="33" spans="1:2" s="3064" customFormat="1">
      <c r="A33" s="3062" t="s">
        <v>2865</v>
      </c>
      <c r="B33" s="3063" t="str">
        <f>'预评函-2'!B16</f>
        <v>——</v>
      </c>
    </row>
    <row r="34" spans="1:2" s="3064" customFormat="1">
      <c r="A34" s="3062" t="s">
        <v>2892</v>
      </c>
      <c r="B34" s="3063" t="str">
        <f>'预评函-2'!D16</f>
        <v>——</v>
      </c>
    </row>
    <row r="35" spans="1:2" s="3064" customFormat="1">
      <c r="A35" s="3062" t="s">
        <v>2864</v>
      </c>
      <c r="B35" s="3063" t="str">
        <f>'预评函-2'!D18</f>
        <v>——</v>
      </c>
    </row>
    <row r="36" spans="1:2" s="3064" customFormat="1">
      <c r="A36" s="3062" t="s">
        <v>2830</v>
      </c>
      <c r="B36" s="3063" t="e">
        <f>'预评函-2'!D17</f>
        <v>#VALUE!</v>
      </c>
    </row>
    <row r="37" spans="1:2" s="3064" customFormat="1">
      <c r="A37" s="3062" t="s">
        <v>2866</v>
      </c>
      <c r="B37" s="3063" t="str">
        <f>'预评函-2'!B19</f>
        <v>——</v>
      </c>
    </row>
    <row r="38" spans="1:2" s="3064" customFormat="1">
      <c r="A38" s="3062" t="s">
        <v>2893</v>
      </c>
      <c r="B38" s="3063" t="str">
        <f>'预评函-2'!D19</f>
        <v>——</v>
      </c>
    </row>
    <row r="39" spans="1:2" s="3064" customFormat="1">
      <c r="A39" s="3062" t="s">
        <v>2831</v>
      </c>
      <c r="B39" s="3063" t="str">
        <f>'预评函-2'!D21</f>
        <v>——</v>
      </c>
    </row>
    <row r="40" spans="1:2" s="3064" customFormat="1">
      <c r="A40" s="3062" t="s">
        <v>2832</v>
      </c>
      <c r="B40" s="3063" t="e">
        <f>'预评函-2'!D20</f>
        <v>#VALUE!</v>
      </c>
    </row>
    <row r="41" spans="1:2" s="3064" customFormat="1">
      <c r="A41" s="3062" t="s">
        <v>2888</v>
      </c>
      <c r="B41" s="3063" t="str">
        <f>'预评函-3'!A4</f>
        <v>福建省福州市晋安区房地产</v>
      </c>
    </row>
    <row r="42" spans="1:2" s="3064" customFormat="1">
      <c r="A42" s="3062" t="s">
        <v>2886</v>
      </c>
      <c r="B42" s="3063" t="str">
        <f>'预评函-3'!B2</f>
        <v>建筑面积</v>
      </c>
    </row>
    <row r="43" spans="1:2" s="3064" customFormat="1">
      <c r="A43" s="3062" t="s">
        <v>2887</v>
      </c>
      <c r="B43" s="3063">
        <f>'预评函-3'!B4</f>
        <v>31303.89</v>
      </c>
    </row>
    <row r="44" spans="1:2" s="3064" customFormat="1">
      <c r="A44" s="3062" t="s">
        <v>2862</v>
      </c>
      <c r="B44" s="3063" t="str">
        <f>'预评函-3'!C2</f>
        <v>(分摊)土地面积</v>
      </c>
    </row>
    <row r="45" spans="1:2" s="3064" customFormat="1">
      <c r="A45" s="3062" t="s">
        <v>2833</v>
      </c>
      <c r="B45" s="3063">
        <f>'预评函-3'!C4</f>
        <v>0</v>
      </c>
    </row>
    <row r="46" spans="1:2" s="3064" customFormat="1">
      <c r="A46" s="3062" t="s">
        <v>2860</v>
      </c>
      <c r="B46" s="3063" t="str">
        <f>'预评函-3'!D2</f>
        <v>出让国有建设用地使用权价值</v>
      </c>
    </row>
    <row r="47" spans="1:2" s="3064" customFormat="1">
      <c r="A47" s="3062" t="s">
        <v>2834</v>
      </c>
      <c r="B47" s="3063" t="e">
        <f ca="1">'预评函-3'!D4</f>
        <v>#REF!</v>
      </c>
    </row>
    <row r="48" spans="1:2" s="3064" customFormat="1">
      <c r="A48" s="3062" t="s">
        <v>2835</v>
      </c>
      <c r="B48" s="3063" t="e">
        <f ca="1">'预评函-3'!E4</f>
        <v>#REF!</v>
      </c>
    </row>
    <row r="49" spans="1:2" s="3064" customFormat="1">
      <c r="A49" s="3062" t="s">
        <v>2836</v>
      </c>
      <c r="B49" s="3063" t="e">
        <f ca="1">'预评函-3'!D5</f>
        <v>#REF!</v>
      </c>
    </row>
    <row r="50" spans="1:2" s="3064" customFormat="1">
      <c r="A50" s="3062" t="s">
        <v>2861</v>
      </c>
      <c r="B50" s="3063" t="str">
        <f>'预评函-3'!F2</f>
        <v>在建建筑物价值</v>
      </c>
    </row>
    <row r="51" spans="1:2" s="3064" customFormat="1">
      <c r="A51" s="3062" t="s">
        <v>2837</v>
      </c>
      <c r="B51" s="3063" t="e">
        <f ca="1">'预评函-3'!F4</f>
        <v>#REF!</v>
      </c>
    </row>
    <row r="52" spans="1:2" s="3064" customFormat="1">
      <c r="A52" s="3062" t="s">
        <v>2838</v>
      </c>
      <c r="B52" s="3063" t="e">
        <f ca="1">'预评函-3'!G4</f>
        <v>#REF!</v>
      </c>
    </row>
    <row r="53" spans="1:2" s="3064" customFormat="1">
      <c r="A53" s="3062" t="s">
        <v>2867</v>
      </c>
      <c r="B53" s="3063" t="e">
        <f ca="1">'预评函-3'!F5</f>
        <v>#REF!</v>
      </c>
    </row>
    <row r="54" spans="1:2" s="3064" customFormat="1">
      <c r="A54" s="3062" t="s">
        <v>2895</v>
      </c>
      <c r="B54" s="3063" t="str">
        <f>'预评函-3'!A8</f>
        <v>房地产抵押价值</v>
      </c>
    </row>
    <row r="55" spans="1:2" s="3064" customFormat="1">
      <c r="A55" s="3062" t="s">
        <v>2868</v>
      </c>
      <c r="B55" s="3063" t="str">
        <f>'预评函-3'!A10</f>
        <v/>
      </c>
    </row>
    <row r="56" spans="1:2" s="3064" customFormat="1">
      <c r="A56" s="3062" t="s">
        <v>2869</v>
      </c>
      <c r="B56" s="3063" t="str">
        <f>'预评函-3'!A12</f>
        <v/>
      </c>
    </row>
    <row r="57" spans="1:2" s="3058" customFormat="1" ht="15" thickBot="1">
      <c r="A57" s="3065" t="s">
        <v>2896</v>
      </c>
      <c r="B57" s="3066" t="str">
        <f>'预评函-3'!A6</f>
        <v>估价师知悉的法定优先受偿款</v>
      </c>
    </row>
    <row r="58" spans="1:2" s="3061" customFormat="1" ht="15" thickTop="1">
      <c r="A58" s="3059" t="s">
        <v>2839</v>
      </c>
      <c r="B58" s="3060" t="str">
        <f>'预评函-4'!A12</f>
        <v>2.本《评估意见函》仅供金融机构进行内部审核使用，不做其他目的之用。</v>
      </c>
    </row>
    <row r="59" spans="1:2" s="3064" customFormat="1">
      <c r="A59" s="3062" t="s">
        <v>2840</v>
      </c>
      <c r="B59" s="3063" t="str">
        <f>'预评函-4'!A13</f>
        <v>3.抵押双方在办理抵押登记手续时，应使用本公司出具的正式《房地产评估报告》，特提醒报告使用者注意。</v>
      </c>
    </row>
    <row r="60" spans="1:2" s="3064" customFormat="1">
      <c r="A60" s="3062" t="s">
        <v>2841</v>
      </c>
      <c r="B60" s="3063" t="str">
        <f>'预评函-4'!A14</f>
        <v>4.本次评估估价师所知悉的法定优先受偿款情况说明如下：</v>
      </c>
    </row>
    <row r="61" spans="1:2" s="3064" customFormat="1">
      <c r="A61" s="3062" t="s">
        <v>2842</v>
      </c>
      <c r="B61" s="3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2843</v>
      </c>
      <c r="B62" s="3063" t="str">
        <f>'预评函-4'!A16</f>
        <v>（2）根据《工程款支付情况说明》，截至价值时点，估价对象不存在应付未付工程款项。（只要没有施工方盖章的，均“设定”进行表述）</v>
      </c>
    </row>
    <row r="63" spans="1:2" s="3064" customFormat="1">
      <c r="A63" s="3062" t="s">
        <v>2844</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2856</v>
      </c>
      <c r="B64" s="3063" t="str">
        <f>'预评函-4'!A18</f>
        <v>故，本次评估不存在估价师知悉的法定优先受偿款</v>
      </c>
    </row>
    <row r="65" spans="1:2" s="3064" customFormat="1">
      <c r="A65" s="3062" t="s">
        <v>2845</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2846</v>
      </c>
      <c r="B66" s="3063" t="str">
        <f>'预评函-4'!A20</f>
        <v/>
      </c>
    </row>
    <row r="67" spans="1:2" s="3064" customFormat="1">
      <c r="A67" s="3062" t="s">
        <v>2857</v>
      </c>
      <c r="B67" s="3063" t="str">
        <f>'预评函-4'!A21</f>
        <v/>
      </c>
    </row>
    <row r="68" spans="1:2" s="3064" customFormat="1">
      <c r="A68" s="3062" t="s">
        <v>2858</v>
      </c>
      <c r="B68" s="3063" t="str">
        <f>'预评函-4'!A22</f>
        <v>8.其他需特殊说明事项：无（注意调整序号）</v>
      </c>
    </row>
    <row r="69" spans="1:2" s="3058" customFormat="1" ht="15" thickBot="1">
      <c r="A69" s="3065" t="s">
        <v>2847</v>
      </c>
      <c r="B69" s="3067">
        <f>'预评函-4'!C31</f>
        <v>42551</v>
      </c>
    </row>
    <row r="70" spans="1:2" ht="15" thickTop="1">
      <c r="A70" s="3068" t="s">
        <v>2848</v>
      </c>
      <c r="B70" s="3069">
        <f>'预评函-4'!A4</f>
        <v>0</v>
      </c>
    </row>
    <row r="71" spans="1:2">
      <c r="A71" s="3062" t="s">
        <v>2849</v>
      </c>
      <c r="B71" s="3063">
        <f>'预评函-4'!B4</f>
        <v>0</v>
      </c>
    </row>
    <row r="72" spans="1:2">
      <c r="A72" s="3062" t="s">
        <v>2850</v>
      </c>
      <c r="B72" s="3071">
        <f>'预评函-4'!A5</f>
        <v>0</v>
      </c>
    </row>
    <row r="73" spans="1:2" s="3058" customFormat="1" ht="15" thickBot="1">
      <c r="A73" s="3065" t="s">
        <v>2851</v>
      </c>
      <c r="B73" s="3066">
        <f>'预评函-4'!B5</f>
        <v>0</v>
      </c>
    </row>
    <row r="74" spans="1:2" ht="15" thickTop="1">
      <c r="A74" s="3055" t="s">
        <v>2913</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H31" sqref="AH3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256</v>
      </c>
      <c r="C1" s="1765" t="s">
        <v>1878</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1850</v>
      </c>
      <c r="Q1" s="11" t="s">
        <v>2652</v>
      </c>
      <c r="R1" s="1482" t="s">
        <v>2642</v>
      </c>
      <c r="S1" s="290" t="s">
        <v>269</v>
      </c>
      <c r="T1" s="291" t="s">
        <v>270</v>
      </c>
      <c r="U1" s="290" t="s">
        <v>271</v>
      </c>
      <c r="V1" s="290" t="s">
        <v>272</v>
      </c>
      <c r="W1" s="1482" t="s">
        <v>1853</v>
      </c>
    </row>
    <row r="2" spans="1:23">
      <c r="A2" s="2798" t="s">
        <v>114</v>
      </c>
      <c r="B2" s="2798" t="s">
        <v>580</v>
      </c>
      <c r="C2" s="1766" t="s">
        <v>1879</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1" t="s">
        <v>2646</v>
      </c>
      <c r="S2" s="292" t="s">
        <v>231</v>
      </c>
      <c r="T2" s="292" t="s">
        <v>232</v>
      </c>
      <c r="U2" s="292" t="s">
        <v>231</v>
      </c>
      <c r="V2" s="292" t="s">
        <v>233</v>
      </c>
      <c r="W2" s="292" t="s">
        <v>231</v>
      </c>
    </row>
    <row r="3" spans="1:23">
      <c r="A3" s="2798" t="s">
        <v>579</v>
      </c>
      <c r="B3" s="2799" t="s">
        <v>2688</v>
      </c>
      <c r="C3" s="1767" t="s">
        <v>1880</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1" t="s">
        <v>2644</v>
      </c>
      <c r="S3" s="292" t="s">
        <v>239</v>
      </c>
      <c r="T3" s="292" t="s">
        <v>240</v>
      </c>
      <c r="U3" s="292" t="s">
        <v>239</v>
      </c>
      <c r="V3" s="292" t="s">
        <v>241</v>
      </c>
      <c r="W3" s="292" t="s">
        <v>239</v>
      </c>
    </row>
    <row r="4" spans="1:23">
      <c r="A4" s="2798" t="s">
        <v>581</v>
      </c>
      <c r="B4" s="2798" t="s">
        <v>582</v>
      </c>
      <c r="C4" s="1766" t="s">
        <v>1881</v>
      </c>
      <c r="D4" s="292" t="s">
        <v>2052</v>
      </c>
      <c r="E4" s="292" t="s">
        <v>278</v>
      </c>
      <c r="F4" s="292" t="s">
        <v>279</v>
      </c>
      <c r="G4" s="292">
        <v>70</v>
      </c>
      <c r="H4" s="292" t="s">
        <v>280</v>
      </c>
      <c r="I4" s="292" t="s">
        <v>281</v>
      </c>
      <c r="K4" s="292" t="s">
        <v>242</v>
      </c>
      <c r="L4" s="292" t="s">
        <v>242</v>
      </c>
      <c r="M4" s="292" t="s">
        <v>242</v>
      </c>
      <c r="N4" s="292" t="s">
        <v>242</v>
      </c>
      <c r="O4" s="292" t="s">
        <v>242</v>
      </c>
      <c r="P4" s="292" t="s">
        <v>242</v>
      </c>
      <c r="Q4" s="292" t="s">
        <v>242</v>
      </c>
      <c r="R4" s="2761" t="s">
        <v>2647</v>
      </c>
      <c r="S4" s="292" t="s">
        <v>242</v>
      </c>
      <c r="T4" s="292" t="s">
        <v>243</v>
      </c>
      <c r="U4" s="292" t="s">
        <v>242</v>
      </c>
      <c r="W4" s="292" t="s">
        <v>242</v>
      </c>
    </row>
    <row r="5" spans="1:23">
      <c r="A5" s="2798" t="s">
        <v>583</v>
      </c>
      <c r="B5" s="2799" t="s">
        <v>3668</v>
      </c>
      <c r="C5" s="1766" t="s">
        <v>1882</v>
      </c>
      <c r="F5" s="292" t="s">
        <v>244</v>
      </c>
      <c r="H5" s="292" t="s">
        <v>245</v>
      </c>
      <c r="I5" s="292" t="s">
        <v>246</v>
      </c>
      <c r="K5" s="292" t="s">
        <v>247</v>
      </c>
      <c r="L5" s="292" t="s">
        <v>247</v>
      </c>
      <c r="M5" s="292" t="s">
        <v>247</v>
      </c>
      <c r="N5" s="292" t="s">
        <v>247</v>
      </c>
      <c r="O5" s="292" t="s">
        <v>247</v>
      </c>
      <c r="P5" s="292" t="s">
        <v>247</v>
      </c>
      <c r="Q5" s="292" t="s">
        <v>247</v>
      </c>
      <c r="R5" s="2761" t="s">
        <v>2648</v>
      </c>
      <c r="S5" s="292" t="s">
        <v>247</v>
      </c>
      <c r="T5" s="292" t="s">
        <v>248</v>
      </c>
      <c r="U5" s="292" t="s">
        <v>247</v>
      </c>
      <c r="W5" s="292" t="s">
        <v>247</v>
      </c>
    </row>
    <row r="6" spans="1:23">
      <c r="A6" s="2798" t="s">
        <v>584</v>
      </c>
      <c r="B6" s="2799" t="s">
        <v>3575</v>
      </c>
      <c r="C6" s="1768" t="s">
        <v>163</v>
      </c>
      <c r="F6" s="292" t="s">
        <v>249</v>
      </c>
      <c r="H6" s="292" t="s">
        <v>250</v>
      </c>
      <c r="I6" s="292" t="s">
        <v>251</v>
      </c>
      <c r="K6" s="292" t="s">
        <v>252</v>
      </c>
      <c r="L6" s="292" t="s">
        <v>252</v>
      </c>
      <c r="M6" s="292" t="s">
        <v>252</v>
      </c>
      <c r="N6" s="292" t="s">
        <v>252</v>
      </c>
      <c r="O6" s="292" t="s">
        <v>252</v>
      </c>
      <c r="P6" s="292" t="s">
        <v>252</v>
      </c>
      <c r="Q6" s="292" t="s">
        <v>252</v>
      </c>
      <c r="R6" s="2761" t="s">
        <v>2649</v>
      </c>
      <c r="S6" s="292" t="s">
        <v>252</v>
      </c>
      <c r="T6" s="292"/>
      <c r="U6" s="292" t="s">
        <v>252</v>
      </c>
      <c r="W6" s="292" t="s">
        <v>252</v>
      </c>
    </row>
    <row r="7" spans="1:23">
      <c r="A7" s="2798" t="s">
        <v>586</v>
      </c>
      <c r="B7" s="2799" t="s">
        <v>2689</v>
      </c>
      <c r="C7" s="1766" t="s">
        <v>164</v>
      </c>
      <c r="F7" s="292" t="s">
        <v>253</v>
      </c>
      <c r="H7" s="292" t="s">
        <v>254</v>
      </c>
      <c r="I7" s="292" t="s">
        <v>255</v>
      </c>
    </row>
    <row r="8" spans="1:23">
      <c r="A8" s="2798" t="s">
        <v>588</v>
      </c>
      <c r="B8" s="2798" t="s">
        <v>585</v>
      </c>
      <c r="C8" s="1766" t="s">
        <v>1883</v>
      </c>
      <c r="F8" s="292" t="s">
        <v>282</v>
      </c>
      <c r="H8" s="292"/>
      <c r="I8" s="292" t="s">
        <v>283</v>
      </c>
    </row>
    <row r="9" spans="1:23">
      <c r="A9" s="2798" t="s">
        <v>590</v>
      </c>
      <c r="B9" s="2798" t="s">
        <v>587</v>
      </c>
      <c r="C9" s="1766" t="s">
        <v>1884</v>
      </c>
      <c r="F9" s="292" t="s">
        <v>284</v>
      </c>
      <c r="H9" s="292"/>
    </row>
    <row r="10" spans="1:23">
      <c r="A10" s="2798" t="s">
        <v>592</v>
      </c>
      <c r="B10" s="2798" t="s">
        <v>589</v>
      </c>
      <c r="C10" s="1766" t="s">
        <v>1885</v>
      </c>
      <c r="F10" s="292" t="s">
        <v>51</v>
      </c>
    </row>
    <row r="11" spans="1:23">
      <c r="A11" s="2798" t="s">
        <v>594</v>
      </c>
      <c r="B11" s="2798" t="s">
        <v>591</v>
      </c>
      <c r="C11" s="1766" t="s">
        <v>1886</v>
      </c>
    </row>
    <row r="12" spans="1:23">
      <c r="A12" s="2798" t="s">
        <v>596</v>
      </c>
      <c r="B12" s="2798" t="s">
        <v>593</v>
      </c>
      <c r="C12" s="1766" t="s">
        <v>1887</v>
      </c>
    </row>
    <row r="13" spans="1:23">
      <c r="A13" s="2798" t="s">
        <v>598</v>
      </c>
      <c r="B13" s="2798" t="s">
        <v>595</v>
      </c>
      <c r="C13" s="1766" t="s">
        <v>1888</v>
      </c>
    </row>
    <row r="14" spans="1:23">
      <c r="A14" s="2798" t="s">
        <v>600</v>
      </c>
      <c r="B14" s="2798" t="s">
        <v>597</v>
      </c>
      <c r="C14" s="292" t="s">
        <v>51</v>
      </c>
    </row>
    <row r="15" spans="1:23">
      <c r="A15" s="2798" t="s">
        <v>601</v>
      </c>
      <c r="B15" s="2798" t="s">
        <v>599</v>
      </c>
      <c r="C15" s="1769"/>
    </row>
    <row r="16" spans="1:23">
      <c r="A16" s="2798" t="s">
        <v>602</v>
      </c>
      <c r="B16" s="2798" t="s">
        <v>1869</v>
      </c>
      <c r="C16" s="1769"/>
    </row>
    <row r="17" spans="1:3">
      <c r="A17" s="2798" t="s">
        <v>603</v>
      </c>
      <c r="B17" s="2799" t="s">
        <v>3576</v>
      </c>
      <c r="C17" s="1769"/>
    </row>
    <row r="18" spans="1:3">
      <c r="A18" s="2798" t="s">
        <v>604</v>
      </c>
      <c r="B18" s="2799" t="s">
        <v>3577</v>
      </c>
      <c r="C18" s="1769"/>
    </row>
    <row r="19" spans="1:3">
      <c r="A19" s="2798" t="s">
        <v>605</v>
      </c>
      <c r="B19" s="2799" t="s">
        <v>3578</v>
      </c>
      <c r="C19" s="1769"/>
    </row>
    <row r="20" spans="1:3">
      <c r="A20" s="2798" t="s">
        <v>606</v>
      </c>
      <c r="B20" s="2799" t="s">
        <v>3688</v>
      </c>
      <c r="C20" s="1769"/>
    </row>
    <row r="21" spans="1:3">
      <c r="A21" s="2798" t="s">
        <v>607</v>
      </c>
      <c r="B21" s="2799" t="s">
        <v>3689</v>
      </c>
      <c r="C21" s="1769"/>
    </row>
    <row r="22" spans="1:3">
      <c r="A22" s="2798" t="s">
        <v>608</v>
      </c>
      <c r="B22" s="2798" t="s">
        <v>1870</v>
      </c>
      <c r="C22" s="1769"/>
    </row>
    <row r="23" spans="1:3">
      <c r="A23" s="2798" t="s">
        <v>609</v>
      </c>
      <c r="B23" s="2798" t="s">
        <v>1870</v>
      </c>
      <c r="C23" s="1769"/>
    </row>
    <row r="24" spans="1:3">
      <c r="A24" s="2798" t="s">
        <v>610</v>
      </c>
      <c r="B24" s="2798" t="s">
        <v>1870</v>
      </c>
      <c r="C24" s="1769"/>
    </row>
    <row r="25" spans="1:3">
      <c r="A25" s="2798" t="s">
        <v>611</v>
      </c>
      <c r="B25" s="2798" t="s">
        <v>1870</v>
      </c>
      <c r="C25" s="1769"/>
    </row>
    <row r="26" spans="1:3">
      <c r="A26" s="2798" t="s">
        <v>612</v>
      </c>
      <c r="B26" s="2798" t="s">
        <v>1870</v>
      </c>
      <c r="C26" s="1769"/>
    </row>
    <row r="27" spans="1:3">
      <c r="A27" s="2798" t="s">
        <v>1870</v>
      </c>
      <c r="B27" s="2798" t="s">
        <v>1870</v>
      </c>
      <c r="C27" s="1769"/>
    </row>
    <row r="28" spans="1:3">
      <c r="A28" s="2798" t="s">
        <v>1870</v>
      </c>
      <c r="B28" s="2798" t="s">
        <v>1870</v>
      </c>
      <c r="C28" s="1769"/>
    </row>
    <row r="29" spans="1:3">
      <c r="A29" s="2798" t="s">
        <v>1870</v>
      </c>
      <c r="B29" s="2798" t="s">
        <v>1870</v>
      </c>
      <c r="C29" s="1769"/>
    </row>
    <row r="30" spans="1:3">
      <c r="A30" s="2798" t="s">
        <v>1870</v>
      </c>
      <c r="B30" s="2798" t="s">
        <v>1870</v>
      </c>
      <c r="C30" s="1769"/>
    </row>
    <row r="31" spans="1:3">
      <c r="A31" s="2798" t="s">
        <v>1870</v>
      </c>
      <c r="B31" s="2798" t="s">
        <v>1870</v>
      </c>
      <c r="C31" s="1769"/>
    </row>
    <row r="32" spans="1:3">
      <c r="A32" s="2798" t="s">
        <v>1870</v>
      </c>
      <c r="B32" s="2798" t="s">
        <v>1870</v>
      </c>
      <c r="C32" s="1769"/>
    </row>
    <row r="33" spans="1:3">
      <c r="A33" s="2798" t="s">
        <v>1870</v>
      </c>
      <c r="B33" s="2798" t="s">
        <v>1870</v>
      </c>
      <c r="C33" s="1769"/>
    </row>
    <row r="34" spans="1:3">
      <c r="A34" s="2798" t="s">
        <v>1870</v>
      </c>
      <c r="B34" s="2798" t="s">
        <v>1870</v>
      </c>
      <c r="C34" s="1769"/>
    </row>
    <row r="35" spans="1:3">
      <c r="A35" s="2798" t="s">
        <v>1870</v>
      </c>
      <c r="B35" s="2798" t="s">
        <v>1870</v>
      </c>
      <c r="C35" s="1769"/>
    </row>
    <row r="36" spans="1:3">
      <c r="A36" s="2798" t="s">
        <v>1870</v>
      </c>
      <c r="B36" s="2798" t="s">
        <v>1870</v>
      </c>
      <c r="C36" s="1769"/>
    </row>
    <row r="37" spans="1:3">
      <c r="A37" s="2798" t="s">
        <v>1870</v>
      </c>
      <c r="B37" s="2798" t="s">
        <v>1870</v>
      </c>
      <c r="C37" s="1769"/>
    </row>
    <row r="38" spans="1:3">
      <c r="A38" s="2798" t="s">
        <v>1870</v>
      </c>
      <c r="B38" s="2798" t="s">
        <v>1870</v>
      </c>
      <c r="C38" s="1769"/>
    </row>
    <row r="39" spans="1:3">
      <c r="A39" s="2798" t="s">
        <v>1870</v>
      </c>
      <c r="B39" s="2798" t="s">
        <v>1870</v>
      </c>
      <c r="C39" s="1769"/>
    </row>
    <row r="40" spans="1:3">
      <c r="A40" s="2798" t="s">
        <v>1870</v>
      </c>
      <c r="B40" s="2798" t="s">
        <v>1870</v>
      </c>
      <c r="C40" s="1769"/>
    </row>
    <row r="41" spans="1:3">
      <c r="A41" s="2798" t="s">
        <v>1870</v>
      </c>
      <c r="B41" s="2798" t="s">
        <v>1870</v>
      </c>
      <c r="C41" s="1769"/>
    </row>
    <row r="42" spans="1:3">
      <c r="A42" s="2798" t="s">
        <v>1870</v>
      </c>
      <c r="B42" s="2798" t="s">
        <v>1870</v>
      </c>
      <c r="C42" s="1769"/>
    </row>
    <row r="43" spans="1:3">
      <c r="A43" s="2798" t="s">
        <v>1870</v>
      </c>
      <c r="B43" s="2798" t="s">
        <v>1870</v>
      </c>
      <c r="C43" s="1769"/>
    </row>
    <row r="44" spans="1:3">
      <c r="A44" s="2798" t="s">
        <v>1870</v>
      </c>
      <c r="B44" s="2798" t="s">
        <v>1870</v>
      </c>
      <c r="C44" s="1769"/>
    </row>
    <row r="45" spans="1:3">
      <c r="A45" s="2798" t="s">
        <v>1870</v>
      </c>
      <c r="B45" s="2798" t="s">
        <v>1870</v>
      </c>
      <c r="C45" s="1769"/>
    </row>
    <row r="46" spans="1:3">
      <c r="A46" s="2798" t="s">
        <v>1870</v>
      </c>
      <c r="B46" s="2798" t="s">
        <v>1870</v>
      </c>
      <c r="C46" s="1769"/>
    </row>
    <row r="47" spans="1:3">
      <c r="A47" s="2798" t="s">
        <v>1870</v>
      </c>
      <c r="B47" s="2798" t="s">
        <v>1870</v>
      </c>
      <c r="C47" s="1769"/>
    </row>
    <row r="48" spans="1:3">
      <c r="A48" s="2798" t="s">
        <v>1870</v>
      </c>
      <c r="B48" s="2798" t="s">
        <v>1870</v>
      </c>
      <c r="C48" s="1769"/>
    </row>
    <row r="49" spans="1:4">
      <c r="A49" s="2798" t="s">
        <v>1870</v>
      </c>
      <c r="B49" s="2798" t="s">
        <v>1870</v>
      </c>
      <c r="C49" s="1769"/>
    </row>
    <row r="50" spans="1:4">
      <c r="A50" s="2798" t="s">
        <v>1870</v>
      </c>
      <c r="B50" s="2798" t="s">
        <v>1870</v>
      </c>
      <c r="C50" s="1769"/>
    </row>
    <row r="51" spans="1:4">
      <c r="A51" s="1949" t="s">
        <v>2016</v>
      </c>
      <c r="B51" s="2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拟使用福建省福州市晋安区房地产作为抵押担保物，向办理贷款手续。特委托北京康正宏基房地产评估有限公司对上述抵押物进行评估。本次评估为确定房地产抵押贷款额度提供参考依据而评估房地产抵押价值。</v>
      </c>
      <c r="D51" s="2092" t="s">
        <v>2876</v>
      </c>
    </row>
    <row r="52" spans="1:4">
      <c r="A52" s="1949" t="s">
        <v>2020</v>
      </c>
      <c r="B52" s="1949" t="s">
        <v>2021</v>
      </c>
      <c r="C52" s="1161" t="s">
        <v>2022</v>
      </c>
      <c r="D52" s="1161" t="s">
        <v>2023</v>
      </c>
    </row>
    <row r="53" spans="1:4">
      <c r="A53" s="3459" t="s">
        <v>2024</v>
      </c>
      <c r="B53" s="2092" t="s">
        <v>2025</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9"/>
      <c r="B54" s="2092" t="s">
        <v>2026</v>
      </c>
      <c r="C54" s="1161" t="s">
        <v>2873</v>
      </c>
    </row>
    <row r="55" spans="1:4">
      <c r="A55" s="3459"/>
      <c r="B55" s="2092" t="s">
        <v>2027</v>
      </c>
      <c r="C55" s="1161" t="s">
        <v>2874</v>
      </c>
    </row>
    <row r="56" spans="1:4">
      <c r="A56" s="3459"/>
      <c r="B56" s="2092" t="s">
        <v>2028</v>
      </c>
      <c r="C56" s="1161" t="s">
        <v>2884</v>
      </c>
    </row>
    <row r="57" spans="1:4">
      <c r="A57" s="3459"/>
      <c r="B57" s="2092" t="s">
        <v>2029</v>
      </c>
      <c r="C57" s="1161" t="s">
        <v>2875</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1" sqref="M11"/>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4" customWidth="1"/>
    <col min="12" max="13" width="10" style="2004"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1" t="s">
        <v>2133</v>
      </c>
      <c r="B1" s="3460" t="str">
        <f>IF(B10="北京市","北京市",C10)&amp;F10&amp;IF(结果表!G1="在建","出让国有建设用地使用权及在建建筑物",IF(结果表!G1="土地","出让国有建设用地使用权",))&amp;B9&amp;"预评估"</f>
        <v>福建省福州市晋安区预评估</v>
      </c>
      <c r="C1" s="3461"/>
      <c r="D1" s="3461"/>
      <c r="E1" s="3461"/>
      <c r="F1" s="3461"/>
      <c r="G1" s="3461"/>
      <c r="H1" s="3461"/>
      <c r="I1" s="3462"/>
      <c r="J1" s="1993"/>
      <c r="K1" s="2099"/>
      <c r="L1" s="1994"/>
      <c r="M1" s="1994"/>
      <c r="N1" s="1196"/>
      <c r="O1" s="11"/>
      <c r="P1" s="1196"/>
      <c r="Q1" s="1196"/>
      <c r="R1" s="1196"/>
      <c r="S1" s="1195" t="str">
        <f>IF(B10="北京市","北京市",C10)&amp;F10&amp;IF(结果表!G1="在建","出让国有建设用地使用权及在建建筑物房地产抵押价值",IF(结果表!G1="土地","出让国有建设用地使用权抵押价值",B9))</f>
        <v>福建省福州市晋安区</v>
      </c>
    </row>
    <row r="2" spans="1:19" ht="18" customHeight="1">
      <c r="A2" s="1993" t="s">
        <v>2134</v>
      </c>
      <c r="B2" s="1940"/>
      <c r="C2" s="1995"/>
      <c r="D2" s="1993"/>
      <c r="E2" s="1996"/>
      <c r="F2" s="1996"/>
      <c r="G2" s="1993"/>
      <c r="H2" s="1993"/>
      <c r="I2" s="1993"/>
      <c r="J2" s="1993"/>
      <c r="K2" s="2099"/>
      <c r="L2" s="1994"/>
      <c r="M2" s="1994"/>
      <c r="N2" s="1196"/>
      <c r="O2" s="11"/>
      <c r="P2" s="1196"/>
      <c r="Q2" s="1196"/>
      <c r="R2" s="1196"/>
      <c r="S2" s="1195" t="str">
        <f>IF(B10="北京市","北京市",C10)&amp;F10&amp;IF(结果表!G1="在建","出让国有建设用地使用权及在建建筑物房地产",IF(结果表!G1="土地","出让国有建设用地使用权","房地产"))</f>
        <v>福建省福州市晋安区房地产</v>
      </c>
    </row>
    <row r="3" spans="1:19" ht="18" customHeight="1">
      <c r="A3" s="1938" t="s">
        <v>2009</v>
      </c>
      <c r="B3" s="3235">
        <v>42935</v>
      </c>
      <c r="C3" s="1921" t="s">
        <v>2010</v>
      </c>
      <c r="D3" s="3235">
        <v>42935</v>
      </c>
      <c r="E3" s="1993"/>
      <c r="F3" s="1993"/>
      <c r="G3" s="1993"/>
      <c r="H3" s="1993"/>
      <c r="I3" s="1993"/>
      <c r="J3" s="1993"/>
      <c r="K3" s="2099"/>
      <c r="L3" s="1994"/>
      <c r="M3" s="1994"/>
      <c r="N3" s="1196"/>
      <c r="O3" s="11"/>
      <c r="P3" s="1196"/>
      <c r="Q3" s="1196"/>
      <c r="R3" s="1196"/>
      <c r="S3" s="1195"/>
    </row>
    <row r="4" spans="1:19" ht="18" customHeight="1" thickBot="1">
      <c r="A4" s="1922" t="s">
        <v>2011</v>
      </c>
      <c r="B4" s="1923"/>
      <c r="C4" s="1924">
        <f>SUMIF(注册房地产估价师,B4,估价师及机构信息!B3:B24)</f>
        <v>0</v>
      </c>
      <c r="D4" s="1923"/>
      <c r="E4" s="1925">
        <f>SUMIF(注册房地产估价师,D4,估价师及机构信息!B3:B24)</f>
        <v>0</v>
      </c>
      <c r="F4" s="1923" t="s">
        <v>531</v>
      </c>
      <c r="G4" s="1952">
        <f>SUMIF(注册房地产估价师,F4,估价师及机构信息!B3:B24)</f>
        <v>0</v>
      </c>
      <c r="H4" s="1923" t="s">
        <v>531</v>
      </c>
      <c r="I4" s="2887">
        <f>SUMIF(注册房地产估价师,H4,估价师及机构信息!B3:B24)</f>
        <v>0</v>
      </c>
      <c r="J4" s="1998"/>
      <c r="K4" s="2100" t="str">
        <f>CONCATENATE(B4,"（注册号：",C4,")、",D4,"（注册号：",E4,")")</f>
        <v>（注册号：0)、（注册号：0)</v>
      </c>
      <c r="L4" s="1994"/>
      <c r="M4" s="1994"/>
      <c r="N4" s="1196"/>
      <c r="O4" s="11"/>
      <c r="P4" s="1196"/>
      <c r="Q4" s="1196"/>
      <c r="R4" s="1196"/>
      <c r="S4" s="1195"/>
    </row>
    <row r="5" spans="1:19" ht="18" customHeight="1" thickTop="1">
      <c r="A5" s="1926" t="s">
        <v>2098</v>
      </c>
      <c r="B5" s="3290"/>
      <c r="C5" s="2037"/>
      <c r="D5" s="1999"/>
      <c r="E5" s="1998"/>
      <c r="F5" s="1998"/>
      <c r="G5" s="1998"/>
      <c r="H5" s="1998"/>
      <c r="I5" s="1998"/>
      <c r="J5" s="1998"/>
      <c r="K5" s="2100" t="str">
        <f>IF(F4="——","",IF(H4="——",F4&amp;"（注册号："&amp;G4&amp;")",CONCATENATE(F4,"（注册号：",G4,")、",H4,"（注册号：",I4,")")))</f>
        <v/>
      </c>
      <c r="L5" s="1994"/>
      <c r="M5" s="1994"/>
      <c r="N5" s="1196"/>
      <c r="O5" s="11"/>
      <c r="P5" s="1196"/>
      <c r="Q5" s="1196"/>
      <c r="R5" s="1196"/>
    </row>
    <row r="6" spans="1:19" ht="18" customHeight="1">
      <c r="A6" s="1927" t="s">
        <v>2099</v>
      </c>
      <c r="B6" s="2038"/>
      <c r="C6" s="2039"/>
      <c r="D6" s="2000"/>
      <c r="E6" s="1996"/>
      <c r="F6" s="1998"/>
      <c r="G6" s="1998"/>
      <c r="H6" s="1998"/>
      <c r="I6" s="1998"/>
      <c r="J6" s="1998"/>
      <c r="K6" s="2105" t="str">
        <f>IF(COUNTIF(B6,"*上海银行*"),"上海银行","")</f>
        <v/>
      </c>
      <c r="L6" s="1994"/>
      <c r="M6" s="1994"/>
      <c r="N6" s="1196"/>
      <c r="O6" s="11"/>
      <c r="P6" s="1196"/>
      <c r="Q6" s="1196"/>
      <c r="R6" s="1196"/>
    </row>
    <row r="7" spans="1:19" ht="18" customHeight="1">
      <c r="A7" s="1927" t="s">
        <v>2879</v>
      </c>
      <c r="B7" s="3291"/>
      <c r="C7" s="2039"/>
      <c r="D7" s="2000"/>
      <c r="E7" s="1996"/>
      <c r="F7" s="1998"/>
      <c r="G7" s="1998"/>
      <c r="H7" s="1998"/>
      <c r="I7" s="1998"/>
      <c r="J7" s="1998"/>
      <c r="K7" s="2101"/>
      <c r="L7" s="1994"/>
      <c r="M7" s="1994"/>
      <c r="N7" s="1196"/>
      <c r="O7" s="11"/>
      <c r="P7" s="1196"/>
      <c r="Q7" s="1196"/>
      <c r="R7" s="1196"/>
    </row>
    <row r="8" spans="1:19" ht="18" customHeight="1">
      <c r="A8" s="1927" t="s">
        <v>1957</v>
      </c>
      <c r="B8" s="2032" t="s">
        <v>3556</v>
      </c>
      <c r="C8" s="2001"/>
      <c r="D8" s="3463" t="s">
        <v>2019</v>
      </c>
      <c r="E8" s="2033" t="s">
        <v>3557</v>
      </c>
      <c r="F8" s="2034"/>
      <c r="G8" s="1993"/>
      <c r="H8" s="1993"/>
      <c r="I8" s="1993"/>
      <c r="J8" s="1998"/>
      <c r="K8" s="2100"/>
      <c r="L8" s="1994"/>
      <c r="M8" s="1994"/>
      <c r="N8" s="1196"/>
      <c r="O8" s="11"/>
      <c r="P8" s="1196"/>
      <c r="Q8" s="1196"/>
      <c r="R8" s="1196"/>
    </row>
    <row r="9" spans="1:19" ht="18" customHeight="1" thickBot="1">
      <c r="A9" s="1952" t="s">
        <v>1958</v>
      </c>
      <c r="B9" s="1953"/>
      <c r="C9" s="2002"/>
      <c r="D9" s="3464"/>
      <c r="E9" s="1953"/>
      <c r="F9" s="2890"/>
      <c r="G9" s="1997"/>
      <c r="H9" s="1997"/>
      <c r="I9" s="1997"/>
      <c r="J9" s="1998"/>
      <c r="K9" s="2101"/>
      <c r="L9" s="1994"/>
      <c r="M9" s="1994"/>
      <c r="N9" s="1196"/>
      <c r="O9" s="11"/>
      <c r="P9" s="1196"/>
      <c r="Q9" s="1196"/>
      <c r="R9" s="1196"/>
    </row>
    <row r="10" spans="1:19" ht="18" customHeight="1" thickTop="1">
      <c r="A10" s="2007" t="s">
        <v>2070</v>
      </c>
      <c r="B10" s="2053" t="s">
        <v>3558</v>
      </c>
      <c r="C10" s="2035" t="s">
        <v>3559</v>
      </c>
      <c r="D10" s="1999"/>
      <c r="E10" s="1937" t="s">
        <v>1959</v>
      </c>
      <c r="F10" s="1950" t="s">
        <v>3560</v>
      </c>
      <c r="G10" s="2888"/>
      <c r="H10" s="2889"/>
      <c r="I10" s="1999"/>
      <c r="J10" s="1998"/>
      <c r="K10" s="2101"/>
      <c r="L10" s="1994"/>
      <c r="M10" s="1994"/>
      <c r="N10" s="1196"/>
      <c r="O10" s="11"/>
      <c r="P10" s="1196"/>
      <c r="Q10" s="1196"/>
      <c r="R10" s="1196"/>
    </row>
    <row r="11" spans="1:19" ht="18" customHeight="1">
      <c r="A11" s="1956" t="s">
        <v>2071</v>
      </c>
      <c r="B11" s="2052" t="s">
        <v>3715</v>
      </c>
      <c r="C11" s="2036" t="s">
        <v>3561</v>
      </c>
      <c r="D11" s="2003"/>
      <c r="E11" s="1998"/>
      <c r="F11" s="1998"/>
      <c r="G11" s="1998"/>
      <c r="H11" s="1998"/>
      <c r="I11" s="1998"/>
      <c r="J11" s="1998"/>
      <c r="K11" s="2101"/>
      <c r="L11" s="1994"/>
      <c r="M11" s="1994"/>
      <c r="N11" s="1196"/>
      <c r="O11" s="11"/>
      <c r="P11" s="1196"/>
      <c r="Q11" s="1196"/>
      <c r="R11" s="1196"/>
    </row>
    <row r="12" spans="1:19" ht="18" customHeight="1">
      <c r="A12" s="2051" t="s">
        <v>2097</v>
      </c>
      <c r="B12" s="2052" t="s">
        <v>2030</v>
      </c>
      <c r="C12" s="2010" t="s">
        <v>2101</v>
      </c>
      <c r="D12" s="2022" t="s">
        <v>1951</v>
      </c>
      <c r="E12" s="2022" t="s">
        <v>2714</v>
      </c>
      <c r="F12" s="2022" t="s">
        <v>2715</v>
      </c>
      <c r="G12" s="2022" t="s">
        <v>2716</v>
      </c>
      <c r="H12" s="2022" t="s">
        <v>2717</v>
      </c>
      <c r="I12" s="2022" t="s">
        <v>2718</v>
      </c>
      <c r="J12" s="1998"/>
      <c r="K12" s="2101"/>
      <c r="L12" s="1994"/>
      <c r="M12" s="1994"/>
      <c r="N12" s="1196"/>
      <c r="O12" s="11"/>
      <c r="P12" s="1196"/>
      <c r="Q12" s="1196"/>
      <c r="R12" s="1196"/>
    </row>
    <row r="13" spans="1:19" ht="18" customHeight="1">
      <c r="A13" s="2006"/>
      <c r="B13" s="2081"/>
      <c r="C13" s="2082" t="s">
        <v>2100</v>
      </c>
      <c r="D13" s="3234"/>
      <c r="E13" s="3234">
        <v>55662</v>
      </c>
      <c r="F13" s="3234"/>
      <c r="G13" s="3234">
        <v>59255</v>
      </c>
      <c r="H13" s="3234"/>
      <c r="I13" s="2047"/>
      <c r="J13" s="1998"/>
      <c r="K13" s="2101"/>
      <c r="L13" s="1994"/>
      <c r="M13" s="1994"/>
      <c r="N13" s="1196"/>
      <c r="O13" s="11"/>
      <c r="P13" s="1196"/>
      <c r="Q13" s="1196"/>
      <c r="R13" s="1196"/>
    </row>
    <row r="14" spans="1:19" ht="18" customHeight="1">
      <c r="A14" s="2006"/>
      <c r="B14" s="2081"/>
      <c r="C14" s="2082" t="s">
        <v>2102</v>
      </c>
      <c r="D14" s="2050"/>
      <c r="E14" s="2050">
        <v>40</v>
      </c>
      <c r="F14" s="2050"/>
      <c r="G14" s="2050">
        <v>50</v>
      </c>
      <c r="H14" s="2050"/>
      <c r="I14" s="2050"/>
      <c r="J14" s="1998"/>
      <c r="K14" s="2102"/>
      <c r="L14" s="1994"/>
      <c r="M14" s="1994"/>
      <c r="N14" s="1196"/>
      <c r="O14" s="11"/>
      <c r="P14" s="1196"/>
      <c r="Q14" s="1196"/>
      <c r="R14" s="1196"/>
    </row>
    <row r="15" spans="1:19" ht="18" customHeight="1">
      <c r="A15" s="2007"/>
      <c r="B15" s="2083"/>
      <c r="C15" s="2082" t="s">
        <v>2103</v>
      </c>
      <c r="D15" s="2049" t="str">
        <f>IF(B12="出让",IF(D13="","",ROUNDDOWN(MIN((D13-$D$3)/365,D14),2)),D14)</f>
        <v/>
      </c>
      <c r="E15" s="2049">
        <f>IF(B12="出让",IF(E13="","",ROUNDDOWN(MIN((E13-$D$3)/365,E14),2)),E14)</f>
        <v>34.86</v>
      </c>
      <c r="F15" s="2049" t="str">
        <f>IF(B12="出让",IF(F13="","",ROUNDDOWN(MIN((F13-$D$3)/365,F14),2)),F14)</f>
        <v/>
      </c>
      <c r="G15" s="2049">
        <f>IF(B12="出让",IF(G13="","",ROUNDDOWN(MIN((G13-$D$3)/365,G14),2)),G14)</f>
        <v>44.71</v>
      </c>
      <c r="H15" s="2049" t="str">
        <f>IF(B12="出让",IF(H13="","",ROUNDDOWN(MIN((H13-$D$3)/365,H14),2)),H14)</f>
        <v/>
      </c>
      <c r="I15" s="2049" t="str">
        <f>IF(B12="出让",IF(I13="","",ROUNDDOWN(MIN((I13-$D$3)/365,I14),2)),I14)</f>
        <v/>
      </c>
      <c r="J15" s="1998"/>
      <c r="K15" s="2103"/>
      <c r="L15" s="1230"/>
      <c r="M15" s="1230"/>
      <c r="N15" s="2018"/>
      <c r="O15" s="1230"/>
      <c r="P15" s="2018"/>
      <c r="Q15" s="1196"/>
      <c r="R15" s="1196"/>
    </row>
    <row r="16" spans="1:19" ht="30.75" customHeight="1">
      <c r="A16" s="1937" t="s">
        <v>2104</v>
      </c>
      <c r="B16" s="3470"/>
      <c r="C16" s="3471"/>
      <c r="D16" s="3472"/>
      <c r="E16" s="1954" t="s">
        <v>2031</v>
      </c>
      <c r="F16" s="3473"/>
      <c r="G16" s="3474"/>
      <c r="H16" s="3474"/>
      <c r="I16" s="3475"/>
      <c r="J16" s="1196"/>
      <c r="K16" s="2103"/>
      <c r="L16" s="1230"/>
      <c r="M16" s="1230"/>
      <c r="N16" s="2018"/>
      <c r="O16" s="1230"/>
      <c r="P16" s="2018"/>
      <c r="Q16" s="1196"/>
      <c r="R16" s="1196"/>
    </row>
    <row r="17" spans="1:22" ht="18" customHeight="1">
      <c r="A17" s="2005" t="s">
        <v>1960</v>
      </c>
      <c r="B17" s="1938" t="s">
        <v>1961</v>
      </c>
      <c r="C17" s="2084">
        <f>'数据-汇总表'!E3</f>
        <v>31303.89</v>
      </c>
      <c r="D17" s="1939" t="s">
        <v>1962</v>
      </c>
      <c r="E17" s="3476" t="s">
        <v>2018</v>
      </c>
      <c r="F17" s="3477"/>
      <c r="G17" s="3477"/>
      <c r="H17" s="3477"/>
      <c r="I17" s="3478"/>
      <c r="J17" s="1196"/>
      <c r="K17" s="2694"/>
      <c r="L17" s="1230"/>
      <c r="M17" s="1230"/>
      <c r="N17" s="2018"/>
      <c r="O17" s="1230"/>
      <c r="P17" s="2018"/>
      <c r="Q17" s="1196"/>
      <c r="R17" s="1196"/>
      <c r="S17" s="1196"/>
      <c r="T17" s="1196"/>
      <c r="U17" s="1196"/>
      <c r="V17" s="1196"/>
    </row>
    <row r="18" spans="1:22" ht="36" customHeight="1" thickBot="1">
      <c r="A18" s="2896" t="s">
        <v>2710</v>
      </c>
      <c r="B18" s="1922" t="s">
        <v>1963</v>
      </c>
      <c r="C18" s="2897">
        <f>'数据-汇总表'!D3</f>
        <v>0</v>
      </c>
      <c r="D18" s="2898" t="s">
        <v>1962</v>
      </c>
      <c r="E18" s="3479" t="s">
        <v>3022</v>
      </c>
      <c r="F18" s="3480"/>
      <c r="G18" s="3480"/>
      <c r="H18" s="3480"/>
      <c r="I18" s="3481"/>
      <c r="J18" s="1196"/>
      <c r="K18" s="2694"/>
      <c r="L18" s="1230"/>
      <c r="M18" s="1230"/>
      <c r="N18" s="2018"/>
      <c r="O18" s="1230"/>
      <c r="P18" s="2018"/>
      <c r="Q18" s="1196"/>
      <c r="R18" s="1196"/>
      <c r="S18" s="1196"/>
      <c r="T18" s="1196"/>
      <c r="U18" s="1196"/>
      <c r="V18" s="1196"/>
    </row>
    <row r="19" spans="1:22" ht="37.5" customHeight="1" thickTop="1" thickBot="1">
      <c r="A19" s="2895" t="s">
        <v>2050</v>
      </c>
      <c r="B19" s="2058" t="s">
        <v>2051</v>
      </c>
      <c r="C19" s="2059"/>
      <c r="D19" s="2041" t="s">
        <v>2054</v>
      </c>
      <c r="E19" s="2040"/>
      <c r="F19" s="2042" t="str">
        <f>IF(AND(C19="是",E19="否"),"是否提供他项权证或相关说明","")</f>
        <v/>
      </c>
      <c r="G19" s="2043"/>
      <c r="H19" s="1998"/>
      <c r="I19" s="1998"/>
      <c r="J19" s="1998"/>
      <c r="K19" s="2101"/>
      <c r="L19" s="1994"/>
      <c r="M19" s="1994"/>
      <c r="N19" s="2018"/>
      <c r="O19" s="1230"/>
      <c r="P19" s="2018"/>
      <c r="Q19" s="1196"/>
      <c r="R19" s="1196"/>
      <c r="S19" s="1196"/>
      <c r="T19" s="1196"/>
      <c r="U19" s="1196"/>
      <c r="V19" s="1196"/>
    </row>
    <row r="20" spans="1:22" ht="18" customHeight="1">
      <c r="A20" s="2060" t="s">
        <v>2055</v>
      </c>
      <c r="B20" s="3466" t="s">
        <v>2056</v>
      </c>
      <c r="C20" s="3467"/>
      <c r="D20" s="3468" t="s">
        <v>2057</v>
      </c>
      <c r="E20" s="3469"/>
      <c r="F20" s="2066" t="s">
        <v>2058</v>
      </c>
      <c r="G20" s="1998"/>
      <c r="H20" s="1998"/>
      <c r="I20" s="1998"/>
      <c r="J20" s="1998"/>
      <c r="K20" s="3465" t="s">
        <v>2053</v>
      </c>
      <c r="L20" s="26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4"/>
      <c r="N20" s="2018"/>
      <c r="O20" s="1230"/>
      <c r="P20" s="2018"/>
      <c r="Q20" s="1196"/>
      <c r="R20" s="1196"/>
      <c r="S20" s="1196"/>
      <c r="T20" s="1196"/>
      <c r="U20" s="1196"/>
      <c r="V20" s="1196"/>
    </row>
    <row r="21" spans="1:22" ht="24.75" customHeight="1">
      <c r="A21" s="2060"/>
      <c r="B21" s="2061" t="s">
        <v>2059</v>
      </c>
      <c r="C21" s="2030" t="s">
        <v>2060</v>
      </c>
      <c r="D21" s="1987" t="s">
        <v>2063</v>
      </c>
      <c r="E21" s="2031" t="s">
        <v>2060</v>
      </c>
      <c r="F21" s="1976"/>
      <c r="G21" s="1998"/>
      <c r="H21" s="1998"/>
      <c r="I21" s="1998"/>
      <c r="J21" s="1998"/>
      <c r="K21" s="3465"/>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30"/>
      <c r="P21" s="2018"/>
      <c r="Q21" s="1196"/>
      <c r="R21" s="1196"/>
      <c r="S21" s="1196"/>
      <c r="T21" s="1196"/>
      <c r="U21" s="1196"/>
      <c r="V21" s="1196"/>
    </row>
    <row r="22" spans="1:22" ht="24.75" customHeight="1" thickBot="1">
      <c r="A22" s="2060"/>
      <c r="B22" s="2062" t="s">
        <v>2061</v>
      </c>
      <c r="C22" s="2030" t="s">
        <v>2062</v>
      </c>
      <c r="D22" s="1993"/>
      <c r="E22" s="1993"/>
      <c r="F22" s="2067"/>
      <c r="G22" s="1998"/>
      <c r="H22" s="1998"/>
      <c r="I22" s="1998"/>
      <c r="J22" s="1998"/>
      <c r="K22" s="3465"/>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30"/>
      <c r="P22" s="2018"/>
      <c r="Q22" s="1196"/>
      <c r="R22" s="1196"/>
      <c r="S22" s="1196"/>
      <c r="T22" s="1196"/>
      <c r="U22" s="1196"/>
      <c r="V22" s="1196"/>
    </row>
    <row r="23" spans="1:22" ht="18" customHeight="1">
      <c r="A23" s="1975" t="s">
        <v>2064</v>
      </c>
      <c r="B23" s="2063" t="s">
        <v>2065</v>
      </c>
      <c r="C23" s="2064"/>
      <c r="D23" s="1977" t="s">
        <v>2065</v>
      </c>
      <c r="E23" s="1985"/>
      <c r="F23" s="2067"/>
      <c r="G23" s="1998"/>
      <c r="H23" s="1998"/>
      <c r="I23" s="1998"/>
      <c r="J23" s="1998"/>
      <c r="K23" s="226"/>
      <c r="L23" s="2608"/>
      <c r="M23" s="1994"/>
      <c r="N23" s="2018"/>
      <c r="O23" s="1230"/>
      <c r="P23" s="2018"/>
      <c r="Q23" s="1196"/>
      <c r="R23" s="1196"/>
      <c r="S23" s="1196"/>
      <c r="T23" s="1196"/>
      <c r="U23" s="1196"/>
      <c r="V23" s="1196"/>
    </row>
    <row r="24" spans="1:22" ht="18" customHeight="1">
      <c r="A24" s="1978"/>
      <c r="B24" s="2063" t="s">
        <v>2066</v>
      </c>
      <c r="C24" s="2065"/>
      <c r="D24" s="1975" t="s">
        <v>2066</v>
      </c>
      <c r="E24" s="1986"/>
      <c r="F24" s="2067"/>
      <c r="G24" s="1998"/>
      <c r="H24" s="1998"/>
      <c r="I24" s="1998"/>
      <c r="J24" s="1998"/>
      <c r="K24" s="226"/>
      <c r="L24" s="2608"/>
      <c r="M24" s="1994"/>
      <c r="N24" s="2018"/>
      <c r="O24" s="1230"/>
      <c r="P24" s="2018"/>
      <c r="Q24" s="1196"/>
      <c r="R24" s="1196"/>
      <c r="S24" s="1196"/>
      <c r="T24" s="1196"/>
      <c r="U24" s="1196"/>
      <c r="V24" s="1196"/>
    </row>
    <row r="25" spans="1:22" ht="18" customHeight="1">
      <c r="A25" s="1978"/>
      <c r="B25" s="2063" t="s">
        <v>2067</v>
      </c>
      <c r="C25" s="2065"/>
      <c r="D25" s="1975" t="s">
        <v>2067</v>
      </c>
      <c r="E25" s="1986"/>
      <c r="F25" s="2067"/>
      <c r="G25" s="1998"/>
      <c r="H25" s="1998"/>
      <c r="I25" s="1998"/>
      <c r="J25" s="1998"/>
      <c r="K25" s="2101"/>
      <c r="L25" s="1994"/>
      <c r="M25" s="1994"/>
      <c r="N25" s="2018"/>
      <c r="O25" s="1230"/>
      <c r="P25" s="2018"/>
      <c r="Q25" s="1196"/>
      <c r="R25" s="1196"/>
      <c r="S25" s="1196"/>
      <c r="T25" s="1196"/>
      <c r="U25" s="1196"/>
      <c r="V25" s="1196"/>
    </row>
    <row r="26" spans="1:22" ht="18" customHeight="1" thickBot="1">
      <c r="A26" s="2055"/>
      <c r="B26" s="2068" t="s">
        <v>2068</v>
      </c>
      <c r="C26" s="2069"/>
      <c r="D26" s="2057" t="s">
        <v>2068</v>
      </c>
      <c r="E26" s="2056"/>
      <c r="F26" s="2070"/>
      <c r="G26" s="1997"/>
      <c r="H26" s="1997"/>
      <c r="I26" s="1997"/>
      <c r="J26" s="1998"/>
      <c r="K26" s="2101"/>
      <c r="L26" s="1994"/>
      <c r="M26" s="1994"/>
      <c r="N26" s="2018"/>
      <c r="O26" s="1230"/>
      <c r="P26" s="2018"/>
      <c r="Q26" s="1196"/>
      <c r="R26" s="1196"/>
      <c r="S26" s="1196"/>
      <c r="T26" s="1196"/>
      <c r="U26" s="1196"/>
      <c r="V26" s="1196"/>
    </row>
    <row r="27" spans="1:22" ht="18" customHeight="1" thickTop="1">
      <c r="A27" s="3483" t="s">
        <v>2072</v>
      </c>
      <c r="B27" s="2007" t="s">
        <v>2073</v>
      </c>
      <c r="C27" s="1928"/>
      <c r="D27" s="1929"/>
      <c r="E27" s="1998"/>
      <c r="F27" s="1998"/>
      <c r="G27" s="1998"/>
      <c r="H27" s="1998"/>
      <c r="I27" s="1998"/>
      <c r="J27" s="1196"/>
      <c r="K27" s="2103"/>
      <c r="L27" s="1230"/>
      <c r="M27" s="1230"/>
      <c r="N27" s="2018"/>
      <c r="O27" s="1230"/>
      <c r="P27" s="2018"/>
      <c r="Q27" s="1196"/>
      <c r="R27" s="1196"/>
      <c r="S27" s="1196"/>
      <c r="T27" s="1196"/>
      <c r="U27" s="1196"/>
      <c r="V27" s="1196"/>
    </row>
    <row r="28" spans="1:22" ht="18" customHeight="1">
      <c r="A28" s="3483"/>
      <c r="B28" s="1938" t="s">
        <v>2074</v>
      </c>
      <c r="C28" s="1930"/>
      <c r="D28" s="1931"/>
      <c r="E28" s="1998"/>
      <c r="F28" s="1998"/>
      <c r="G28" s="1998"/>
      <c r="H28" s="1998"/>
      <c r="I28" s="1998"/>
      <c r="J28" s="1196"/>
      <c r="K28" s="2107"/>
      <c r="L28" s="1994"/>
      <c r="M28" s="1994"/>
      <c r="N28" s="1196"/>
      <c r="O28" s="11"/>
      <c r="P28" s="1196"/>
      <c r="Q28" s="1196"/>
      <c r="R28" s="1196"/>
      <c r="S28" s="1196"/>
      <c r="T28" s="1196"/>
      <c r="U28" s="1196"/>
      <c r="V28" s="1196"/>
    </row>
    <row r="29" spans="1:22" ht="18" customHeight="1">
      <c r="A29" s="3483"/>
      <c r="B29" s="1938" t="s">
        <v>2075</v>
      </c>
      <c r="C29" s="1932"/>
      <c r="D29" s="1933"/>
      <c r="E29" s="1998"/>
      <c r="F29" s="1998"/>
      <c r="G29" s="1998"/>
      <c r="H29" s="1998"/>
      <c r="I29" s="1998"/>
      <c r="J29" s="1196"/>
      <c r="K29" s="2107"/>
      <c r="L29" s="1994"/>
      <c r="M29" s="1994"/>
      <c r="N29" s="1196"/>
      <c r="O29" s="11"/>
      <c r="P29" s="1196"/>
      <c r="Q29" s="1196"/>
      <c r="R29" s="1196"/>
      <c r="S29" s="1196"/>
      <c r="T29" s="1196"/>
      <c r="U29" s="1196"/>
      <c r="V29" s="1196"/>
    </row>
    <row r="30" spans="1:22" ht="18" customHeight="1">
      <c r="A30" s="3484"/>
      <c r="B30" s="1938" t="s">
        <v>2076</v>
      </c>
      <c r="C30" s="3485"/>
      <c r="D30" s="3486"/>
      <c r="E30" s="1998"/>
      <c r="F30" s="1998"/>
      <c r="G30" s="1998"/>
      <c r="H30" s="1998"/>
      <c r="I30" s="1998"/>
      <c r="J30" s="1196"/>
      <c r="K30" s="2107"/>
      <c r="L30" s="1994"/>
      <c r="M30" s="1994"/>
      <c r="N30" s="1196"/>
      <c r="O30" s="11"/>
      <c r="P30" s="1196"/>
      <c r="Q30" s="1196"/>
      <c r="R30" s="1196"/>
      <c r="S30" s="1196"/>
      <c r="T30" s="1196"/>
      <c r="U30" s="1196"/>
      <c r="V30" s="1196"/>
    </row>
    <row r="31" spans="1:22" ht="18" customHeight="1">
      <c r="A31" s="3487" t="s">
        <v>2077</v>
      </c>
      <c r="B31" s="1934"/>
      <c r="C31" s="1935" t="str">
        <f>IF(B31="现房","成新及维护状况正常否",IF(B31="在建","工程状态是否正常",IF(B31="土地","是否闲置","-")))</f>
        <v>-</v>
      </c>
      <c r="D31" s="2008"/>
      <c r="E31" s="1936"/>
      <c r="F31" s="1998"/>
      <c r="G31" s="1998"/>
      <c r="H31" s="1998"/>
      <c r="I31" s="1998"/>
      <c r="J31" s="1998"/>
      <c r="K31" s="2105"/>
      <c r="L31" s="1994"/>
      <c r="M31" s="1994"/>
      <c r="N31" s="1196"/>
      <c r="O31" s="11"/>
      <c r="P31" s="1196"/>
      <c r="Q31" s="1196"/>
      <c r="R31" s="1196"/>
      <c r="S31" s="1196"/>
      <c r="T31" s="1196"/>
      <c r="U31" s="1196"/>
      <c r="V31" s="1196"/>
    </row>
    <row r="32" spans="1:22" ht="18" customHeight="1">
      <c r="A32" s="3488"/>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6"/>
      <c r="O32" s="11"/>
      <c r="P32" s="1196"/>
      <c r="Q32" s="1196"/>
      <c r="R32" s="1196"/>
      <c r="S32" s="1196"/>
      <c r="T32" s="1196"/>
      <c r="U32" s="1196"/>
      <c r="V32" s="1196"/>
    </row>
    <row r="33" spans="1:22" ht="18" customHeight="1">
      <c r="A33" s="3488"/>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6"/>
      <c r="O33" s="11"/>
      <c r="P33" s="1196"/>
      <c r="Q33" s="1196"/>
      <c r="R33" s="1196"/>
      <c r="S33" s="1196"/>
      <c r="T33" s="1196"/>
      <c r="U33" s="1196"/>
      <c r="V33" s="1196"/>
    </row>
    <row r="34" spans="1:22" ht="18" customHeight="1">
      <c r="A34" s="1938" t="s">
        <v>2032</v>
      </c>
      <c r="B34" s="1958"/>
      <c r="C34" s="1958"/>
      <c r="D34" s="1958"/>
      <c r="E34" s="1958"/>
      <c r="F34" s="1958"/>
      <c r="G34" s="1958"/>
      <c r="H34" s="1958"/>
      <c r="I34" s="1998"/>
      <c r="J34" s="1998"/>
      <c r="K34" s="2885">
        <f>COUNTIF(B34:H34,"——")</f>
        <v>0</v>
      </c>
      <c r="L34" s="2010" t="s">
        <v>2106</v>
      </c>
      <c r="M34" s="2010" t="s">
        <v>2107</v>
      </c>
      <c r="N34" s="2010" t="s">
        <v>2108</v>
      </c>
      <c r="O34" s="2010" t="s">
        <v>2109</v>
      </c>
      <c r="P34" s="2010" t="s">
        <v>2110</v>
      </c>
      <c r="Q34" s="2010" t="s">
        <v>2111</v>
      </c>
      <c r="R34" s="2010" t="s">
        <v>2112</v>
      </c>
      <c r="S34" s="3482" t="s">
        <v>2113</v>
      </c>
      <c r="T34" s="2011" t="str">
        <f>NUMBERSTRING(7-K34,1)&amp;"通"</f>
        <v>七通</v>
      </c>
      <c r="U34" s="1196"/>
      <c r="V34" s="1196"/>
    </row>
    <row r="35" spans="1:22" ht="18" customHeight="1">
      <c r="A35" s="2012"/>
      <c r="B35" s="3489" t="s">
        <v>1876</v>
      </c>
      <c r="C35" s="3489"/>
      <c r="D35" s="3489"/>
      <c r="E35" s="3489"/>
      <c r="F35" s="2013" t="str">
        <f>C10</f>
        <v>福建省福州市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2"/>
      <c r="T35" s="23" t="str">
        <f>IF(T34="一通",L35,IF(T34="二通",M35,IF(T34="三通",N35,IF(T34="四通",O35,IF(T34="五通",P35,IF(T34="六通",Q35,R35))))))</f>
        <v>、、、、、、</v>
      </c>
      <c r="U35" s="1196"/>
      <c r="V35" s="1196"/>
    </row>
    <row r="36" spans="1:22" ht="18" customHeight="1">
      <c r="A36" s="2014"/>
      <c r="B36" s="2013" t="s">
        <v>1956</v>
      </c>
      <c r="C36" s="2013" t="s">
        <v>1952</v>
      </c>
      <c r="D36" s="2013" t="s">
        <v>1951</v>
      </c>
      <c r="E36" s="2013" t="s">
        <v>1953</v>
      </c>
      <c r="F36" s="2015"/>
      <c r="G36" s="1998"/>
      <c r="H36" s="1998"/>
      <c r="I36" s="1998"/>
      <c r="J36" s="1998"/>
      <c r="K36" s="2101"/>
      <c r="L36" s="1994"/>
      <c r="M36" s="1994"/>
      <c r="N36" s="1196"/>
      <c r="O36" s="11"/>
      <c r="P36" s="1196"/>
      <c r="Q36" s="1196"/>
      <c r="R36" s="1196"/>
      <c r="S36" s="1196"/>
      <c r="T36" s="1196"/>
      <c r="U36" s="1196"/>
      <c r="V36" s="1196"/>
    </row>
    <row r="37" spans="1:22" ht="18" customHeight="1">
      <c r="A37" s="2016" t="s">
        <v>1875</v>
      </c>
      <c r="B37" s="2017"/>
      <c r="C37" s="2017"/>
      <c r="D37" s="2017"/>
      <c r="E37" s="2017"/>
      <c r="F37" s="2015"/>
      <c r="G37" s="1998"/>
      <c r="H37" s="1998"/>
      <c r="I37" s="1998"/>
      <c r="J37" s="1998"/>
      <c r="K37" s="2101"/>
      <c r="L37" s="1994"/>
      <c r="M37" s="1994"/>
      <c r="N37" s="1196"/>
      <c r="O37" s="11"/>
      <c r="P37" s="1196"/>
      <c r="Q37" s="1196"/>
      <c r="R37" s="1196"/>
      <c r="S37" s="1196"/>
      <c r="T37" s="1196"/>
      <c r="U37" s="1196"/>
      <c r="V37" s="1196"/>
    </row>
    <row r="38" spans="1:22" ht="18" customHeight="1" thickBot="1">
      <c r="A38" s="2044" t="s">
        <v>1877</v>
      </c>
      <c r="B38" s="2045"/>
      <c r="C38" s="2045"/>
      <c r="D38" s="2045"/>
      <c r="E38" s="2045"/>
      <c r="F38" s="2046"/>
      <c r="G38" s="1997"/>
      <c r="H38" s="1997"/>
      <c r="I38" s="1997"/>
      <c r="J38" s="1998"/>
      <c r="K38" s="2101"/>
      <c r="L38" s="1994"/>
      <c r="M38" s="1994"/>
      <c r="N38" s="1196"/>
      <c r="O38" s="11"/>
      <c r="P38" s="1196"/>
      <c r="Q38" s="1196"/>
      <c r="R38" s="1196"/>
      <c r="S38" s="1196"/>
      <c r="T38" s="1196"/>
      <c r="U38" s="1196"/>
      <c r="V38" s="1196"/>
    </row>
    <row r="39" spans="1:22" s="3313" customFormat="1" ht="18" customHeight="1" thickTop="1" thickBot="1">
      <c r="A39" s="3314" t="s">
        <v>3040</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6"/>
      <c r="B40" s="1196"/>
      <c r="C40" s="1196"/>
      <c r="D40" s="1196"/>
      <c r="E40" s="1196"/>
      <c r="F40" s="1196"/>
      <c r="G40" s="1196"/>
      <c r="H40" s="1196"/>
      <c r="I40" s="1217"/>
      <c r="J40" s="2018"/>
      <c r="K40" s="2106"/>
      <c r="L40" s="1230"/>
      <c r="M40" s="1230"/>
      <c r="N40" s="2018"/>
      <c r="O40" s="1230"/>
      <c r="P40" s="1196"/>
      <c r="Q40" s="1196"/>
      <c r="R40" s="1196"/>
      <c r="S40" s="1196"/>
      <c r="T40" s="1196"/>
      <c r="U40" s="1196"/>
      <c r="V40" s="1196"/>
    </row>
    <row r="41" spans="1:22" ht="18" customHeight="1">
      <c r="A41" s="2019" t="s">
        <v>2078</v>
      </c>
      <c r="B41" s="2020"/>
      <c r="C41" s="2021"/>
      <c r="D41" s="1196"/>
      <c r="E41" s="1196"/>
      <c r="F41" s="1196"/>
      <c r="G41" s="1196"/>
      <c r="H41" s="1196"/>
      <c r="I41" s="11"/>
      <c r="J41" s="1196"/>
      <c r="K41" s="2107"/>
      <c r="L41" s="1994"/>
      <c r="M41" s="1994"/>
      <c r="N41" s="1196"/>
      <c r="O41" s="11"/>
      <c r="P41" s="1196"/>
      <c r="Q41" s="1196"/>
      <c r="R41" s="1196"/>
      <c r="S41" s="1196"/>
      <c r="T41" s="1196"/>
      <c r="U41" s="1196"/>
      <c r="V41" s="1196"/>
    </row>
    <row r="42" spans="1:22" ht="18" customHeight="1">
      <c r="A42" s="2010" t="s">
        <v>2079</v>
      </c>
      <c r="B42" s="1984" t="s">
        <v>2080</v>
      </c>
      <c r="C42" s="1984" t="s">
        <v>2081</v>
      </c>
      <c r="D42" s="1984" t="s">
        <v>2082</v>
      </c>
      <c r="E42" s="1984" t="s">
        <v>2083</v>
      </c>
      <c r="F42" s="1984" t="s">
        <v>2084</v>
      </c>
      <c r="G42" s="1984" t="s">
        <v>2085</v>
      </c>
      <c r="H42" s="1984" t="s">
        <v>2086</v>
      </c>
      <c r="I42" s="1984" t="s">
        <v>2087</v>
      </c>
      <c r="J42" s="2097" t="s">
        <v>2088</v>
      </c>
      <c r="K42" s="2022" t="s">
        <v>2089</v>
      </c>
      <c r="L42" s="2022" t="s">
        <v>2090</v>
      </c>
      <c r="M42" s="2022" t="s">
        <v>2091</v>
      </c>
      <c r="N42" s="1984" t="s">
        <v>2092</v>
      </c>
      <c r="O42" s="1984" t="s">
        <v>2093</v>
      </c>
      <c r="P42" s="1984" t="s">
        <v>2094</v>
      </c>
      <c r="Q42" s="2010" t="s">
        <v>2095</v>
      </c>
      <c r="R42" s="2010" t="s">
        <v>2096</v>
      </c>
      <c r="S42" s="1196"/>
      <c r="T42" s="1196"/>
      <c r="U42" s="1196"/>
      <c r="V42" s="1196"/>
    </row>
    <row r="43" spans="1:22" s="2238" customFormat="1" ht="18" customHeight="1">
      <c r="A43" s="1416"/>
      <c r="B43" s="216"/>
      <c r="C43" s="216"/>
      <c r="D43" s="216"/>
      <c r="E43" s="216"/>
      <c r="F43" s="216"/>
      <c r="G43" s="216"/>
      <c r="H43" s="2"/>
      <c r="I43" s="2"/>
      <c r="J43" s="9"/>
      <c r="K43" s="4"/>
      <c r="L43" s="4"/>
      <c r="M43" s="2"/>
      <c r="N43" s="216"/>
      <c r="O43" s="2"/>
      <c r="P43" s="216"/>
      <c r="Q43" s="216"/>
      <c r="R43" s="216"/>
      <c r="S43" s="3244"/>
      <c r="T43" s="3244"/>
      <c r="U43" s="3244"/>
      <c r="V43" s="3244"/>
    </row>
    <row r="44" spans="1:22" s="2238" customFormat="1" ht="18" customHeight="1">
      <c r="A44" s="1416"/>
      <c r="B44" s="1416"/>
      <c r="C44" s="216"/>
      <c r="D44" s="216"/>
      <c r="E44" s="216"/>
      <c r="F44" s="216"/>
      <c r="G44" s="216"/>
      <c r="H44" s="2"/>
      <c r="I44" s="2"/>
      <c r="J44" s="9"/>
      <c r="K44" s="4"/>
      <c r="L44" s="4"/>
      <c r="M44" s="2"/>
      <c r="N44" s="216"/>
      <c r="O44" s="2"/>
      <c r="P44" s="216"/>
      <c r="Q44" s="216"/>
      <c r="R44" s="216"/>
      <c r="S44" s="3244"/>
      <c r="T44" s="3244"/>
      <c r="U44" s="3244"/>
      <c r="V44" s="3244"/>
    </row>
    <row r="45" spans="1:22" s="2238" customFormat="1" ht="18" customHeight="1">
      <c r="A45" s="1416"/>
      <c r="B45" s="1416"/>
      <c r="C45" s="216"/>
      <c r="D45" s="216"/>
      <c r="E45" s="216"/>
      <c r="F45" s="216"/>
      <c r="G45" s="216"/>
      <c r="H45" s="2"/>
      <c r="I45" s="2"/>
      <c r="J45" s="9"/>
      <c r="K45" s="4"/>
      <c r="L45" s="4"/>
      <c r="M45" s="2"/>
      <c r="N45" s="216"/>
      <c r="O45" s="2"/>
      <c r="P45" s="216"/>
      <c r="Q45" s="216"/>
      <c r="R45" s="216"/>
      <c r="S45" s="3244"/>
      <c r="T45" s="3244"/>
      <c r="U45" s="3244"/>
      <c r="V45" s="3244"/>
    </row>
    <row r="46" spans="1:22" s="2238" customFormat="1" ht="18" customHeight="1">
      <c r="A46" s="1416"/>
      <c r="B46" s="1416"/>
      <c r="C46" s="216"/>
      <c r="D46" s="216"/>
      <c r="E46" s="216"/>
      <c r="F46" s="216"/>
      <c r="G46" s="216"/>
      <c r="H46" s="2"/>
      <c r="I46" s="2"/>
      <c r="J46" s="9"/>
      <c r="K46" s="4"/>
      <c r="L46" s="4"/>
      <c r="M46" s="2"/>
      <c r="N46" s="216"/>
      <c r="O46" s="2"/>
      <c r="P46" s="216"/>
      <c r="Q46" s="216"/>
      <c r="R46" s="216"/>
      <c r="S46" s="3244"/>
      <c r="T46" s="3244"/>
      <c r="U46" s="3244"/>
      <c r="V46" s="3244"/>
    </row>
    <row r="47" spans="1:22" s="2238" customFormat="1" ht="18" customHeight="1">
      <c r="A47" s="1416"/>
      <c r="B47" s="1416"/>
      <c r="C47" s="216"/>
      <c r="D47" s="216"/>
      <c r="E47" s="216"/>
      <c r="F47" s="216"/>
      <c r="G47" s="216"/>
      <c r="H47" s="2"/>
      <c r="I47" s="2"/>
      <c r="J47" s="9"/>
      <c r="K47" s="4"/>
      <c r="L47" s="4"/>
      <c r="M47" s="2"/>
      <c r="N47" s="216"/>
      <c r="O47" s="2"/>
      <c r="P47" s="216"/>
      <c r="Q47" s="216"/>
      <c r="R47" s="216"/>
      <c r="S47" s="3244"/>
      <c r="T47" s="3244"/>
      <c r="U47" s="3244"/>
      <c r="V47" s="3244"/>
    </row>
    <row r="48" spans="1:22" s="2238" customFormat="1" ht="18" customHeight="1">
      <c r="A48" s="1416"/>
      <c r="B48" s="1416"/>
      <c r="C48" s="216"/>
      <c r="D48" s="216"/>
      <c r="E48" s="216"/>
      <c r="F48" s="216"/>
      <c r="G48" s="216"/>
      <c r="H48" s="2"/>
      <c r="I48" s="2"/>
      <c r="J48" s="9"/>
      <c r="K48" s="4"/>
      <c r="L48" s="4"/>
      <c r="M48" s="2"/>
      <c r="N48" s="216"/>
      <c r="O48" s="2"/>
      <c r="P48" s="216"/>
      <c r="Q48" s="216"/>
      <c r="R48" s="216"/>
      <c r="S48" s="3244"/>
      <c r="T48" s="3244"/>
      <c r="U48" s="3244"/>
      <c r="V48" s="3244"/>
    </row>
    <row r="49" spans="1:22" s="2238" customFormat="1" ht="18" customHeight="1">
      <c r="A49" s="1416"/>
      <c r="B49" s="1416"/>
      <c r="C49" s="216"/>
      <c r="D49" s="216"/>
      <c r="E49" s="216"/>
      <c r="F49" s="216"/>
      <c r="G49" s="216"/>
      <c r="H49" s="2"/>
      <c r="I49" s="2"/>
      <c r="J49" s="9"/>
      <c r="K49" s="4"/>
      <c r="L49" s="4"/>
      <c r="M49" s="2"/>
      <c r="N49" s="216"/>
      <c r="O49" s="2"/>
      <c r="P49" s="216"/>
      <c r="Q49" s="216"/>
      <c r="R49" s="216"/>
      <c r="S49" s="3244"/>
      <c r="T49" s="3244"/>
      <c r="U49" s="3244"/>
      <c r="V49" s="3244"/>
    </row>
    <row r="50" spans="1:22" s="2238" customFormat="1" ht="18" customHeight="1">
      <c r="A50" s="1416"/>
      <c r="B50" s="1416"/>
      <c r="C50" s="216"/>
      <c r="D50" s="216"/>
      <c r="E50" s="216"/>
      <c r="F50" s="216"/>
      <c r="G50" s="216"/>
      <c r="H50" s="2"/>
      <c r="I50" s="2"/>
      <c r="J50" s="9"/>
      <c r="K50" s="4"/>
      <c r="L50" s="4"/>
      <c r="M50" s="2"/>
      <c r="N50" s="216"/>
      <c r="O50" s="2"/>
      <c r="P50" s="216"/>
      <c r="Q50" s="216"/>
      <c r="R50" s="216"/>
      <c r="S50" s="3244"/>
      <c r="T50" s="3244"/>
      <c r="U50" s="3244"/>
      <c r="V50" s="3244"/>
    </row>
    <row r="51" spans="1:22" s="2238" customFormat="1" ht="18" customHeight="1">
      <c r="A51" s="1416"/>
      <c r="B51" s="1416"/>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7" t="s">
        <v>2414</v>
      </c>
      <c r="AZ2" s="2518" t="s">
        <v>2415</v>
      </c>
      <c r="BA2" s="2519" t="s">
        <v>2416</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c r="B3" s="302">
        <f>IF(C3="否",G5-AT5,G5)</f>
        <v>31303.89</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0"/>
      <c r="AZ3" s="2521"/>
      <c r="BA3" s="2522"/>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20"/>
      <c r="C5" s="220"/>
      <c r="D5" s="218"/>
      <c r="E5" s="305" t="s">
        <v>23</v>
      </c>
      <c r="F5" s="305">
        <f>SUM(F13:F587)</f>
        <v>0</v>
      </c>
      <c r="G5" s="305">
        <f>SUM(G13:G587)</f>
        <v>31303.89</v>
      </c>
      <c r="H5" s="305">
        <f t="shared" ref="H5:AT5" si="0">SUM(H13:H656)</f>
        <v>31303.89</v>
      </c>
      <c r="I5" s="305">
        <f t="shared" si="0"/>
        <v>31303.89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31303.89</v>
      </c>
      <c r="BA5" s="307">
        <f t="shared" si="1"/>
        <v>31303.89</v>
      </c>
      <c r="BB5" s="307">
        <f t="shared" si="1"/>
        <v>31303.89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619</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634</v>
      </c>
      <c r="I9" s="244" t="s">
        <v>3693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3694</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地下</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0" t="s">
        <v>2403</v>
      </c>
      <c r="AE11" s="2489"/>
      <c r="AF11" s="2510" t="s">
        <v>2403</v>
      </c>
      <c r="AG11" s="2489"/>
      <c r="AH11" s="2510" t="s">
        <v>2404</v>
      </c>
      <c r="AI11" s="2511"/>
      <c r="AJ11" s="2510" t="s">
        <v>2404</v>
      </c>
      <c r="AK11" s="260"/>
      <c r="AL11" s="222"/>
      <c r="AM11" s="260"/>
      <c r="AN11" s="222"/>
      <c r="AO11" s="260"/>
      <c r="AP11" s="222"/>
      <c r="AQ11" s="260"/>
      <c r="AR11" s="222"/>
      <c r="AS11" s="260"/>
      <c r="AT11" s="241"/>
      <c r="AU11" s="232"/>
      <c r="AV11" s="240"/>
      <c r="AW11" s="241"/>
      <c r="AX11" s="240"/>
      <c r="AY11" s="79"/>
      <c r="AZ11" s="79"/>
      <c r="BA11" s="79"/>
      <c r="BB11" s="238" t="str">
        <f>I10</f>
        <v>车库</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c r="D13" s="217" t="s">
        <v>3562</v>
      </c>
      <c r="E13" s="305">
        <f>IF($C$3="是",ROUND($A$3*G13/$B$3,2),ROUND($A$3*(G13-AT13)/$B$3,2))</f>
        <v>0</v>
      </c>
      <c r="F13" s="321"/>
      <c r="G13" s="322">
        <f>H13+AC13+AT13</f>
        <v>31303.89</v>
      </c>
      <c r="H13" s="309">
        <f>SUMIF(I$12:AB$12,"总值",I13:AB13)</f>
        <v>31303.89</v>
      </c>
      <c r="I13" s="1417">
        <f>15872.39+15431.5</f>
        <v>31303.89</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0</v>
      </c>
      <c r="AY13" s="304">
        <f>ROUND($AY$6*AZ13/$AZ$5,2)</f>
        <v>0</v>
      </c>
      <c r="AZ13" s="305">
        <f>BA13+BL13</f>
        <v>31303.89</v>
      </c>
      <c r="BA13" s="305">
        <f>SUM(BB13:BK13)</f>
        <v>31303.89</v>
      </c>
      <c r="BB13" s="305">
        <f>IF($D13="是",I13-J13,0)</f>
        <v>31303.89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0" t="s">
        <v>2</v>
      </c>
      <c r="B1" s="3430" t="s">
        <v>37</v>
      </c>
      <c r="C1" s="3430" t="s">
        <v>38</v>
      </c>
      <c r="D1" s="3490" t="s">
        <v>200</v>
      </c>
      <c r="E1" s="3490" t="s">
        <v>201</v>
      </c>
      <c r="F1" s="3490"/>
      <c r="G1" s="3490"/>
      <c r="H1" s="3490"/>
      <c r="I1" s="3490"/>
      <c r="J1" s="3490"/>
      <c r="K1" s="3490"/>
      <c r="L1" s="3490"/>
      <c r="M1" s="3490"/>
    </row>
    <row r="2" spans="1:13" ht="27" customHeight="1">
      <c r="A2" s="3430"/>
      <c r="B2" s="3430"/>
      <c r="C2" s="3430"/>
      <c r="D2" s="3490"/>
      <c r="E2" s="3490" t="s">
        <v>184</v>
      </c>
      <c r="F2" s="3490" t="s">
        <v>185</v>
      </c>
      <c r="G2" s="3490"/>
      <c r="H2" s="3490"/>
      <c r="I2" s="3490"/>
      <c r="J2" s="3490" t="s">
        <v>186</v>
      </c>
      <c r="K2" s="3490"/>
      <c r="L2" s="3490"/>
      <c r="M2" s="3490"/>
    </row>
    <row r="3" spans="1:13" ht="28.5">
      <c r="A3" s="3430"/>
      <c r="B3" s="3430"/>
      <c r="C3" s="3430"/>
      <c r="D3" s="3490"/>
      <c r="E3" s="349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0" t="s">
        <v>202</v>
      </c>
      <c r="B9" s="3490"/>
      <c r="C9" s="349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642</v>
      </c>
      <c r="B1" s="2223"/>
      <c r="C1" s="2223"/>
      <c r="D1" s="2223"/>
      <c r="E1" s="2223"/>
      <c r="F1" s="2223"/>
      <c r="G1" s="2223"/>
      <c r="H1" s="2223"/>
      <c r="I1" s="2223"/>
      <c r="J1" s="2223"/>
      <c r="K1" s="2223"/>
      <c r="L1" s="2223"/>
      <c r="M1" s="2223"/>
      <c r="N1" s="2223"/>
      <c r="O1" s="2223"/>
      <c r="P1" s="2223"/>
    </row>
    <row r="2" spans="1:16">
      <c r="A2" s="3500" t="s">
        <v>643</v>
      </c>
      <c r="B2" s="3500"/>
      <c r="C2" s="3500"/>
      <c r="D2" s="2207" t="s">
        <v>644</v>
      </c>
      <c r="E2" s="19" t="s">
        <v>645</v>
      </c>
      <c r="F2" s="2223"/>
      <c r="G2" s="1179"/>
      <c r="H2" s="1180"/>
      <c r="I2" s="2215" t="s">
        <v>646</v>
      </c>
      <c r="J2" s="2223"/>
      <c r="K2" s="2223"/>
      <c r="L2" s="2223"/>
      <c r="M2" s="2223"/>
      <c r="N2" s="2232"/>
      <c r="O2" s="2223"/>
      <c r="P2" s="2223"/>
    </row>
    <row r="3" spans="1:16" ht="15.75" thickBot="1">
      <c r="A3" s="3501" t="s">
        <v>647</v>
      </c>
      <c r="B3" s="3501"/>
      <c r="C3" s="3501"/>
      <c r="D3" s="335">
        <f>'数据-基础表'!AY6</f>
        <v>0</v>
      </c>
      <c r="E3" s="335">
        <f>'数据-基础表'!AZ5</f>
        <v>31303.89</v>
      </c>
      <c r="F3" s="2223"/>
      <c r="G3" s="442"/>
      <c r="H3" s="440" t="s">
        <v>648</v>
      </c>
      <c r="I3" s="344" t="e">
        <f>ROUND('数据-基础表'!B3/'数据-基础表'!A3,2)</f>
        <v>#DIV/0!</v>
      </c>
      <c r="J3" s="2223"/>
      <c r="K3" s="2223"/>
      <c r="L3" s="2223"/>
      <c r="M3" s="2223"/>
      <c r="N3" s="2232"/>
      <c r="O3" s="2223"/>
      <c r="P3" s="2223"/>
    </row>
    <row r="4" spans="1:16" ht="14.25">
      <c r="A4" s="3502"/>
      <c r="B4" s="3503"/>
      <c r="C4" s="3504"/>
      <c r="D4" s="20" t="s">
        <v>644</v>
      </c>
      <c r="E4" s="21" t="s">
        <v>645</v>
      </c>
      <c r="F4" s="2223"/>
      <c r="G4" s="1181" t="s">
        <v>1794</v>
      </c>
      <c r="H4" s="440" t="s">
        <v>649</v>
      </c>
      <c r="I4" s="344" t="e">
        <f>ROUND(SUMIF('数据-基础表'!I9:AS9,"地上",'数据-基础表'!I5:AS5)/'数据-基础表'!A3,2)</f>
        <v>#DIV/0!</v>
      </c>
      <c r="J4" s="2223"/>
      <c r="K4" s="2223"/>
      <c r="L4" s="2223"/>
      <c r="M4" s="2223"/>
      <c r="N4" s="2232"/>
      <c r="O4" s="2223"/>
      <c r="P4" s="2223"/>
    </row>
    <row r="5" spans="1:16" ht="14.25">
      <c r="A5" s="22" t="s">
        <v>650</v>
      </c>
      <c r="B5" s="3505" t="s">
        <v>651</v>
      </c>
      <c r="C5" s="3505"/>
      <c r="D5" s="337">
        <f>ROUND($D$3*E5/$E$3,2)</f>
        <v>0</v>
      </c>
      <c r="E5" s="338">
        <f>SUMIF('数据-基础表'!$11:$11,"住宅",'数据-基础表'!$5:$5)</f>
        <v>0</v>
      </c>
      <c r="F5" s="2223"/>
      <c r="G5" s="442"/>
      <c r="H5" s="440" t="s">
        <v>648</v>
      </c>
      <c r="I5" s="344" t="e">
        <f>ROUND(E31/D31,2)</f>
        <v>#DIV/0!</v>
      </c>
      <c r="J5" s="2223"/>
      <c r="K5" s="2223"/>
      <c r="L5" s="2223"/>
      <c r="M5" s="2223"/>
      <c r="N5" s="2223"/>
      <c r="O5" s="2223"/>
      <c r="P5" s="2223"/>
    </row>
    <row r="6" spans="1:16" ht="15" thickBot="1">
      <c r="A6" s="24"/>
      <c r="B6" s="3505" t="s">
        <v>652</v>
      </c>
      <c r="C6" s="3505"/>
      <c r="D6" s="337">
        <f>ROUND($D$3*E6/$E$3,2)</f>
        <v>0</v>
      </c>
      <c r="E6" s="338">
        <f>E3-E5</f>
        <v>31303.89</v>
      </c>
      <c r="F6" s="2223"/>
      <c r="G6" s="1757" t="s">
        <v>1795</v>
      </c>
      <c r="H6" s="442" t="s">
        <v>649</v>
      </c>
      <c r="I6" s="1758" t="e">
        <f>ROUND(F31/D31,2)</f>
        <v>#DIV/0!</v>
      </c>
      <c r="J6" s="2223"/>
      <c r="K6" s="2223"/>
      <c r="L6" s="2223"/>
      <c r="M6" s="2223"/>
      <c r="N6" s="2223"/>
      <c r="O6" s="2223"/>
      <c r="P6" s="2223"/>
    </row>
    <row r="7" spans="1:16" ht="14.25">
      <c r="A7" s="3497"/>
      <c r="B7" s="3498"/>
      <c r="C7" s="3499"/>
      <c r="D7" s="20" t="s">
        <v>644</v>
      </c>
      <c r="E7" s="25" t="s">
        <v>645</v>
      </c>
      <c r="F7" s="2223"/>
      <c r="G7" s="1179" t="s">
        <v>1874</v>
      </c>
      <c r="H7" s="38"/>
      <c r="I7" s="762">
        <f>ROUND(445000/151078,2)</f>
        <v>2.95</v>
      </c>
      <c r="J7" s="2223"/>
      <c r="K7" s="2223"/>
      <c r="L7" s="2223"/>
      <c r="M7" s="2223"/>
      <c r="N7" s="2223"/>
      <c r="O7" s="2223"/>
      <c r="P7" s="2223"/>
    </row>
    <row r="8" spans="1:16" ht="14.25">
      <c r="A8" s="22" t="s">
        <v>653</v>
      </c>
      <c r="B8" s="26" t="s">
        <v>654</v>
      </c>
      <c r="C8" s="23" t="s">
        <v>655</v>
      </c>
      <c r="D8" s="337">
        <f t="shared" ref="D8:D15" si="0">ROUND($D$3*E8/$E$3,2)</f>
        <v>0</v>
      </c>
      <c r="E8" s="340">
        <f>SUMIF('数据-基础表'!BB10:BK10,"地上",'数据-基础表'!BB5:BK5)</f>
        <v>0</v>
      </c>
      <c r="F8" s="2223"/>
      <c r="G8" s="2224"/>
      <c r="H8" s="2224"/>
      <c r="I8" s="2223"/>
      <c r="J8" s="2223"/>
      <c r="K8" s="2223"/>
      <c r="L8" s="2223"/>
      <c r="M8" s="2223"/>
      <c r="N8" s="2223"/>
      <c r="O8" s="2223"/>
      <c r="P8" s="2223"/>
    </row>
    <row r="9" spans="1:16" ht="14.25">
      <c r="A9" s="27"/>
      <c r="B9" s="28"/>
      <c r="C9" s="23" t="s">
        <v>656</v>
      </c>
      <c r="D9" s="337">
        <f t="shared" si="0"/>
        <v>0</v>
      </c>
      <c r="E9" s="341">
        <v>0</v>
      </c>
      <c r="F9" s="2223"/>
      <c r="G9" s="2224"/>
      <c r="H9" s="2224"/>
      <c r="I9" s="2223"/>
      <c r="J9" s="2223"/>
      <c r="K9" s="2223"/>
      <c r="L9" s="2223"/>
      <c r="M9" s="2223"/>
      <c r="N9" s="2223"/>
      <c r="O9" s="2223"/>
      <c r="P9" s="2223"/>
    </row>
    <row r="10" spans="1:16" ht="14.25">
      <c r="A10" s="27"/>
      <c r="B10" s="28"/>
      <c r="C10" s="23" t="s">
        <v>657</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2405</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658</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659</v>
      </c>
      <c r="D13" s="337">
        <f t="shared" si="0"/>
        <v>0</v>
      </c>
      <c r="E13" s="340">
        <f>SUMPRODUCT(('数据-基础表'!BB10:BK10="地下")*('数据-基础表'!BB11:BK11="车库")*('数据-基础表'!BB5:BK5))</f>
        <v>31303.89</v>
      </c>
      <c r="F13" s="2223"/>
      <c r="G13" s="2224"/>
      <c r="H13" s="2224"/>
      <c r="I13" s="2223"/>
      <c r="J13" s="2223"/>
      <c r="K13" s="2223"/>
      <c r="L13" s="2223"/>
      <c r="M13" s="2223"/>
      <c r="N13" s="2223"/>
      <c r="O13" s="2223"/>
      <c r="P13" s="2223"/>
    </row>
    <row r="14" spans="1:16" ht="14.25">
      <c r="A14" s="27"/>
      <c r="B14" s="28"/>
      <c r="C14" s="23" t="s">
        <v>660</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661</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662</v>
      </c>
      <c r="D16" s="339">
        <f>SUM(D8:D15)</f>
        <v>0</v>
      </c>
      <c r="E16" s="342">
        <f>SUM(E8:E15)</f>
        <v>31303.89</v>
      </c>
      <c r="F16" s="2223"/>
      <c r="G16" s="2224"/>
      <c r="H16" s="1178" t="s">
        <v>534</v>
      </c>
      <c r="I16" s="1182"/>
      <c r="J16" s="2223"/>
      <c r="K16" s="3494" t="s">
        <v>534</v>
      </c>
      <c r="L16" s="3495"/>
      <c r="M16" s="3495"/>
      <c r="N16" s="3495"/>
      <c r="O16" s="3495"/>
      <c r="P16" s="3496"/>
    </row>
    <row r="17" spans="1:19" ht="14.25">
      <c r="A17" s="29" t="s">
        <v>663</v>
      </c>
      <c r="B17" s="30" t="s">
        <v>664</v>
      </c>
      <c r="C17" s="34" t="s">
        <v>2396</v>
      </c>
      <c r="D17" s="2073" t="s">
        <v>644</v>
      </c>
      <c r="E17" s="2071" t="s">
        <v>645</v>
      </c>
      <c r="F17" s="36"/>
      <c r="G17" s="37"/>
      <c r="H17" s="1183" t="s">
        <v>665</v>
      </c>
      <c r="I17" s="1184" t="s">
        <v>2700</v>
      </c>
      <c r="J17" s="2223"/>
      <c r="K17" s="3491" t="s">
        <v>671</v>
      </c>
      <c r="L17" s="3492"/>
      <c r="M17" s="3493"/>
      <c r="N17" s="3491" t="s">
        <v>2698</v>
      </c>
      <c r="O17" s="3492"/>
      <c r="P17" s="3493"/>
      <c r="R17" s="2483" t="s">
        <v>2397</v>
      </c>
      <c r="S17" s="354"/>
    </row>
    <row r="18" spans="1:19">
      <c r="A18" s="27"/>
      <c r="B18" s="31"/>
      <c r="C18" s="35"/>
      <c r="D18" s="2074"/>
      <c r="E18" s="2072" t="s">
        <v>666</v>
      </c>
      <c r="F18" s="15" t="s">
        <v>667</v>
      </c>
      <c r="G18" s="16" t="s">
        <v>668</v>
      </c>
      <c r="H18" s="1185" t="s">
        <v>669</v>
      </c>
      <c r="I18" s="1186" t="s">
        <v>670</v>
      </c>
      <c r="J18" s="2223"/>
      <c r="K18" s="1185" t="s">
        <v>2691</v>
      </c>
      <c r="L18" s="6" t="s">
        <v>2699</v>
      </c>
      <c r="M18" s="2804" t="s">
        <v>2697</v>
      </c>
      <c r="N18" s="1185" t="s">
        <v>2691</v>
      </c>
      <c r="O18" s="6" t="s">
        <v>2699</v>
      </c>
      <c r="P18" s="2804" t="s">
        <v>2697</v>
      </c>
      <c r="R18" s="2484" t="s">
        <v>2398</v>
      </c>
      <c r="S18" s="2484" t="s">
        <v>2399</v>
      </c>
    </row>
    <row r="19" spans="1:19" ht="14.25">
      <c r="A19" s="32"/>
      <c r="B19" s="26" t="s">
        <v>119</v>
      </c>
      <c r="C19" s="1420" t="s">
        <v>3695</v>
      </c>
      <c r="D19" s="337">
        <f>ROUND($D$3*E19/$E$3,2)</f>
        <v>0</v>
      </c>
      <c r="E19" s="345">
        <f t="shared" ref="E19:E26" si="1">SUM(F19:G19)</f>
        <v>31303.89</v>
      </c>
      <c r="F19" s="346"/>
      <c r="G19" s="347">
        <f>15872.39+15431.5</f>
        <v>31303.89</v>
      </c>
      <c r="H19" s="1132">
        <f>ROUND($D$3*I19/$E$3,2)</f>
        <v>0</v>
      </c>
      <c r="I19" s="340">
        <f t="shared" ref="I19:I26" si="2">IF($I$17="自定义",P19,M19)</f>
        <v>0</v>
      </c>
      <c r="J19" s="2223"/>
      <c r="K19" s="2805">
        <f t="shared" ref="K19:K26" si="3">ROUND(E$28*E19/E$27,2)</f>
        <v>0</v>
      </c>
      <c r="L19" s="2485">
        <f t="shared" ref="L19:L26" si="4">ROUND(IF(COUNTIF(C19,"*住宅*")&gt;0,E$29*E19/E$32,0),2)</f>
        <v>0</v>
      </c>
      <c r="M19" s="2823">
        <f>K19+L19</f>
        <v>0</v>
      </c>
      <c r="N19" s="2821"/>
      <c r="O19" s="2803"/>
      <c r="P19" s="2806">
        <f>N19+O19</f>
        <v>0</v>
      </c>
      <c r="R19" s="2485">
        <f t="shared" ref="R19:S26" si="5">D19+H19</f>
        <v>0</v>
      </c>
      <c r="S19" s="2486">
        <f t="shared" si="5"/>
        <v>31303.89</v>
      </c>
    </row>
    <row r="20" spans="1:19" ht="14.25">
      <c r="A20" s="33"/>
      <c r="B20" s="26" t="s">
        <v>637</v>
      </c>
      <c r="C20" s="1420"/>
      <c r="D20" s="337">
        <f t="shared" ref="D20:D26" si="6">ROUND($D$3*E20/$E$3,2)</f>
        <v>0</v>
      </c>
      <c r="E20" s="345">
        <f t="shared" si="1"/>
        <v>0</v>
      </c>
      <c r="F20" s="346"/>
      <c r="G20" s="347"/>
      <c r="H20" s="1132">
        <f t="shared" ref="H20:H26" si="7">ROUND($D$3*I20/$E$3,2)</f>
        <v>0</v>
      </c>
      <c r="I20" s="340">
        <f t="shared" si="2"/>
        <v>0</v>
      </c>
      <c r="J20" s="2223"/>
      <c r="K20" s="2805">
        <f t="shared" si="3"/>
        <v>0</v>
      </c>
      <c r="L20" s="2485">
        <f t="shared" si="4"/>
        <v>0</v>
      </c>
      <c r="M20" s="2823">
        <f t="shared" ref="M20:M26" si="8">K20+L20</f>
        <v>0</v>
      </c>
      <c r="N20" s="2821"/>
      <c r="O20" s="2803"/>
      <c r="P20" s="2806">
        <f t="shared" ref="P20:P26" si="9">N20+O20</f>
        <v>0</v>
      </c>
      <c r="R20" s="2485">
        <f t="shared" si="5"/>
        <v>0</v>
      </c>
      <c r="S20" s="2486">
        <f t="shared" si="5"/>
        <v>0</v>
      </c>
    </row>
    <row r="21" spans="1:19" ht="14.25">
      <c r="A21" s="33"/>
      <c r="B21" s="26" t="s">
        <v>637</v>
      </c>
      <c r="C21" s="1420"/>
      <c r="D21" s="337">
        <f t="shared" si="6"/>
        <v>0</v>
      </c>
      <c r="E21" s="345">
        <f t="shared" si="1"/>
        <v>0</v>
      </c>
      <c r="F21" s="346"/>
      <c r="G21" s="347"/>
      <c r="H21" s="1132">
        <f t="shared" si="7"/>
        <v>0</v>
      </c>
      <c r="I21" s="340">
        <f t="shared" si="2"/>
        <v>0</v>
      </c>
      <c r="J21" s="2223"/>
      <c r="K21" s="2805">
        <f t="shared" si="3"/>
        <v>0</v>
      </c>
      <c r="L21" s="2485">
        <f t="shared" si="4"/>
        <v>0</v>
      </c>
      <c r="M21" s="2823">
        <f t="shared" si="8"/>
        <v>0</v>
      </c>
      <c r="N21" s="2821"/>
      <c r="O21" s="2803"/>
      <c r="P21" s="2806">
        <f t="shared" si="9"/>
        <v>0</v>
      </c>
      <c r="R21" s="2485">
        <f t="shared" si="5"/>
        <v>0</v>
      </c>
      <c r="S21" s="2486">
        <f t="shared" si="5"/>
        <v>0</v>
      </c>
    </row>
    <row r="22" spans="1:19" ht="14.25">
      <c r="A22" s="33"/>
      <c r="B22" s="26" t="s">
        <v>637</v>
      </c>
      <c r="C22" s="3392"/>
      <c r="D22" s="337">
        <f t="shared" si="6"/>
        <v>0</v>
      </c>
      <c r="E22" s="345">
        <f t="shared" si="1"/>
        <v>0</v>
      </c>
      <c r="F22" s="350"/>
      <c r="G22" s="351"/>
      <c r="H22" s="1132">
        <f t="shared" si="7"/>
        <v>0</v>
      </c>
      <c r="I22" s="340">
        <f t="shared" si="2"/>
        <v>0</v>
      </c>
      <c r="J22" s="2223"/>
      <c r="K22" s="2805">
        <f t="shared" si="3"/>
        <v>0</v>
      </c>
      <c r="L22" s="2485">
        <f t="shared" si="4"/>
        <v>0</v>
      </c>
      <c r="M22" s="2823">
        <f t="shared" si="8"/>
        <v>0</v>
      </c>
      <c r="N22" s="2821"/>
      <c r="O22" s="2803"/>
      <c r="P22" s="2806">
        <f t="shared" si="9"/>
        <v>0</v>
      </c>
      <c r="R22" s="2485">
        <f t="shared" si="5"/>
        <v>0</v>
      </c>
      <c r="S22" s="2486">
        <f t="shared" si="5"/>
        <v>0</v>
      </c>
    </row>
    <row r="23" spans="1:19" ht="14.25">
      <c r="A23" s="33"/>
      <c r="B23" s="26" t="s">
        <v>637</v>
      </c>
      <c r="C23" s="349"/>
      <c r="D23" s="337">
        <f>ROUND($D$3*E23/$E$3,2)</f>
        <v>0</v>
      </c>
      <c r="E23" s="345">
        <f>SUM(F23:G23)</f>
        <v>0</v>
      </c>
      <c r="F23" s="350"/>
      <c r="G23" s="351"/>
      <c r="H23" s="1132">
        <f>ROUND($D$3*I23/$E$3,2)</f>
        <v>0</v>
      </c>
      <c r="I23" s="340">
        <f t="shared" si="2"/>
        <v>0</v>
      </c>
      <c r="J23" s="2223"/>
      <c r="K23" s="2805">
        <f t="shared" si="3"/>
        <v>0</v>
      </c>
      <c r="L23" s="2485">
        <f t="shared" si="4"/>
        <v>0</v>
      </c>
      <c r="M23" s="2823">
        <f t="shared" si="8"/>
        <v>0</v>
      </c>
      <c r="N23" s="2821"/>
      <c r="O23" s="2803"/>
      <c r="P23" s="2806">
        <f t="shared" si="9"/>
        <v>0</v>
      </c>
      <c r="R23" s="2485">
        <f t="shared" si="5"/>
        <v>0</v>
      </c>
      <c r="S23" s="2486">
        <f t="shared" si="5"/>
        <v>0</v>
      </c>
    </row>
    <row r="24" spans="1:19" ht="14.25">
      <c r="A24" s="33"/>
      <c r="B24" s="26" t="s">
        <v>637</v>
      </c>
      <c r="C24" s="349"/>
      <c r="D24" s="337">
        <f>ROUND($D$3*E24/$E$3,2)</f>
        <v>0</v>
      </c>
      <c r="E24" s="345">
        <f>SUM(F24:G24)</f>
        <v>0</v>
      </c>
      <c r="F24" s="350"/>
      <c r="G24" s="351"/>
      <c r="H24" s="1132">
        <f>ROUND($D$3*I24/$E$3,2)</f>
        <v>0</v>
      </c>
      <c r="I24" s="340">
        <f t="shared" si="2"/>
        <v>0</v>
      </c>
      <c r="J24" s="2223"/>
      <c r="K24" s="2805">
        <f t="shared" si="3"/>
        <v>0</v>
      </c>
      <c r="L24" s="2485">
        <f t="shared" si="4"/>
        <v>0</v>
      </c>
      <c r="M24" s="2823">
        <f t="shared" si="8"/>
        <v>0</v>
      </c>
      <c r="N24" s="2821"/>
      <c r="O24" s="2803"/>
      <c r="P24" s="2806">
        <f t="shared" si="9"/>
        <v>0</v>
      </c>
      <c r="R24" s="2485">
        <f t="shared" si="5"/>
        <v>0</v>
      </c>
      <c r="S24" s="2486">
        <f t="shared" si="5"/>
        <v>0</v>
      </c>
    </row>
    <row r="25" spans="1:19" ht="14.25">
      <c r="A25" s="33"/>
      <c r="B25" s="26" t="s">
        <v>637</v>
      </c>
      <c r="C25" s="349"/>
      <c r="D25" s="337">
        <f t="shared" si="6"/>
        <v>0</v>
      </c>
      <c r="E25" s="345">
        <f t="shared" si="1"/>
        <v>0</v>
      </c>
      <c r="F25" s="350"/>
      <c r="G25" s="351"/>
      <c r="H25" s="336">
        <f t="shared" si="7"/>
        <v>0</v>
      </c>
      <c r="I25" s="340">
        <f t="shared" si="2"/>
        <v>0</v>
      </c>
      <c r="J25" s="2223"/>
      <c r="K25" s="2805">
        <f t="shared" si="3"/>
        <v>0</v>
      </c>
      <c r="L25" s="2485">
        <f t="shared" si="4"/>
        <v>0</v>
      </c>
      <c r="M25" s="2823">
        <f t="shared" si="8"/>
        <v>0</v>
      </c>
      <c r="N25" s="2821"/>
      <c r="O25" s="2803"/>
      <c r="P25" s="2806">
        <f t="shared" si="9"/>
        <v>0</v>
      </c>
      <c r="R25" s="2485">
        <f t="shared" si="5"/>
        <v>0</v>
      </c>
      <c r="S25" s="2486">
        <f t="shared" si="5"/>
        <v>0</v>
      </c>
    </row>
    <row r="26" spans="1:19" ht="14.25">
      <c r="A26" s="33"/>
      <c r="B26" s="26" t="s">
        <v>637</v>
      </c>
      <c r="C26" s="353"/>
      <c r="D26" s="337">
        <f t="shared" si="6"/>
        <v>0</v>
      </c>
      <c r="E26" s="345">
        <f t="shared" si="1"/>
        <v>0</v>
      </c>
      <c r="F26" s="350"/>
      <c r="G26" s="351"/>
      <c r="H26" s="336">
        <f t="shared" si="7"/>
        <v>0</v>
      </c>
      <c r="I26" s="340">
        <f t="shared" si="2"/>
        <v>0</v>
      </c>
      <c r="J26" s="2223"/>
      <c r="K26" s="2814">
        <f t="shared" si="3"/>
        <v>0</v>
      </c>
      <c r="L26" s="2815">
        <f t="shared" si="4"/>
        <v>0</v>
      </c>
      <c r="M26" s="357">
        <f t="shared" si="8"/>
        <v>0</v>
      </c>
      <c r="N26" s="2822"/>
      <c r="O26" s="2816"/>
      <c r="P26" s="2817">
        <f t="shared" si="9"/>
        <v>0</v>
      </c>
      <c r="R26" s="2485">
        <f t="shared" si="5"/>
        <v>0</v>
      </c>
      <c r="S26" s="2486">
        <f t="shared" si="5"/>
        <v>0</v>
      </c>
    </row>
    <row r="27" spans="1:19" ht="15.75" thickBot="1">
      <c r="A27" s="33"/>
      <c r="B27" s="23"/>
      <c r="C27" s="2776" t="s">
        <v>638</v>
      </c>
      <c r="D27" s="2808">
        <f>SUM(D19:D26)</f>
        <v>0</v>
      </c>
      <c r="E27" s="2809">
        <f>IF(SUM(E19:E26)='数据-基础表'!BA5,SUM(E19:E26),IF(F27="地上面积有误","面积有误","地下面积有误"))</f>
        <v>31303.89</v>
      </c>
      <c r="F27" s="2808">
        <f>IF(SUM(F19:F26)=E8,SUM(F19:F26),"地上面积有误")</f>
        <v>0</v>
      </c>
      <c r="G27" s="2810">
        <f>SUM(G19:G26)</f>
        <v>31303.89</v>
      </c>
      <c r="H27" s="2811">
        <f>SUM(H19:H26)</f>
        <v>0</v>
      </c>
      <c r="I27" s="2812">
        <f>SUM(I19:I26)</f>
        <v>0</v>
      </c>
      <c r="J27" s="2223"/>
      <c r="K27" s="2818">
        <f>SUM(K19:K26)</f>
        <v>0</v>
      </c>
      <c r="L27" s="2819">
        <f>SUM(L19:L26)</f>
        <v>0</v>
      </c>
      <c r="M27" s="2824">
        <f>SUM(M19:M26)</f>
        <v>0</v>
      </c>
      <c r="N27" s="2818">
        <f t="shared" ref="N27:O27" si="10">SUM(N19:N26)</f>
        <v>0</v>
      </c>
      <c r="O27" s="2819">
        <f t="shared" si="10"/>
        <v>0</v>
      </c>
      <c r="P27" s="2820">
        <f>SUM(P19:P26)</f>
        <v>0</v>
      </c>
      <c r="R27" s="2487">
        <f>IF(SUM(R19:R26)=$D$3,SUM(R19:R26),SUM(R19:R26)&amp;"误差"&amp;ROUND(SUM(R19:R26)-$D$3,2))</f>
        <v>0</v>
      </c>
      <c r="S27" s="2485">
        <f>IF(SUM(S19:S26)=$E$3,SUM(S19:S26),SUM(S19:S26)&amp;"误差"&amp;ROUND(SUM(S19:S26)-E3,2))</f>
        <v>31303.89</v>
      </c>
    </row>
    <row r="28" spans="1:19" ht="14.25">
      <c r="A28" s="33"/>
      <c r="B28" s="26" t="s">
        <v>639</v>
      </c>
      <c r="C28" s="5" t="s">
        <v>640</v>
      </c>
      <c r="D28" s="337">
        <f>ROUND($D$3*E28/$E$3,2)</f>
        <v>0</v>
      </c>
      <c r="E28" s="345">
        <f>SUM(F28:G28)</f>
        <v>0</v>
      </c>
      <c r="F28" s="354">
        <f>'数据-基础表'!BQ5+'数据-基础表'!BS5</f>
        <v>0</v>
      </c>
      <c r="G28" s="355">
        <f>'数据-基础表'!BR5+'数据-基础表'!BT5</f>
        <v>0</v>
      </c>
      <c r="H28" s="2223"/>
      <c r="I28" s="2223"/>
      <c r="J28" s="2223"/>
      <c r="K28" s="2223"/>
      <c r="L28" s="2223"/>
      <c r="M28" s="2223"/>
      <c r="N28" s="2807"/>
      <c r="O28" s="2807"/>
      <c r="P28" s="2223"/>
    </row>
    <row r="29" spans="1:19" ht="14.25">
      <c r="A29" s="33"/>
      <c r="B29" s="26" t="s">
        <v>639</v>
      </c>
      <c r="C29" s="13" t="s">
        <v>2400</v>
      </c>
      <c r="D29" s="337">
        <f>ROUND($D$3*E29/$E$3,2)</f>
        <v>0</v>
      </c>
      <c r="E29" s="345">
        <f>SUM(F29:G29)</f>
        <v>0</v>
      </c>
      <c r="F29" s="356">
        <f>'数据-基础表'!BM5+'数据-基础表'!BO5</f>
        <v>0</v>
      </c>
      <c r="G29" s="357">
        <f>'数据-基础表'!BN5+'数据-基础表'!BP5</f>
        <v>0</v>
      </c>
      <c r="H29" s="2223"/>
      <c r="I29" s="2223"/>
      <c r="J29" s="2223"/>
      <c r="K29" s="2223"/>
      <c r="L29" s="2223"/>
      <c r="M29" s="2223"/>
      <c r="N29" s="2807"/>
      <c r="O29" s="2807"/>
      <c r="P29" s="2223"/>
    </row>
    <row r="30" spans="1:19" ht="15">
      <c r="A30" s="33"/>
      <c r="B30" s="26"/>
      <c r="C30" s="2813" t="s">
        <v>638</v>
      </c>
      <c r="D30" s="2808">
        <f>SUM(D28:D29)</f>
        <v>0</v>
      </c>
      <c r="E30" s="2808">
        <f>SUM(E28:E29)</f>
        <v>0</v>
      </c>
      <c r="F30" s="2808">
        <f>SUM(F28:F29)</f>
        <v>0</v>
      </c>
      <c r="G30" s="2810">
        <f>SUM(G28:G29)</f>
        <v>0</v>
      </c>
      <c r="H30" s="2223"/>
      <c r="I30" s="2223"/>
      <c r="J30" s="2223"/>
      <c r="K30" s="2223"/>
      <c r="L30" s="2223"/>
      <c r="M30" s="2223"/>
      <c r="N30" s="2807"/>
      <c r="O30" s="2807"/>
      <c r="P30" s="2223"/>
    </row>
    <row r="31" spans="1:19" ht="15.75" thickBot="1">
      <c r="A31" s="1187"/>
      <c r="B31" s="2524"/>
      <c r="C31" s="2525" t="s">
        <v>641</v>
      </c>
      <c r="D31" s="1188">
        <f>D27+D30</f>
        <v>0</v>
      </c>
      <c r="E31" s="1188">
        <f>E27+E30</f>
        <v>31303.89</v>
      </c>
      <c r="F31" s="1189">
        <f>F27+F30</f>
        <v>0</v>
      </c>
      <c r="G31" s="1190">
        <f>G27+G30</f>
        <v>31303.89</v>
      </c>
      <c r="H31" s="2223"/>
      <c r="I31" s="2223"/>
      <c r="J31" s="2223"/>
      <c r="K31" s="2223"/>
      <c r="L31" s="2223"/>
      <c r="M31" s="2223"/>
      <c r="N31" s="2223"/>
      <c r="O31" s="2223"/>
      <c r="P31" s="2223"/>
    </row>
    <row r="32" spans="1:19" ht="14.25">
      <c r="A32" s="1181"/>
      <c r="B32" s="1181" t="s">
        <v>2712</v>
      </c>
      <c r="C32" s="1181"/>
      <c r="D32" s="1181"/>
      <c r="E32" s="2523">
        <f>SUMIF(C19:C26,"*住宅*",E19:E26)</f>
        <v>0</v>
      </c>
      <c r="F32" s="1181"/>
      <c r="G32" s="1181"/>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6"/>
    <col min="41" max="41" width="11.625" style="2236" customWidth="1"/>
    <col min="42" max="42" width="9.75" style="2236" customWidth="1"/>
    <col min="43" max="67" width="13.75" style="2236"/>
    <col min="68" max="16384" width="13.75" style="1193"/>
  </cols>
  <sheetData>
    <row r="1" spans="1:67" ht="19.5" thickBot="1">
      <c r="A1" s="44" t="s">
        <v>672</v>
      </c>
      <c r="B1" s="1192"/>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5" customFormat="1" ht="15" thickBot="1">
      <c r="A2" s="45" t="s">
        <v>673</v>
      </c>
      <c r="B2" s="2514">
        <f>项目基本情况!D3</f>
        <v>42935</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5" customFormat="1" ht="14.25" thickBot="1">
      <c r="A3" s="1196"/>
      <c r="B3" s="1194"/>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5" customFormat="1" ht="14.25" thickBot="1">
      <c r="A4" s="46" t="s">
        <v>674</v>
      </c>
      <c r="B4" s="275"/>
      <c r="C4" s="276"/>
      <c r="D4" s="1197"/>
      <c r="E4" s="276" t="s">
        <v>537</v>
      </c>
      <c r="F4" s="276"/>
      <c r="G4" s="276"/>
      <c r="H4" s="276"/>
      <c r="I4" s="276"/>
      <c r="J4" s="277"/>
      <c r="K4" s="1198"/>
      <c r="L4" s="1199"/>
      <c r="M4" s="276"/>
      <c r="N4" s="276" t="s">
        <v>538</v>
      </c>
      <c r="O4" s="276"/>
      <c r="P4" s="276"/>
      <c r="Q4" s="276"/>
      <c r="R4" s="276"/>
      <c r="S4" s="277"/>
      <c r="T4" s="1200" t="str">
        <f>'数据-汇总表'!I17</f>
        <v>自定义</v>
      </c>
      <c r="U4" s="275" t="s">
        <v>675</v>
      </c>
      <c r="V4" s="276"/>
      <c r="W4" s="276"/>
      <c r="X4" s="276"/>
      <c r="Y4" s="277"/>
      <c r="Z4" s="34" t="s">
        <v>676</v>
      </c>
      <c r="AA4" s="34"/>
      <c r="AB4" s="34"/>
      <c r="AC4" s="34"/>
      <c r="AD4" s="34"/>
      <c r="AE4" s="29" t="s">
        <v>677</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2" customFormat="1" ht="54">
      <c r="A5" s="47" t="s">
        <v>2402</v>
      </c>
      <c r="B5" s="48" t="s">
        <v>678</v>
      </c>
      <c r="C5" s="49" t="s">
        <v>679</v>
      </c>
      <c r="D5" s="50" t="s">
        <v>680</v>
      </c>
      <c r="E5" s="51" t="s">
        <v>681</v>
      </c>
      <c r="F5" s="52" t="s">
        <v>682</v>
      </c>
      <c r="G5" s="51" t="s">
        <v>683</v>
      </c>
      <c r="H5" s="51" t="s">
        <v>684</v>
      </c>
      <c r="I5" s="51" t="s">
        <v>685</v>
      </c>
      <c r="J5" s="53" t="s">
        <v>686</v>
      </c>
      <c r="K5" s="54" t="s">
        <v>687</v>
      </c>
      <c r="L5" s="55" t="s">
        <v>688</v>
      </c>
      <c r="M5" s="56" t="s">
        <v>689</v>
      </c>
      <c r="N5" s="1201" t="s">
        <v>80</v>
      </c>
      <c r="O5" s="55" t="s">
        <v>690</v>
      </c>
      <c r="P5" s="57" t="s">
        <v>691</v>
      </c>
      <c r="Q5" s="58" t="s">
        <v>692</v>
      </c>
      <c r="R5" s="273" t="s">
        <v>693</v>
      </c>
      <c r="S5" s="59" t="s">
        <v>2692</v>
      </c>
      <c r="T5" s="274" t="s">
        <v>694</v>
      </c>
      <c r="U5" s="2515" t="s">
        <v>2408</v>
      </c>
      <c r="V5" s="51" t="s">
        <v>695</v>
      </c>
      <c r="W5" s="2516" t="s">
        <v>2409</v>
      </c>
      <c r="X5" s="62"/>
      <c r="Y5" s="60" t="s">
        <v>696</v>
      </c>
      <c r="Z5" s="61" t="s">
        <v>697</v>
      </c>
      <c r="AA5" s="51" t="s">
        <v>695</v>
      </c>
      <c r="AB5" s="2516" t="s">
        <v>2409</v>
      </c>
      <c r="AC5" s="62"/>
      <c r="AD5" s="62" t="s">
        <v>696</v>
      </c>
      <c r="AE5" s="14" t="s">
        <v>539</v>
      </c>
      <c r="AF5" s="51" t="s">
        <v>698</v>
      </c>
      <c r="AG5" s="60" t="s">
        <v>699</v>
      </c>
      <c r="AH5" s="14" t="s">
        <v>2413</v>
      </c>
      <c r="AI5" s="61" t="s">
        <v>2330</v>
      </c>
      <c r="AJ5" s="61" t="s">
        <v>700</v>
      </c>
      <c r="AK5" s="2516" t="s">
        <v>2410</v>
      </c>
      <c r="AL5" s="2516" t="s">
        <v>2411</v>
      </c>
      <c r="AM5" s="360" t="s">
        <v>2412</v>
      </c>
      <c r="AN5" s="2573" t="s">
        <v>2452</v>
      </c>
      <c r="AO5" s="2010" t="s">
        <v>2684</v>
      </c>
      <c r="AP5" s="2892" t="s">
        <v>2693</v>
      </c>
      <c r="AQ5" s="2893" t="s">
        <v>2804</v>
      </c>
      <c r="AR5" s="2893" t="s">
        <v>2805</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5" customFormat="1" ht="14.25">
      <c r="A6" s="2513" t="str">
        <f>'数据-汇总表'!C19</f>
        <v>车库</v>
      </c>
      <c r="B6" s="2491" t="str">
        <f>IF(A6=0,"","经营性")</f>
        <v>经营性</v>
      </c>
      <c r="C6" s="39" t="s">
        <v>3694</v>
      </c>
      <c r="D6" s="2054">
        <f>SUMIF(项目基本情况!D$12:I$12,C6,项目基本情况!D$14:I$14)</f>
        <v>50</v>
      </c>
      <c r="E6" s="2048">
        <f>IF(B6="","",SUMIF(项目基本情况!D$12:I$12,C6,项目基本情况!D$13:I$13))</f>
        <v>59255</v>
      </c>
      <c r="F6" s="362">
        <f>SUMIF(项目基本情况!D$12:I$12,C6,项目基本情况!D$15:I$15)</f>
        <v>44.71</v>
      </c>
      <c r="G6" s="363">
        <f>IF(ISERROR(ROUND(POWER(1+H6,D6-F6)*(POWER(1+H6,F6)-1)/(POWER(1+H6,D6)-1),3)),0,ROUND(POWER(1+H6,D6-F6)*(POWER(1+H6,F6)-1)/(POWER(1+H6,D6)-1),3))</f>
        <v>0.96699999999999997</v>
      </c>
      <c r="H6" s="1475">
        <v>4.4999999999999998E-2</v>
      </c>
      <c r="I6" s="1475">
        <v>0.05</v>
      </c>
      <c r="J6" s="364">
        <v>0.08</v>
      </c>
      <c r="K6" s="2494">
        <f>SUMIF('数据-汇总表'!C$19:C$33,A6,'数据-汇总表'!E$19:E$33)</f>
        <v>31303.89</v>
      </c>
      <c r="L6" s="1476">
        <v>1800</v>
      </c>
      <c r="M6" s="365">
        <f t="shared" ref="M6:M14" si="0">ROUND(K6*L6/10000,0)</f>
        <v>5635</v>
      </c>
      <c r="N6" s="1474">
        <v>0.97</v>
      </c>
      <c r="O6" s="365" t="str">
        <f>IF($N$5="成新度","——",ROUND(M6*N6,0))</f>
        <v>——</v>
      </c>
      <c r="P6" s="366" t="str">
        <f>IF($N$5="成新度","——",M6-O6)</f>
        <v>——</v>
      </c>
      <c r="Q6" s="1477">
        <v>0.05</v>
      </c>
      <c r="R6" s="367">
        <f ca="1">SUMIF('数据-汇总表'!C$19:C$33,A6,'数据-汇总表'!R$19:R$27)</f>
        <v>0</v>
      </c>
      <c r="S6" s="343">
        <f>IF('数据-汇总表'!$I$17="按面积比例",SUMIF('数据-汇总表'!C$19:C$33,A6,'数据-汇总表'!K$19:K$33),SUMIF('数据-汇总表'!C$19:C$33,A6,'数据-汇总表'!N$19:N$33))</f>
        <v>0</v>
      </c>
      <c r="T6" s="2891">
        <f>ROUND($L$14*S6/10000,0)</f>
        <v>0</v>
      </c>
      <c r="U6" s="368">
        <v>1000</v>
      </c>
      <c r="V6" s="369">
        <v>1.4999999999999999E-2</v>
      </c>
      <c r="W6" s="369">
        <v>0.1</v>
      </c>
      <c r="X6" s="2504"/>
      <c r="Y6" s="3393">
        <v>0.97</v>
      </c>
      <c r="Z6" s="371"/>
      <c r="AA6" s="364"/>
      <c r="AB6" s="364"/>
      <c r="AC6" s="2504"/>
      <c r="AD6" s="3393"/>
      <c r="AE6" s="2505">
        <f ca="1">IF(AN6="",0,SUMIF(INDIRECT("'"&amp;AN6&amp;"'"&amp;"!E:E"),$AE$5,INDIRECT("'"&amp;AN6&amp;"'"&amp;"!F:F")))</f>
        <v>44.71</v>
      </c>
      <c r="AF6" s="352"/>
      <c r="AG6" s="478">
        <f>IF(AF6="",0,AE6-AF6)</f>
        <v>0</v>
      </c>
      <c r="AH6" s="373">
        <v>710</v>
      </c>
      <c r="AI6" s="375">
        <v>12</v>
      </c>
      <c r="AJ6" s="376"/>
      <c r="AK6" s="377">
        <v>0.01</v>
      </c>
      <c r="AL6" s="378">
        <v>1.5E-3</v>
      </c>
      <c r="AM6" s="379">
        <v>1.4999999999999999E-2</v>
      </c>
      <c r="AN6" s="2574" t="s">
        <v>3667</v>
      </c>
      <c r="AO6" s="344">
        <f ca="1">SUMIF(INDIRECT("'"&amp;AN6&amp;"'"&amp;"!A:A"),"总价",INDIRECT("'"&amp;AN6&amp;"'"&amp;"!B:B"))</f>
        <v>12463</v>
      </c>
      <c r="AP6" s="2894">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5" customFormat="1" ht="14.25">
      <c r="A7" s="2513">
        <f>'数据-汇总表'!C20</f>
        <v>0</v>
      </c>
      <c r="B7" s="2491"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4">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4"/>
      <c r="Y7" s="3393"/>
      <c r="Z7" s="371"/>
      <c r="AA7" s="364"/>
      <c r="AB7" s="364"/>
      <c r="AC7" s="2504"/>
      <c r="AD7" s="3393"/>
      <c r="AE7" s="2505">
        <f t="shared" ref="AE7:AE13" ca="1" si="6">IF(AN7="",0,SUMIF(INDIRECT("'"&amp;AN7&amp;"'"&amp;"!E:E"),$AE$5,INDIRECT("'"&amp;AN7&amp;"'"&amp;"!F:F")))</f>
        <v>0</v>
      </c>
      <c r="AF7" s="352"/>
      <c r="AG7" s="478">
        <f t="shared" ref="AG7:AG13" si="7">IF(AF7="",0,AE7-AF7)</f>
        <v>0</v>
      </c>
      <c r="AH7" s="373"/>
      <c r="AI7" s="375">
        <v>365</v>
      </c>
      <c r="AJ7" s="376"/>
      <c r="AK7" s="377"/>
      <c r="AL7" s="378"/>
      <c r="AM7" s="379"/>
      <c r="AN7" s="2574"/>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5" customFormat="1" ht="14.25">
      <c r="A8" s="2513">
        <f>'数据-汇总表'!C21</f>
        <v>0</v>
      </c>
      <c r="B8" s="2491"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5"/>
      <c r="I8" s="1475"/>
      <c r="J8" s="364"/>
      <c r="K8" s="2494">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4"/>
      <c r="Y8" s="3393"/>
      <c r="Z8" s="371"/>
      <c r="AA8" s="364"/>
      <c r="AB8" s="364"/>
      <c r="AC8" s="2504"/>
      <c r="AD8" s="3394"/>
      <c r="AE8" s="2505">
        <f t="shared" ca="1" si="6"/>
        <v>0</v>
      </c>
      <c r="AF8" s="352"/>
      <c r="AG8" s="478">
        <f t="shared" si="7"/>
        <v>0</v>
      </c>
      <c r="AH8" s="1480"/>
      <c r="AI8" s="375">
        <v>365</v>
      </c>
      <c r="AJ8" s="376"/>
      <c r="AK8" s="377"/>
      <c r="AL8" s="378"/>
      <c r="AM8" s="379"/>
      <c r="AN8" s="2574"/>
      <c r="AO8" s="344" t="e">
        <f t="shared" ca="1" si="8"/>
        <v>#REF!</v>
      </c>
      <c r="AP8" s="2894">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5" customFormat="1" ht="14.25">
      <c r="A9" s="2513">
        <f>'数据-汇总表'!C22</f>
        <v>0</v>
      </c>
      <c r="B9" s="2491"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1475"/>
      <c r="I9" s="1475"/>
      <c r="J9" s="364"/>
      <c r="K9" s="2494">
        <f>SUMIF('数据-汇总表'!C$19:C$33,A9,'数据-汇总表'!E$19:E$33)</f>
        <v>0</v>
      </c>
      <c r="L9" s="1476"/>
      <c r="M9" s="365">
        <f t="shared" si="0"/>
        <v>0</v>
      </c>
      <c r="N9" s="1474"/>
      <c r="O9" s="365" t="str">
        <f t="shared" si="3"/>
        <v>——</v>
      </c>
      <c r="P9" s="366" t="str">
        <f t="shared" si="4"/>
        <v>——</v>
      </c>
      <c r="Q9" s="1477"/>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4"/>
      <c r="Y9" s="370"/>
      <c r="Z9" s="371"/>
      <c r="AA9" s="364"/>
      <c r="AB9" s="364"/>
      <c r="AC9" s="2504"/>
      <c r="AD9" s="372"/>
      <c r="AE9" s="2505">
        <f t="shared" ca="1" si="6"/>
        <v>0</v>
      </c>
      <c r="AF9" s="352"/>
      <c r="AG9" s="478">
        <f t="shared" si="7"/>
        <v>0</v>
      </c>
      <c r="AH9" s="373"/>
      <c r="AI9" s="375">
        <v>365</v>
      </c>
      <c r="AJ9" s="376"/>
      <c r="AK9" s="377"/>
      <c r="AL9" s="378"/>
      <c r="AM9" s="379"/>
      <c r="AN9" s="2574"/>
      <c r="AO9" s="344" t="e">
        <f t="shared" ca="1" si="8"/>
        <v>#REF!</v>
      </c>
      <c r="AP9" s="2894">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5"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4"/>
      <c r="Y10" s="370"/>
      <c r="Z10" s="371"/>
      <c r="AA10" s="364"/>
      <c r="AB10" s="364"/>
      <c r="AC10" s="2504"/>
      <c r="AD10" s="372"/>
      <c r="AE10" s="2505">
        <f t="shared" ca="1" si="6"/>
        <v>0</v>
      </c>
      <c r="AF10" s="352"/>
      <c r="AG10" s="478">
        <f t="shared" si="7"/>
        <v>0</v>
      </c>
      <c r="AH10" s="373"/>
      <c r="AI10" s="375"/>
      <c r="AJ10" s="376"/>
      <c r="AK10" s="377"/>
      <c r="AL10" s="378"/>
      <c r="AM10" s="379"/>
      <c r="AN10" s="2574"/>
      <c r="AO10" s="344" t="e">
        <f t="shared" ca="1" si="8"/>
        <v>#REF!</v>
      </c>
      <c r="AP10" s="2894">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5"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4"/>
      <c r="Y11" s="370"/>
      <c r="Z11" s="383"/>
      <c r="AA11" s="364"/>
      <c r="AB11" s="364"/>
      <c r="AC11" s="2504"/>
      <c r="AD11" s="372"/>
      <c r="AE11" s="2505">
        <f t="shared" ca="1" si="6"/>
        <v>0</v>
      </c>
      <c r="AF11" s="352"/>
      <c r="AG11" s="478">
        <f t="shared" si="7"/>
        <v>0</v>
      </c>
      <c r="AH11" s="373"/>
      <c r="AI11" s="375"/>
      <c r="AJ11" s="376"/>
      <c r="AK11" s="384"/>
      <c r="AL11" s="385"/>
      <c r="AM11" s="386"/>
      <c r="AN11" s="2574"/>
      <c r="AO11" s="344" t="e">
        <f t="shared" ca="1" si="8"/>
        <v>#REF!</v>
      </c>
      <c r="AP11" s="2894">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5"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4"/>
      <c r="Y12" s="370"/>
      <c r="Z12" s="383"/>
      <c r="AA12" s="364"/>
      <c r="AB12" s="364"/>
      <c r="AC12" s="2504"/>
      <c r="AD12" s="372"/>
      <c r="AE12" s="2505">
        <f t="shared" ca="1" si="6"/>
        <v>0</v>
      </c>
      <c r="AF12" s="352"/>
      <c r="AG12" s="478">
        <f t="shared" si="7"/>
        <v>0</v>
      </c>
      <c r="AH12" s="373"/>
      <c r="AI12" s="375"/>
      <c r="AJ12" s="376"/>
      <c r="AK12" s="384"/>
      <c r="AL12" s="385"/>
      <c r="AM12" s="386"/>
      <c r="AN12" s="2574"/>
      <c r="AO12" s="344" t="e">
        <f t="shared" ca="1" si="8"/>
        <v>#REF!</v>
      </c>
      <c r="AP12" s="2894">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5"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4"/>
      <c r="Y13" s="370"/>
      <c r="Z13" s="371"/>
      <c r="AA13" s="364"/>
      <c r="AB13" s="364"/>
      <c r="AC13" s="2504"/>
      <c r="AD13" s="372"/>
      <c r="AE13" s="2505">
        <f t="shared" ca="1" si="6"/>
        <v>0</v>
      </c>
      <c r="AF13" s="352"/>
      <c r="AG13" s="478">
        <f t="shared" si="7"/>
        <v>0</v>
      </c>
      <c r="AH13" s="373"/>
      <c r="AI13" s="375"/>
      <c r="AJ13" s="376"/>
      <c r="AK13" s="377"/>
      <c r="AL13" s="378"/>
      <c r="AM13" s="379"/>
      <c r="AN13" s="2574"/>
      <c r="AO13" s="344" t="e">
        <f t="shared" ca="1" si="8"/>
        <v>#REF!</v>
      </c>
      <c r="AP13" s="2894">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5" customFormat="1" ht="14.25">
      <c r="A14" s="2488" t="s">
        <v>536</v>
      </c>
      <c r="B14" s="2491" t="s">
        <v>535</v>
      </c>
      <c r="C14" s="2492" t="s">
        <v>536</v>
      </c>
      <c r="D14" s="2054"/>
      <c r="E14" s="2048"/>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91"/>
      <c r="U14" s="1132"/>
      <c r="V14" s="2499"/>
      <c r="W14" s="2499"/>
      <c r="X14" s="2500"/>
      <c r="Y14" s="2501"/>
      <c r="Z14" s="2502"/>
      <c r="AA14" s="2503"/>
      <c r="AB14" s="2503"/>
      <c r="AC14" s="2504"/>
      <c r="AD14" s="2500"/>
      <c r="AE14" s="2505"/>
      <c r="AF14" s="344"/>
      <c r="AG14" s="478"/>
      <c r="AH14" s="2505"/>
      <c r="AI14" s="2509"/>
      <c r="AJ14" s="1321"/>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5" customFormat="1" ht="27">
      <c r="A15" s="2488" t="s">
        <v>2401</v>
      </c>
      <c r="B15" s="2491" t="s">
        <v>535</v>
      </c>
      <c r="C15" s="2492" t="s">
        <v>2105</v>
      </c>
      <c r="D15" s="2054"/>
      <c r="E15" s="2048"/>
      <c r="F15" s="362"/>
      <c r="G15" s="363"/>
      <c r="H15" s="2493"/>
      <c r="I15" s="2493"/>
      <c r="J15" s="2493"/>
      <c r="K15" s="2494">
        <f>SUMIF('数据-汇总表'!C$19:C$33,A15,'数据-汇总表'!E$19:E$33)</f>
        <v>0</v>
      </c>
      <c r="L15" s="2495"/>
      <c r="M15" s="365"/>
      <c r="N15" s="2496"/>
      <c r="O15" s="365"/>
      <c r="P15" s="366"/>
      <c r="Q15" s="2497"/>
      <c r="R15" s="367"/>
      <c r="S15" s="343"/>
      <c r="T15" s="2891"/>
      <c r="U15" s="1132"/>
      <c r="V15" s="2499"/>
      <c r="W15" s="2499"/>
      <c r="X15" s="2500"/>
      <c r="Y15" s="2501"/>
      <c r="Z15" s="2502"/>
      <c r="AA15" s="2503"/>
      <c r="AB15" s="2503"/>
      <c r="AC15" s="2504"/>
      <c r="AD15" s="2500"/>
      <c r="AE15" s="2505"/>
      <c r="AF15" s="344"/>
      <c r="AG15" s="478"/>
      <c r="AH15" s="2505"/>
      <c r="AI15" s="2509"/>
      <c r="AJ15" s="1321"/>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5" customFormat="1" ht="15.75" thickBot="1">
      <c r="A16" s="64" t="s">
        <v>4</v>
      </c>
      <c r="B16" s="65"/>
      <c r="C16" s="66"/>
      <c r="D16" s="67"/>
      <c r="E16" s="65"/>
      <c r="F16" s="387"/>
      <c r="G16" s="388">
        <f>ROUND(SUMPRODUCT(G6:G13,K6:K13)/SUMPRODUCT((G6:G13&gt;0)*(K6:K13)),3)</f>
        <v>0.96699999999999997</v>
      </c>
      <c r="H16" s="389">
        <f>ROUND(SUMPRODUCT(H6:H13,K6:K13)/SUMPRODUCT((H6:H13&gt;0)*(K6:K13)),3)</f>
        <v>4.4999999999999998E-2</v>
      </c>
      <c r="I16" s="390"/>
      <c r="J16" s="390"/>
      <c r="K16" s="391">
        <f>SUM(K6:K15)</f>
        <v>31303.89</v>
      </c>
      <c r="L16" s="392">
        <f>ROUND(M16*10000/SUM(K6:K14),0)</f>
        <v>1800</v>
      </c>
      <c r="M16" s="392">
        <f>SUM(M6:M14)</f>
        <v>5635</v>
      </c>
      <c r="N16" s="393">
        <f>ROUND(SUMPRODUCT(M6:M14,N6:N14)/M16,3)</f>
        <v>0.97</v>
      </c>
      <c r="O16" s="392">
        <f>SUM(O6:O14)</f>
        <v>0</v>
      </c>
      <c r="P16" s="392">
        <f>SUM(P6:P14)</f>
        <v>0</v>
      </c>
      <c r="Q16" s="394">
        <f>ROUND(SUMPRODUCT(Q6:Q13,K6:K13)/SUMPRODUCT((Q6:Q13&gt;0)*(K6:K13)),2)</f>
        <v>0.05</v>
      </c>
      <c r="R16" s="2498">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3"/>
      <c r="B17" s="1192"/>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4"/>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2417</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701</v>
      </c>
      <c r="B20" s="403">
        <v>2.5</v>
      </c>
      <c r="C20" s="2230" t="s">
        <v>2418</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702</v>
      </c>
      <c r="B21" s="403">
        <v>2.5</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703</v>
      </c>
      <c r="B22" s="404">
        <f>B19+B20</f>
        <v>2.5</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704</v>
      </c>
      <c r="B23" s="404">
        <f>B19+B21</f>
        <v>2.5</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705</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6"/>
      <c r="B25" s="1194"/>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706</v>
      </c>
      <c r="B26" s="72" t="s">
        <v>707</v>
      </c>
      <c r="C26" s="2233" t="s">
        <v>708</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4" customFormat="1" ht="27">
      <c r="A27" s="73" t="s">
        <v>709</v>
      </c>
      <c r="B27" s="406"/>
      <c r="C27" s="2526" t="s">
        <v>710</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4" customFormat="1" ht="27">
      <c r="A28" s="74" t="s">
        <v>711</v>
      </c>
      <c r="B28" s="409">
        <v>110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4" customFormat="1" ht="27.75" thickBot="1">
      <c r="A29" s="280" t="s">
        <v>2695</v>
      </c>
      <c r="B29" s="411">
        <f>ROUND(B28*面积!E105/10000,0)</f>
        <v>155</v>
      </c>
      <c r="C29" s="2526" t="s">
        <v>2696</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4" customFormat="1" ht="27">
      <c r="A30" s="279" t="s">
        <v>712</v>
      </c>
      <c r="B30" s="1133">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4" customFormat="1" ht="27">
      <c r="A31" s="74" t="s">
        <v>713</v>
      </c>
      <c r="B31" s="410">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4" customFormat="1" ht="27.75" thickBot="1">
      <c r="A32" s="76" t="s">
        <v>714</v>
      </c>
      <c r="B32" s="1134">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4" customFormat="1" ht="13.5">
      <c r="A33" s="73" t="s">
        <v>715</v>
      </c>
      <c r="B33" s="1135">
        <v>0.03</v>
      </c>
      <c r="C33" s="3292" t="s">
        <v>3009</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4" customFormat="1" ht="13.5">
      <c r="A34" s="74" t="s">
        <v>716</v>
      </c>
      <c r="B34" s="412">
        <v>0</v>
      </c>
      <c r="C34" s="3292" t="s">
        <v>3010</v>
      </c>
      <c r="D34" s="2231" t="s">
        <v>717</v>
      </c>
      <c r="E34" s="1192"/>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4" customFormat="1" ht="13.5">
      <c r="A35" s="74" t="s">
        <v>718</v>
      </c>
      <c r="B35" s="409">
        <v>200</v>
      </c>
      <c r="C35" s="3292" t="s">
        <v>3011</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719</v>
      </c>
      <c r="B36" s="413">
        <v>1.4999999999999999E-2</v>
      </c>
      <c r="C36" s="3292" t="s">
        <v>3012</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720</v>
      </c>
      <c r="B37" s="414">
        <v>1.4999999999999999E-2</v>
      </c>
      <c r="C37" s="3292" t="s">
        <v>3013</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721</v>
      </c>
      <c r="B38" s="412">
        <v>0.01</v>
      </c>
      <c r="C38" s="3292" t="s">
        <v>3013</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2546</v>
      </c>
      <c r="B39" s="699">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2622</v>
      </c>
      <c r="B40" s="2634">
        <f ca="1">存贷款利率!G1</f>
        <v>4.7500000000000001E-2</v>
      </c>
      <c r="C40" s="2528" t="s">
        <v>540</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722</v>
      </c>
      <c r="B41" s="415">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5" t="s">
        <v>723</v>
      </c>
      <c r="B42" s="416">
        <v>0.05</v>
      </c>
      <c r="C42" s="3317">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5" t="s">
        <v>724</v>
      </c>
      <c r="B43" s="417">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725</v>
      </c>
      <c r="B44" s="418">
        <v>7.0000000000000007E-2</v>
      </c>
      <c r="C44" s="3292" t="s">
        <v>3015</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726</v>
      </c>
      <c r="B45" s="416">
        <v>0.03</v>
      </c>
      <c r="C45" s="3293" t="s">
        <v>3014</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727</v>
      </c>
      <c r="B46" s="416">
        <v>0.02</v>
      </c>
      <c r="C46" s="3293" t="s">
        <v>3041</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728</v>
      </c>
      <c r="B47" s="419"/>
      <c r="C47" s="2526" t="s">
        <v>729</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730</v>
      </c>
      <c r="B48" s="420">
        <v>0.03</v>
      </c>
      <c r="C48" s="3315" t="s">
        <v>3042</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731</v>
      </c>
      <c r="B49" s="416">
        <v>5.0000000000000001E-4</v>
      </c>
      <c r="C49" s="3315" t="s">
        <v>3043</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732</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733</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734</v>
      </c>
      <c r="B52" s="423">
        <f>SUMIF(A54:A63,B53,B54:B63)</f>
        <v>18</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735</v>
      </c>
      <c r="B53" s="41" t="s">
        <v>1285</v>
      </c>
      <c r="C53" s="2232" t="s">
        <v>3016</v>
      </c>
      <c r="D53" s="2235" t="s">
        <v>3020</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165</v>
      </c>
      <c r="B54" s="374"/>
      <c r="C54" s="2853">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166</v>
      </c>
      <c r="B55" s="374">
        <v>18</v>
      </c>
      <c r="C55" s="2853">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161</v>
      </c>
      <c r="B56" s="374"/>
      <c r="C56" s="2853">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162</v>
      </c>
      <c r="B57" s="374"/>
      <c r="C57" s="2853">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163</v>
      </c>
      <c r="B58" s="374"/>
      <c r="C58" s="2853">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164</v>
      </c>
      <c r="B59" s="374"/>
      <c r="C59" s="2853">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1179</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3017</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3018</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3019</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2"/>
      <c r="D64" s="2241"/>
      <c r="K64" s="2242"/>
      <c r="L64" s="2242"/>
    </row>
    <row r="65" spans="1:12" s="2240" customFormat="1">
      <c r="A65" s="1452"/>
      <c r="D65" s="2241"/>
      <c r="K65" s="2242"/>
      <c r="L65" s="2242"/>
    </row>
    <row r="66" spans="1:12" s="2240" customFormat="1">
      <c r="A66" s="1452"/>
      <c r="D66" s="2241"/>
      <c r="K66" s="2242"/>
      <c r="L66" s="2242"/>
    </row>
    <row r="67" spans="1:12" s="2240" customFormat="1">
      <c r="A67" s="1452"/>
      <c r="D67" s="2241"/>
      <c r="K67" s="2242"/>
      <c r="L67" s="2242"/>
    </row>
    <row r="68" spans="1:12" s="2240" customFormat="1">
      <c r="A68" s="1452"/>
      <c r="D68" s="2241"/>
      <c r="K68" s="2242"/>
      <c r="L68" s="2242"/>
    </row>
    <row r="69" spans="1:12" s="2240" customFormat="1">
      <c r="A69" s="1452"/>
      <c r="D69" s="2241"/>
      <c r="K69" s="2242"/>
      <c r="L69" s="2242"/>
    </row>
    <row r="70" spans="1:12" s="2240" customFormat="1">
      <c r="A70" s="1452"/>
      <c r="D70" s="2241"/>
      <c r="K70" s="2242"/>
      <c r="L70" s="2242"/>
    </row>
    <row r="71" spans="1:12" s="2240" customFormat="1">
      <c r="A71" s="1452"/>
      <c r="D71" s="2241"/>
      <c r="K71" s="2242"/>
      <c r="L71" s="2242"/>
    </row>
    <row r="72" spans="1:12" s="2240" customFormat="1">
      <c r="A72" s="1452"/>
      <c r="D72" s="2241"/>
      <c r="K72" s="2242"/>
      <c r="L72" s="2242"/>
    </row>
    <row r="73" spans="1:12" s="2240" customFormat="1">
      <c r="A73" s="1452"/>
      <c r="D73" s="2241"/>
      <c r="K73" s="2242"/>
      <c r="L73" s="2242"/>
    </row>
    <row r="74" spans="1:12" s="2240" customFormat="1">
      <c r="A74" s="1452"/>
      <c r="D74" s="2241"/>
      <c r="K74" s="2242"/>
      <c r="L74" s="2242"/>
    </row>
    <row r="75" spans="1:12" s="2240" customFormat="1">
      <c r="A75" s="1452"/>
      <c r="D75" s="2241"/>
      <c r="K75" s="2242"/>
      <c r="L75" s="2242"/>
    </row>
    <row r="76" spans="1:12" s="2240" customFormat="1">
      <c r="A76" s="1452"/>
      <c r="D76" s="2241"/>
      <c r="K76" s="2242"/>
      <c r="L76" s="2242"/>
    </row>
    <row r="77" spans="1:12" s="2240" customFormat="1">
      <c r="A77" s="1452"/>
      <c r="D77" s="2241"/>
      <c r="K77" s="2242"/>
      <c r="L77" s="2242"/>
    </row>
    <row r="78" spans="1:12" s="2240" customFormat="1">
      <c r="A78" s="1452"/>
      <c r="D78" s="2241"/>
      <c r="K78" s="2242"/>
      <c r="L78" s="2242"/>
    </row>
    <row r="79" spans="1:12" s="2240" customFormat="1">
      <c r="A79" s="1452"/>
      <c r="D79" s="2241"/>
      <c r="K79" s="2242"/>
      <c r="L79" s="2242"/>
    </row>
    <row r="80" spans="1:12" s="2240" customFormat="1">
      <c r="A80" s="1452"/>
      <c r="D80" s="2241"/>
      <c r="K80" s="2242"/>
      <c r="L80" s="2242"/>
    </row>
    <row r="81" spans="1:12" s="2240" customFormat="1">
      <c r="A81" s="1452"/>
      <c r="D81" s="2241"/>
      <c r="K81" s="2242"/>
      <c r="L81" s="2242"/>
    </row>
    <row r="82" spans="1:12" s="2240" customFormat="1">
      <c r="A82" s="1452"/>
      <c r="D82" s="2241"/>
      <c r="K82" s="2242"/>
      <c r="L82" s="2242"/>
    </row>
    <row r="83" spans="1:12" s="2240" customFormat="1">
      <c r="A83" s="1452"/>
      <c r="D83" s="2241"/>
      <c r="K83" s="2242"/>
      <c r="L83" s="2242"/>
    </row>
    <row r="84" spans="1:12" s="2240" customFormat="1">
      <c r="A84" s="1452"/>
      <c r="D84" s="2241"/>
      <c r="K84" s="2242"/>
      <c r="L84" s="2242"/>
    </row>
    <row r="85" spans="1:12" s="2240" customFormat="1">
      <c r="A85" s="1452"/>
      <c r="D85" s="2241"/>
      <c r="K85" s="2242"/>
      <c r="L85" s="2242"/>
    </row>
    <row r="86" spans="1:12" s="2240" customFormat="1">
      <c r="A86" s="1452"/>
      <c r="D86" s="2241"/>
      <c r="K86" s="2242"/>
      <c r="L86" s="2242"/>
    </row>
    <row r="87" spans="1:12" s="2240" customFormat="1">
      <c r="A87" s="1452"/>
      <c r="D87" s="2241"/>
      <c r="K87" s="2242"/>
      <c r="L87" s="2242"/>
    </row>
    <row r="88" spans="1:12" s="2240" customFormat="1">
      <c r="A88" s="1452"/>
      <c r="D88" s="2241"/>
      <c r="K88" s="2242"/>
      <c r="L88" s="2242"/>
    </row>
    <row r="89" spans="1:12" s="2240" customFormat="1">
      <c r="A89" s="1452"/>
      <c r="D89" s="2241"/>
      <c r="K89" s="2242"/>
      <c r="L89" s="2242"/>
    </row>
    <row r="90" spans="1:12" s="2240" customFormat="1">
      <c r="A90" s="1452"/>
      <c r="D90" s="2241"/>
      <c r="K90" s="2242"/>
      <c r="L90" s="2242"/>
    </row>
    <row r="91" spans="1:12" s="2240" customFormat="1">
      <c r="A91" s="1452"/>
      <c r="D91" s="2241"/>
      <c r="K91" s="2242"/>
      <c r="L91" s="2242"/>
    </row>
    <row r="92" spans="1:12" s="2240" customFormat="1">
      <c r="A92" s="1452"/>
      <c r="D92" s="2241"/>
      <c r="K92" s="2242"/>
      <c r="L92" s="2242"/>
    </row>
    <row r="93" spans="1:12" s="2240" customFormat="1">
      <c r="A93" s="1452"/>
      <c r="D93" s="2241"/>
      <c r="K93" s="2242"/>
      <c r="L93" s="2242"/>
    </row>
    <row r="94" spans="1:12" s="2240" customFormat="1">
      <c r="A94" s="1452"/>
      <c r="D94" s="2241"/>
      <c r="K94" s="2242"/>
      <c r="L94" s="2242"/>
    </row>
    <row r="95" spans="1:12" s="2240" customFormat="1">
      <c r="A95" s="1452"/>
      <c r="D95" s="2241"/>
      <c r="K95" s="2242"/>
      <c r="L95" s="2242"/>
    </row>
    <row r="96" spans="1:12" s="2240" customFormat="1">
      <c r="A96" s="1452"/>
      <c r="D96" s="2241"/>
      <c r="K96" s="2242"/>
      <c r="L96" s="2242"/>
    </row>
    <row r="97" spans="1:12" s="2240" customFormat="1">
      <c r="A97" s="1452"/>
      <c r="D97" s="2241"/>
      <c r="K97" s="2242"/>
      <c r="L97" s="2242"/>
    </row>
    <row r="98" spans="1:12" s="2240" customFormat="1">
      <c r="A98" s="1452"/>
      <c r="D98" s="2241"/>
      <c r="K98" s="2242"/>
      <c r="L98" s="2242"/>
    </row>
    <row r="99" spans="1:12" s="2240" customFormat="1">
      <c r="A99" s="1452"/>
      <c r="D99" s="2241"/>
      <c r="K99" s="2242"/>
      <c r="L99" s="2242"/>
    </row>
    <row r="100" spans="1:12" s="2240" customFormat="1">
      <c r="A100" s="1452"/>
      <c r="D100" s="2241"/>
      <c r="K100" s="2242"/>
      <c r="L100" s="2242"/>
    </row>
    <row r="101" spans="1:12" s="2240" customFormat="1">
      <c r="A101" s="1452"/>
      <c r="D101" s="2241"/>
      <c r="K101" s="2242"/>
      <c r="L101" s="2242"/>
    </row>
    <row r="102" spans="1:12" s="2240" customFormat="1">
      <c r="A102" s="1452"/>
      <c r="D102" s="2241"/>
      <c r="K102" s="2242"/>
      <c r="L102" s="2242"/>
    </row>
    <row r="103" spans="1:12" s="2240" customFormat="1">
      <c r="A103" s="1452"/>
      <c r="D103" s="2241"/>
      <c r="K103" s="2242"/>
      <c r="L103" s="2242"/>
    </row>
    <row r="104" spans="1:12" s="2240" customFormat="1">
      <c r="A104" s="1452"/>
      <c r="D104" s="2241"/>
      <c r="K104" s="2242"/>
      <c r="L104" s="2242"/>
    </row>
    <row r="105" spans="1:12" s="2240" customFormat="1">
      <c r="A105" s="1452"/>
      <c r="D105" s="2241"/>
      <c r="K105" s="2242"/>
      <c r="L105" s="2242"/>
    </row>
    <row r="106" spans="1:12" s="2240" customFormat="1">
      <c r="A106" s="1452"/>
      <c r="D106" s="2241"/>
      <c r="K106" s="2242"/>
      <c r="L106" s="2242"/>
    </row>
    <row r="107" spans="1:12" s="2240" customFormat="1">
      <c r="A107" s="1452"/>
      <c r="D107" s="2241"/>
      <c r="K107" s="2242"/>
      <c r="L107" s="2242"/>
    </row>
    <row r="108" spans="1:12" s="2240" customFormat="1">
      <c r="A108" s="1452"/>
      <c r="D108" s="2241"/>
      <c r="K108" s="2242"/>
      <c r="L108" s="2242"/>
    </row>
    <row r="109" spans="1:12" s="2240" customFormat="1">
      <c r="A109" s="1452"/>
      <c r="D109" s="2241"/>
      <c r="K109" s="2242"/>
      <c r="L109" s="2242"/>
    </row>
    <row r="110" spans="1:12" s="2240" customFormat="1">
      <c r="A110" s="1452"/>
      <c r="D110" s="2241"/>
      <c r="K110" s="2242"/>
      <c r="L110" s="2242"/>
    </row>
    <row r="111" spans="1:12" s="2240" customFormat="1">
      <c r="A111" s="1452"/>
      <c r="D111" s="2241"/>
      <c r="K111" s="2242"/>
      <c r="L111" s="2242"/>
    </row>
    <row r="112" spans="1:12" s="2240" customFormat="1">
      <c r="A112" s="1452"/>
      <c r="D112" s="2241"/>
      <c r="K112" s="2242"/>
      <c r="L112" s="2242"/>
    </row>
    <row r="113" spans="1:12" s="2240" customFormat="1">
      <c r="A113" s="1452"/>
      <c r="D113" s="2241"/>
      <c r="K113" s="2242"/>
      <c r="L113" s="2242"/>
    </row>
    <row r="114" spans="1:12" s="2240" customFormat="1">
      <c r="A114" s="1452"/>
      <c r="D114" s="2241"/>
      <c r="K114" s="2242"/>
      <c r="L114" s="2242"/>
    </row>
    <row r="115" spans="1:12" s="2240" customFormat="1">
      <c r="A115" s="1452"/>
      <c r="D115" s="2241"/>
      <c r="K115" s="2242"/>
      <c r="L115" s="2242"/>
    </row>
    <row r="116" spans="1:12" s="2240" customFormat="1">
      <c r="A116" s="1452"/>
      <c r="D116" s="2241"/>
      <c r="K116" s="2242"/>
      <c r="L116" s="2242"/>
    </row>
    <row r="117" spans="1:12" s="2240" customFormat="1">
      <c r="A117" s="1452"/>
      <c r="D117" s="2241"/>
      <c r="K117" s="2242"/>
      <c r="L117" s="2242"/>
    </row>
    <row r="118" spans="1:12" s="2240" customFormat="1">
      <c r="A118" s="1452"/>
      <c r="D118" s="2241"/>
      <c r="K118" s="2242"/>
      <c r="L118" s="2242"/>
    </row>
    <row r="119" spans="1:12" s="2240" customFormat="1">
      <c r="A119" s="1452"/>
      <c r="D119" s="2241"/>
      <c r="K119" s="2242"/>
      <c r="L119" s="2242"/>
    </row>
    <row r="120" spans="1:12" s="2240" customFormat="1">
      <c r="A120" s="1452"/>
      <c r="D120" s="2241"/>
      <c r="K120" s="2242"/>
      <c r="L120" s="2242"/>
    </row>
    <row r="121" spans="1:12" s="2240" customFormat="1">
      <c r="A121" s="1452"/>
      <c r="D121" s="2241"/>
      <c r="K121" s="2242"/>
      <c r="L121" s="2242"/>
    </row>
    <row r="122" spans="1:12" s="2240" customFormat="1">
      <c r="A122" s="1452"/>
      <c r="D122" s="2241"/>
      <c r="K122" s="2242"/>
      <c r="L122" s="2242"/>
    </row>
    <row r="123" spans="1:12" s="2240" customFormat="1">
      <c r="A123" s="1452"/>
      <c r="D123" s="2241"/>
      <c r="K123" s="2242"/>
      <c r="L123" s="2242"/>
    </row>
    <row r="124" spans="1:12" s="2240" customFormat="1">
      <c r="A124" s="1452"/>
      <c r="D124" s="2241"/>
      <c r="K124" s="2242"/>
      <c r="L124" s="2242"/>
    </row>
    <row r="125" spans="1:12" s="2240" customFormat="1">
      <c r="A125" s="1452"/>
      <c r="D125" s="2241"/>
      <c r="K125" s="2242"/>
      <c r="L125" s="2242"/>
    </row>
    <row r="126" spans="1:12" s="2240" customFormat="1">
      <c r="A126" s="1452"/>
      <c r="D126" s="2241"/>
      <c r="K126" s="2242"/>
      <c r="L126" s="2242"/>
    </row>
    <row r="127" spans="1:12" s="2240" customFormat="1">
      <c r="A127" s="1452"/>
      <c r="D127" s="2241"/>
      <c r="K127" s="2242"/>
      <c r="L127" s="2242"/>
    </row>
    <row r="128" spans="1:12" s="2240" customFormat="1">
      <c r="A128" s="1452"/>
      <c r="D128" s="2241"/>
      <c r="K128" s="2242"/>
      <c r="L128" s="2242"/>
    </row>
    <row r="129" spans="1:12" s="2240" customFormat="1">
      <c r="A129" s="1452"/>
      <c r="D129" s="2241"/>
      <c r="K129" s="2242"/>
      <c r="L129" s="2242"/>
    </row>
    <row r="130" spans="1:12" s="2240" customFormat="1">
      <c r="A130" s="1452"/>
      <c r="D130" s="2241"/>
      <c r="K130" s="2242"/>
      <c r="L130" s="2242"/>
    </row>
    <row r="131" spans="1:12" s="2240" customFormat="1">
      <c r="A131" s="1452"/>
      <c r="D131" s="2241"/>
      <c r="K131" s="2242"/>
      <c r="L131" s="2242"/>
    </row>
    <row r="132" spans="1:12" s="2240" customFormat="1">
      <c r="A132" s="1452"/>
      <c r="D132" s="2241"/>
      <c r="K132" s="2242"/>
      <c r="L132" s="2242"/>
    </row>
    <row r="133" spans="1:12" s="2240" customFormat="1">
      <c r="A133" s="1452"/>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506" t="s">
        <v>750</v>
      </c>
      <c r="B1" s="3507"/>
      <c r="C1" s="3507"/>
      <c r="D1" s="3507"/>
      <c r="E1" s="3507"/>
      <c r="F1" s="3507"/>
      <c r="G1" s="3507"/>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8"/>
      <c r="B2" s="1209"/>
      <c r="C2" s="1210" t="s">
        <v>751</v>
      </c>
      <c r="D2" s="1211"/>
      <c r="E2" s="1212"/>
      <c r="F2" s="1199"/>
      <c r="G2" s="1210" t="s">
        <v>752</v>
      </c>
      <c r="H2" s="2253"/>
      <c r="I2" s="2253"/>
      <c r="J2" s="2253"/>
      <c r="K2" s="2253"/>
      <c r="L2" s="2253"/>
      <c r="M2" s="2253"/>
      <c r="N2" s="2253"/>
      <c r="O2" s="2253"/>
      <c r="P2" s="2253"/>
      <c r="Q2" s="2253"/>
      <c r="R2" s="2253"/>
    </row>
    <row r="3" spans="1:29" ht="54">
      <c r="A3" s="1020" t="s">
        <v>753</v>
      </c>
      <c r="B3" s="51" t="s">
        <v>52</v>
      </c>
      <c r="C3" s="3294" t="s">
        <v>754</v>
      </c>
      <c r="D3" s="2254"/>
      <c r="E3" s="1029" t="s">
        <v>753</v>
      </c>
      <c r="F3" s="1213" t="s">
        <v>99</v>
      </c>
      <c r="G3" s="3298" t="s">
        <v>3023</v>
      </c>
      <c r="H3" s="2253"/>
      <c r="I3" s="2253"/>
      <c r="J3" s="2253"/>
      <c r="K3" s="2253"/>
      <c r="L3" s="2253"/>
      <c r="M3" s="2253"/>
      <c r="N3" s="2253"/>
      <c r="O3" s="2253"/>
      <c r="P3" s="2253"/>
      <c r="Q3" s="2253"/>
      <c r="R3" s="2253"/>
    </row>
    <row r="4" spans="1:29" ht="81">
      <c r="A4" s="1029"/>
      <c r="B4" s="2209" t="s">
        <v>755</v>
      </c>
      <c r="C4" s="3295" t="s">
        <v>3682</v>
      </c>
      <c r="D4" s="2254"/>
      <c r="E4" s="1214"/>
      <c r="F4" s="2213" t="s">
        <v>756</v>
      </c>
      <c r="G4" s="3296" t="s">
        <v>757</v>
      </c>
      <c r="H4" s="2253"/>
      <c r="I4" s="2253"/>
      <c r="J4" s="2253"/>
      <c r="K4" s="2253"/>
      <c r="L4" s="2253"/>
      <c r="M4" s="2253"/>
      <c r="N4" s="2253"/>
      <c r="O4" s="2253"/>
      <c r="P4" s="2253"/>
      <c r="Q4" s="2253"/>
      <c r="R4" s="2253"/>
    </row>
    <row r="5" spans="1:29" ht="40.5">
      <c r="A5" s="1029"/>
      <c r="B5" s="2209" t="s">
        <v>758</v>
      </c>
      <c r="C5" s="3295" t="s">
        <v>759</v>
      </c>
      <c r="D5" s="2254"/>
      <c r="E5" s="1214"/>
      <c r="F5" s="2742" t="s">
        <v>2639</v>
      </c>
      <c r="G5" s="3296" t="s">
        <v>2641</v>
      </c>
      <c r="H5" s="2253"/>
      <c r="I5" s="2253"/>
      <c r="J5" s="2253"/>
      <c r="K5" s="2253"/>
      <c r="L5" s="2253"/>
      <c r="M5" s="2253"/>
      <c r="N5" s="2253"/>
      <c r="O5" s="2253"/>
      <c r="P5" s="2253"/>
      <c r="Q5" s="2253"/>
      <c r="R5" s="2253"/>
    </row>
    <row r="6" spans="1:29" ht="94.5">
      <c r="A6" s="1029"/>
      <c r="B6" s="2209" t="s">
        <v>72</v>
      </c>
      <c r="C6" s="3296" t="s">
        <v>3683</v>
      </c>
      <c r="D6" s="2254"/>
      <c r="E6" s="1214"/>
      <c r="F6" s="2742" t="s">
        <v>2638</v>
      </c>
      <c r="G6" s="3296" t="s">
        <v>2640</v>
      </c>
      <c r="H6" s="2253"/>
      <c r="I6" s="2253"/>
      <c r="J6" s="2253"/>
      <c r="K6" s="2253"/>
      <c r="L6" s="2253"/>
      <c r="M6" s="2253"/>
      <c r="N6" s="2253"/>
      <c r="O6" s="2253"/>
      <c r="P6" s="2253"/>
      <c r="Q6" s="2253"/>
      <c r="R6" s="2253"/>
    </row>
    <row r="7" spans="1:29" ht="108.75" thickBot="1">
      <c r="A7" s="1029"/>
      <c r="B7" s="2209" t="s">
        <v>2639</v>
      </c>
      <c r="C7" s="3296" t="s">
        <v>3684</v>
      </c>
      <c r="D7" s="2255"/>
      <c r="E7" s="1215"/>
      <c r="F7" s="1216" t="s">
        <v>736</v>
      </c>
      <c r="G7" s="3299" t="s">
        <v>3024</v>
      </c>
      <c r="H7" s="2253"/>
      <c r="I7" s="2253"/>
      <c r="J7" s="2253"/>
      <c r="K7" s="2253"/>
      <c r="L7" s="2253"/>
      <c r="M7" s="2253"/>
      <c r="N7" s="2253"/>
      <c r="O7" s="2253"/>
      <c r="P7" s="2253"/>
      <c r="Q7" s="2253"/>
      <c r="R7" s="2253"/>
    </row>
    <row r="8" spans="1:29" ht="27">
      <c r="A8" s="1029"/>
      <c r="B8" s="2742" t="s">
        <v>2638</v>
      </c>
      <c r="C8" s="3296" t="s">
        <v>2640</v>
      </c>
      <c r="D8" s="2255"/>
      <c r="E8" s="2255"/>
      <c r="F8" s="2256"/>
      <c r="G8" s="2256"/>
      <c r="H8" s="2253"/>
      <c r="I8" s="2253"/>
      <c r="J8" s="2253"/>
      <c r="K8" s="2253"/>
      <c r="L8" s="2253"/>
      <c r="M8" s="2253"/>
      <c r="N8" s="2253"/>
      <c r="O8" s="2253"/>
      <c r="P8" s="2253"/>
      <c r="Q8" s="2253"/>
      <c r="R8" s="2253"/>
    </row>
    <row r="9" spans="1:29" ht="40.5">
      <c r="A9" s="1029"/>
      <c r="B9" s="2209" t="s">
        <v>73</v>
      </c>
      <c r="C9" s="3295" t="s">
        <v>3685</v>
      </c>
      <c r="D9" s="2254"/>
      <c r="E9" s="2255"/>
      <c r="F9" s="2256"/>
      <c r="G9" s="2256"/>
      <c r="H9" s="2253"/>
      <c r="I9" s="2253"/>
      <c r="J9" s="2253"/>
      <c r="K9" s="2253"/>
      <c r="L9" s="2253"/>
      <c r="M9" s="2253"/>
      <c r="N9" s="2253"/>
      <c r="O9" s="2253"/>
      <c r="P9" s="2253"/>
      <c r="Q9" s="2253"/>
      <c r="R9" s="2253"/>
    </row>
    <row r="10" spans="1:29" s="40" customFormat="1" ht="14.25" thickBot="1">
      <c r="A10" s="1218"/>
      <c r="B10" s="1219" t="s">
        <v>737</v>
      </c>
      <c r="C10" s="3297"/>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7"/>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7"/>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738</v>
      </c>
      <c r="B13" s="2740"/>
      <c r="C13" s="2740"/>
      <c r="D13" s="2252"/>
      <c r="E13" s="2740"/>
      <c r="F13" s="2740"/>
      <c r="G13" s="2740"/>
    </row>
    <row r="14" spans="1:29" ht="14.25" thickBot="1">
      <c r="A14" s="1220"/>
      <c r="B14" s="1221"/>
      <c r="C14" s="1222" t="s">
        <v>739</v>
      </c>
      <c r="D14" s="2254"/>
      <c r="E14" s="1223"/>
      <c r="F14" s="1223"/>
      <c r="G14" s="1210" t="s">
        <v>740</v>
      </c>
    </row>
    <row r="15" spans="1:29" ht="54">
      <c r="A15" s="46" t="s">
        <v>741</v>
      </c>
      <c r="B15" s="14" t="s">
        <v>52</v>
      </c>
      <c r="C15" s="1224" t="str">
        <f>C3</f>
        <v>估价对象周边居住用地比例、居住小区规模和社区发展完善程度，综合评价居住社区成熟度一般</v>
      </c>
      <c r="D15" s="2254"/>
      <c r="E15" s="2755" t="s">
        <v>742</v>
      </c>
      <c r="F15" s="14" t="s">
        <v>743</v>
      </c>
      <c r="G15" s="1022" t="str">
        <f>G3</f>
        <v>估价对象位于XX开发区，园区建设成熟度XX，产业集聚程度XX</v>
      </c>
    </row>
    <row r="16" spans="1:29" ht="81">
      <c r="A16" s="2758"/>
      <c r="B16" s="1225" t="s">
        <v>744</v>
      </c>
      <c r="C16" s="1226" t="str">
        <f>C4</f>
        <v>估价对象位于福州东二环泰禾广场商圈，周围有泰禾广场购物中心及步行街，周边商业氛围成熟，人流量大，商业繁华度好。</v>
      </c>
      <c r="D16" s="2254"/>
      <c r="E16" s="2756"/>
      <c r="F16" s="1227" t="s">
        <v>745</v>
      </c>
      <c r="G16" s="1024" t="str">
        <f>G4</f>
        <v>估价对象周边道路状况、公共交通通达情况、停车便捷程度，综合评价交通便捷度较好</v>
      </c>
    </row>
    <row r="17" spans="1:18" ht="40.5">
      <c r="A17" s="2758"/>
      <c r="B17" s="1225" t="s">
        <v>746</v>
      </c>
      <c r="C17" s="1226" t="str">
        <f>C5</f>
        <v>估价对象位于XX商圈，周边办公楼项目较多，入驻率高，办公集聚程度较好</v>
      </c>
      <c r="D17" s="2255"/>
      <c r="E17" s="2756"/>
      <c r="F17" s="1227" t="s">
        <v>747</v>
      </c>
      <c r="G17" s="271"/>
    </row>
    <row r="18" spans="1:18" ht="94.5">
      <c r="A18" s="2758"/>
      <c r="B18" s="1227" t="s">
        <v>72</v>
      </c>
      <c r="C18" s="1024" t="str">
        <f>C6</f>
        <v>估价对象周边道路状况较好，有56、46、68路等多条公交线路经过，临近东二环路，估价对象所在商圈配有地下停车场，停车方便，综合评价交通便捷度较好。</v>
      </c>
      <c r="D18" s="2255"/>
      <c r="E18" s="2756"/>
      <c r="F18" s="1227" t="s">
        <v>736</v>
      </c>
      <c r="G18" s="1024" t="str">
        <f>G7</f>
        <v>该园区内是否有污染型企业，绿化情况，卫生条件，整体环境状况判断</v>
      </c>
    </row>
    <row r="19" spans="1:18" ht="27">
      <c r="A19" s="2758"/>
      <c r="B19" s="1227" t="s">
        <v>91</v>
      </c>
      <c r="C19" s="271"/>
      <c r="D19" s="2254"/>
      <c r="E19" s="2756"/>
      <c r="F19" s="2742" t="s">
        <v>2639</v>
      </c>
      <c r="G19" s="1024" t="str">
        <f>G5</f>
        <v>估价对象所在区域公共配套设施齐备情况</v>
      </c>
    </row>
    <row r="20" spans="1:18" ht="40.5">
      <c r="A20" s="2758"/>
      <c r="B20" s="1227" t="s">
        <v>90</v>
      </c>
      <c r="C20" s="1226" t="str">
        <f>C9</f>
        <v>估价对象周边有牛岗山公园、金鸡山公园；综合评价环境状况一般。</v>
      </c>
      <c r="D20" s="2255"/>
      <c r="E20" s="2756"/>
      <c r="F20" s="2742" t="s">
        <v>2638</v>
      </c>
      <c r="G20" s="1024" t="str">
        <f>G6</f>
        <v>估价对象所在区域基础设施水平</v>
      </c>
    </row>
    <row r="21" spans="1:18" ht="108">
      <c r="A21" s="2758"/>
      <c r="B21" s="2742" t="s">
        <v>2639</v>
      </c>
      <c r="C21" s="1024" t="str">
        <f>C7</f>
        <v>估价对象所在区域有银行（工商银行、建设银行等）、医院（福建省第二人民医院）、学校（福州第十中学、福州市岳峰中心小学等）、超市（永辉超市）等，公共配套设施条件好。</v>
      </c>
      <c r="D21" s="2254"/>
      <c r="E21" s="2756"/>
      <c r="F21" s="1227" t="s">
        <v>89</v>
      </c>
      <c r="G21" s="283"/>
    </row>
    <row r="22" spans="1:18" ht="13.5" customHeight="1">
      <c r="A22" s="2758"/>
      <c r="B22" s="2742" t="s">
        <v>2638</v>
      </c>
      <c r="C22" s="1024" t="str">
        <f>C8</f>
        <v>估价对象所在区域基础设施水平</v>
      </c>
      <c r="D22" s="2254"/>
      <c r="E22" s="2756"/>
      <c r="F22" s="1227" t="s">
        <v>748</v>
      </c>
      <c r="G22" s="271"/>
    </row>
    <row r="23" spans="1:18" s="2253" customFormat="1" ht="14.25" thickBot="1">
      <c r="A23" s="2758"/>
      <c r="B23" s="1227" t="s">
        <v>89</v>
      </c>
      <c r="C23" s="283"/>
      <c r="D23" s="2266"/>
      <c r="E23" s="2757"/>
      <c r="F23" s="1228" t="s">
        <v>749</v>
      </c>
      <c r="G23" s="284"/>
      <c r="H23" s="2266"/>
      <c r="I23" s="2267"/>
      <c r="J23" s="2266"/>
      <c r="K23" s="2266"/>
      <c r="L23" s="2267"/>
      <c r="M23" s="2266"/>
      <c r="N23" s="2266"/>
      <c r="O23" s="2267"/>
      <c r="P23" s="2266"/>
      <c r="Q23" s="2266"/>
      <c r="R23" s="2268"/>
    </row>
    <row r="24" spans="1:18" s="2253" customFormat="1" ht="14.25" thickBot="1">
      <c r="A24" s="2759"/>
      <c r="B24" s="1228" t="s">
        <v>88</v>
      </c>
      <c r="C24" s="1229">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I26" sqref="I26"/>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760</v>
      </c>
      <c r="B1" s="1242"/>
      <c r="C1" s="2095" t="s">
        <v>3694</v>
      </c>
      <c r="D1" s="1242"/>
      <c r="E1" s="1242"/>
      <c r="F1" s="2079" t="s">
        <v>2114</v>
      </c>
      <c r="G1" s="2052" t="s">
        <v>3690</v>
      </c>
      <c r="H1" s="2108" t="str">
        <f>IF(G1="现房","——","估价对象范围")</f>
        <v>——</v>
      </c>
      <c r="I1" s="2085" t="s">
        <v>3691</v>
      </c>
    </row>
    <row r="2" spans="1:12" ht="21.75" customHeight="1" thickBot="1">
      <c r="A2" s="3585" t="str">
        <f>项目基本情况!S2</f>
        <v>福建省福州市晋安区房地产</v>
      </c>
      <c r="B2" s="3586"/>
      <c r="C2" s="3586"/>
      <c r="D2" s="3586"/>
      <c r="E2" s="3586"/>
      <c r="F2" s="3586"/>
      <c r="G2" s="3586"/>
      <c r="H2" s="3586"/>
      <c r="I2" s="3587"/>
    </row>
    <row r="3" spans="1:12" ht="12">
      <c r="A3" s="3589" t="s">
        <v>10</v>
      </c>
      <c r="B3" s="3590"/>
      <c r="C3" s="3590"/>
      <c r="D3" s="3590"/>
      <c r="E3" s="3590"/>
      <c r="F3" s="3590"/>
      <c r="G3" s="3590"/>
      <c r="H3" s="3590"/>
      <c r="I3" s="3590"/>
    </row>
    <row r="4" spans="1:12" ht="13.5">
      <c r="A4" s="429" t="s">
        <v>11</v>
      </c>
      <c r="B4" s="430" t="s">
        <v>12</v>
      </c>
      <c r="C4" s="431" t="s">
        <v>3701</v>
      </c>
      <c r="D4" s="431" t="s">
        <v>3667</v>
      </c>
      <c r="E4" s="3594" t="s">
        <v>761</v>
      </c>
      <c r="F4" s="3595"/>
      <c r="G4" s="3595"/>
      <c r="H4" s="3595"/>
      <c r="I4" s="3596"/>
      <c r="K4" s="2181" t="str">
        <f>IF(ISNUMBER(FIND("比较法",结果表!C4)),"比较法",IF(ISNUMBER(FIND("成本法",结果表!C4)),"成本法",IF(ISNUMBER(FIND("假设开发法",结果表!C4)),"假设开发法",IF(ISNUMBER(FIND("收益法",结果表!C4)),"收益法","基准地价系数修正法"))))</f>
        <v>比较法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 r="A5" s="3560" t="s">
        <v>13</v>
      </c>
      <c r="B5" s="3588">
        <v>25</v>
      </c>
      <c r="C5" s="3591"/>
      <c r="D5" s="3578"/>
      <c r="E5" s="471" t="s">
        <v>805</v>
      </c>
      <c r="F5" s="432"/>
      <c r="G5" s="432"/>
      <c r="H5" s="432"/>
      <c r="I5" s="433"/>
    </row>
    <row r="6" spans="1:12" ht="12.75">
      <c r="A6" s="3560"/>
      <c r="B6" s="3588"/>
      <c r="C6" s="3593"/>
      <c r="D6" s="3578"/>
      <c r="E6" s="471" t="s">
        <v>806</v>
      </c>
      <c r="F6" s="432"/>
      <c r="G6" s="432"/>
      <c r="H6" s="432"/>
      <c r="I6" s="433"/>
    </row>
    <row r="7" spans="1:12" ht="12.75">
      <c r="A7" s="3560"/>
      <c r="B7" s="3588"/>
      <c r="C7" s="3592"/>
      <c r="D7" s="3578"/>
      <c r="E7" s="471" t="s">
        <v>807</v>
      </c>
      <c r="F7" s="432"/>
      <c r="G7" s="432"/>
      <c r="H7" s="432"/>
      <c r="I7" s="433"/>
    </row>
    <row r="8" spans="1:12" ht="12.75">
      <c r="A8" s="3560" t="s">
        <v>14</v>
      </c>
      <c r="B8" s="3588">
        <v>15</v>
      </c>
      <c r="C8" s="3591"/>
      <c r="D8" s="3578"/>
      <c r="E8" s="471" t="s">
        <v>808</v>
      </c>
      <c r="F8" s="432"/>
      <c r="G8" s="432"/>
      <c r="H8" s="432"/>
      <c r="I8" s="433"/>
    </row>
    <row r="9" spans="1:12" ht="12.75">
      <c r="A9" s="3560"/>
      <c r="B9" s="3588"/>
      <c r="C9" s="3592"/>
      <c r="D9" s="3578"/>
      <c r="E9" s="471" t="s">
        <v>809</v>
      </c>
      <c r="F9" s="432"/>
      <c r="G9" s="432"/>
      <c r="H9" s="432"/>
      <c r="I9" s="433"/>
    </row>
    <row r="10" spans="1:12" ht="12.75">
      <c r="A10" s="3560" t="s">
        <v>15</v>
      </c>
      <c r="B10" s="3588">
        <v>15</v>
      </c>
      <c r="C10" s="3591"/>
      <c r="D10" s="3578"/>
      <c r="E10" s="471" t="s">
        <v>810</v>
      </c>
      <c r="F10" s="432"/>
      <c r="G10" s="432"/>
      <c r="H10" s="432"/>
      <c r="I10" s="433"/>
    </row>
    <row r="11" spans="1:12" ht="12.75">
      <c r="A11" s="3560"/>
      <c r="B11" s="3588"/>
      <c r="C11" s="3592"/>
      <c r="D11" s="3578"/>
      <c r="E11" s="471" t="s">
        <v>811</v>
      </c>
      <c r="F11" s="432"/>
      <c r="G11" s="432"/>
      <c r="H11" s="432"/>
      <c r="I11" s="433"/>
    </row>
    <row r="12" spans="1:12" ht="12.75">
      <c r="A12" s="3560" t="s">
        <v>16</v>
      </c>
      <c r="B12" s="3588">
        <v>15</v>
      </c>
      <c r="C12" s="3591"/>
      <c r="D12" s="3578"/>
      <c r="E12" s="471" t="s">
        <v>812</v>
      </c>
      <c r="F12" s="432"/>
      <c r="G12" s="432"/>
      <c r="H12" s="432"/>
      <c r="I12" s="433"/>
    </row>
    <row r="13" spans="1:12" ht="12.75">
      <c r="A13" s="3560"/>
      <c r="B13" s="3588"/>
      <c r="C13" s="3592"/>
      <c r="D13" s="3578"/>
      <c r="E13" s="471" t="s">
        <v>813</v>
      </c>
      <c r="F13" s="432"/>
      <c r="G13" s="432"/>
      <c r="H13" s="432"/>
      <c r="I13" s="433"/>
    </row>
    <row r="14" spans="1:12" ht="12.75">
      <c r="A14" s="3560" t="s">
        <v>17</v>
      </c>
      <c r="B14" s="3588">
        <v>30</v>
      </c>
      <c r="C14" s="3591">
        <v>8</v>
      </c>
      <c r="D14" s="3578">
        <v>2</v>
      </c>
      <c r="E14" s="471" t="s">
        <v>814</v>
      </c>
      <c r="F14" s="432"/>
      <c r="G14" s="432"/>
      <c r="H14" s="432"/>
      <c r="I14" s="433"/>
    </row>
    <row r="15" spans="1:12" ht="12.75">
      <c r="A15" s="3560"/>
      <c r="B15" s="3588"/>
      <c r="C15" s="3593"/>
      <c r="D15" s="3578"/>
      <c r="E15" s="471" t="s">
        <v>815</v>
      </c>
      <c r="F15" s="432"/>
      <c r="G15" s="432"/>
      <c r="H15" s="432"/>
      <c r="I15" s="433"/>
    </row>
    <row r="16" spans="1:12" ht="12.75">
      <c r="A16" s="3560"/>
      <c r="B16" s="3588"/>
      <c r="C16" s="3592"/>
      <c r="D16" s="3578"/>
      <c r="E16" s="471" t="s">
        <v>816</v>
      </c>
      <c r="F16" s="432"/>
      <c r="G16" s="432"/>
      <c r="H16" s="432"/>
      <c r="I16" s="433"/>
    </row>
    <row r="17" spans="1:35" ht="14.25">
      <c r="A17" s="434" t="s">
        <v>18</v>
      </c>
      <c r="B17" s="38"/>
      <c r="C17" s="472">
        <f>SUM(C5:C16)</f>
        <v>8</v>
      </c>
      <c r="D17" s="472">
        <f>SUM(D5:D16)</f>
        <v>2</v>
      </c>
      <c r="E17" s="2274"/>
      <c r="F17" s="2274"/>
      <c r="G17" s="2274"/>
      <c r="H17" s="2274"/>
      <c r="I17" s="2274"/>
      <c r="K17" s="2181"/>
      <c r="L17" s="2182" t="s">
        <v>2322</v>
      </c>
      <c r="M17" s="2182" t="s">
        <v>2323</v>
      </c>
    </row>
    <row r="18" spans="1:35" ht="15" thickBot="1">
      <c r="A18" s="435" t="s">
        <v>19</v>
      </c>
      <c r="B18" s="18"/>
      <c r="C18" s="473">
        <f>ROUND(C17/SUM(C17:D17),2)</f>
        <v>0.8</v>
      </c>
      <c r="D18" s="473">
        <f>1-C18</f>
        <v>0.19999999999999996</v>
      </c>
      <c r="E18" s="2274"/>
      <c r="F18" s="2274"/>
      <c r="G18" s="2274"/>
      <c r="H18" s="2274"/>
      <c r="I18" s="2274"/>
      <c r="K18" s="2181" t="s">
        <v>2136</v>
      </c>
      <c r="L18" s="2181">
        <f>IF(C1="",'数据-汇总表'!E3,SUMIF(项目类型,C1,'数据-汇总表'!E17:E26)+SUMIF(项目类型,C1,'数据-汇总表'!I17:I26))</f>
        <v>31303.89</v>
      </c>
      <c r="M18" s="2181">
        <f>IF(C1="",'数据-汇总表'!E3,SUMIF(项目类型,C1,'数据-汇总表'!E17:E26))</f>
        <v>31303.89</v>
      </c>
    </row>
    <row r="19" spans="1:35" ht="14.25">
      <c r="A19" s="436" t="s">
        <v>180</v>
      </c>
      <c r="B19" s="437" t="s">
        <v>20</v>
      </c>
      <c r="C19" s="474">
        <f ca="1">SUMIF(INDIRECT("'"&amp;C4&amp;"'"&amp;"!A:A"),结果表!B19,INDIRECT("'"&amp;C4&amp;"'"&amp;"!B:B"))</f>
        <v>23788</v>
      </c>
      <c r="D19" s="475">
        <f ca="1">SUMIF(INDIRECT("'"&amp;D4&amp;"'"&amp;"!A:A"),结果表!B19,INDIRECT("'"&amp;D4&amp;"'"&amp;"!B:B"))</f>
        <v>12463</v>
      </c>
      <c r="E19" s="436" t="s">
        <v>179</v>
      </c>
      <c r="F19" s="437" t="s">
        <v>20</v>
      </c>
      <c r="G19" s="476">
        <f ca="1">ROUND(C19*$C$18+D19*$D$18,0)</f>
        <v>21523</v>
      </c>
      <c r="H19" s="438" t="s">
        <v>227</v>
      </c>
      <c r="I19" s="2274"/>
      <c r="K19" s="2181" t="s">
        <v>2137</v>
      </c>
      <c r="L19" s="2181">
        <f>IF(C1="",'数据-汇总表'!D3,SUMIF(项目类型,C1,'数据-汇总表'!D17:D26)+SUMIF(项目类型,C1,'数据-汇总表'!H17:H27))</f>
        <v>0</v>
      </c>
      <c r="M19" s="2181">
        <f>IF(C1="",'数据-汇总表'!D3,SUMIF(项目类型,C1,'数据-汇总表'!D17:D26))</f>
        <v>0</v>
      </c>
    </row>
    <row r="20" spans="1:35" ht="14.25">
      <c r="A20" s="439"/>
      <c r="B20" s="440" t="s">
        <v>21</v>
      </c>
      <c r="C20" s="477">
        <f ca="1">SUMIF(INDIRECT("'"&amp;C4&amp;"'"&amp;"!A:A"),结果表!B20,INDIRECT("'"&amp;C4&amp;"'"&amp;"!B:B"))</f>
        <v>7599</v>
      </c>
      <c r="D20" s="478">
        <f ca="1">SUMIF(INDIRECT("'"&amp;D4&amp;"'"&amp;"!A:A"),结果表!B20,INDIRECT("'"&amp;D4&amp;"'"&amp;"!B:B"))</f>
        <v>3981</v>
      </c>
      <c r="E20" s="439"/>
      <c r="F20" s="440" t="s">
        <v>21</v>
      </c>
      <c r="G20" s="479">
        <f ca="1">ROUND(C20*$C$18+D20*$D$18,0)</f>
        <v>6875</v>
      </c>
      <c r="H20" s="441" t="s">
        <v>226</v>
      </c>
      <c r="I20" s="2274"/>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226</v>
      </c>
      <c r="I21" s="2274"/>
    </row>
    <row r="22" spans="1:35" ht="15" thickBot="1">
      <c r="A22" s="275" t="s">
        <v>181</v>
      </c>
      <c r="B22" s="1423"/>
      <c r="C22" s="1424"/>
      <c r="D22" s="1425">
        <f ca="1">IF(C19&lt;D19,D19/C19-1,C19/D19-1)</f>
        <v>0.90868972157586447</v>
      </c>
      <c r="E22" s="2274"/>
      <c r="F22" s="2274"/>
      <c r="G22" s="2274"/>
      <c r="H22" s="2274"/>
      <c r="I22" s="2274"/>
    </row>
    <row r="23" spans="1:35" ht="12.75" thickBot="1">
      <c r="A23" s="1242"/>
      <c r="B23" s="1242"/>
      <c r="C23" s="1242"/>
      <c r="D23" s="1242"/>
      <c r="E23" s="2274"/>
      <c r="F23" s="2274"/>
      <c r="G23" s="2274"/>
      <c r="H23" s="2274"/>
      <c r="I23" s="2274"/>
    </row>
    <row r="24" spans="1:35" ht="14.25">
      <c r="A24" s="3603" t="s">
        <v>177</v>
      </c>
      <c r="B24" s="437" t="s">
        <v>20</v>
      </c>
      <c r="C24" s="476">
        <f>IF(B30=0,0,D30)</f>
        <v>0</v>
      </c>
      <c r="D24" s="446"/>
      <c r="E24" s="2274"/>
      <c r="F24" s="2274"/>
      <c r="G24" s="2274"/>
      <c r="H24" s="2274"/>
      <c r="I24" s="2274"/>
    </row>
    <row r="25" spans="1:35" ht="14.25">
      <c r="A25" s="3604"/>
      <c r="B25" s="440" t="s">
        <v>21</v>
      </c>
      <c r="C25" s="481">
        <f>IF(B30=0,0,C30)</f>
        <v>0</v>
      </c>
      <c r="D25" s="447"/>
      <c r="E25" s="2274"/>
      <c r="F25" s="2274"/>
      <c r="G25" s="2274"/>
      <c r="H25" s="2274"/>
      <c r="I25" s="2274"/>
    </row>
    <row r="26" spans="1:35" ht="13.5" customHeight="1">
      <c r="A26" s="448" t="s">
        <v>178</v>
      </c>
      <c r="B26" s="449" t="s">
        <v>120</v>
      </c>
      <c r="C26" s="449" t="s">
        <v>121</v>
      </c>
      <c r="D26" s="450" t="s">
        <v>122</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176</v>
      </c>
      <c r="B30" s="484">
        <f>SUM(B27:B29)</f>
        <v>0</v>
      </c>
      <c r="C30" s="484" t="e">
        <f>ROUND(D30*10000/B30,0)</f>
        <v>#DIV/0!</v>
      </c>
      <c r="D30" s="484">
        <f>SUM(D27:D29)</f>
        <v>0</v>
      </c>
      <c r="E30" s="2274"/>
      <c r="F30" s="2274"/>
      <c r="G30" s="2274"/>
      <c r="H30" s="2274"/>
      <c r="I30" s="2274"/>
    </row>
    <row r="31" spans="1:35" s="1244" customFormat="1" ht="14.25" thickBot="1">
      <c r="A31" s="452"/>
      <c r="B31" s="452"/>
      <c r="C31" s="452"/>
      <c r="D31" s="452"/>
      <c r="E31" s="2274"/>
      <c r="F31" s="2274"/>
      <c r="G31" s="2274"/>
      <c r="H31" s="2274"/>
      <c r="I31" s="2274"/>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21523</v>
      </c>
      <c r="D32" s="2089" t="s">
        <v>209</v>
      </c>
      <c r="E32" s="2274"/>
      <c r="F32" s="2274"/>
      <c r="G32" s="2274"/>
      <c r="H32" s="2274"/>
      <c r="I32" s="2274"/>
    </row>
    <row r="33" spans="1:15" ht="13.5">
      <c r="A33" s="457" t="s">
        <v>762</v>
      </c>
      <c r="B33" s="2088"/>
      <c r="C33" s="2874"/>
      <c r="D33" s="2877"/>
      <c r="E33" s="2086" t="s">
        <v>2116</v>
      </c>
      <c r="F33" s="2087" t="str">
        <f>IF(D32="楼面单价","取值（单价）","取值（总价）")</f>
        <v>取值（总价）</v>
      </c>
      <c r="G33" s="2274"/>
      <c r="H33" s="2274"/>
      <c r="I33" s="2274"/>
    </row>
    <row r="34" spans="1:15" ht="15">
      <c r="A34" s="458"/>
      <c r="B34" s="459" t="s">
        <v>765</v>
      </c>
      <c r="C34" s="489" t="e">
        <f ca="1">IF(C33="自定义",F34,C32-C35)</f>
        <v>#REF!</v>
      </c>
      <c r="D34" s="2090" t="e">
        <f ca="1">IF(C33="自定义",ROUND(C34/C32,3),IF(C33="收益比率",SUMIF(INDIRECT("'"&amp;D33&amp;"'"&amp;"!b:b"),"土地收益比率",INDIRECT("'"&amp;D33&amp;"'"&amp;"!c:c")),SUMIF(INDIRECT("'"&amp;D33&amp;"'"&amp;"!b:b"),"土地成本比率",INDIRECT("'"&amp;D33&amp;"'"&amp;"!c:c"))))</f>
        <v>#REF!</v>
      </c>
      <c r="E34" s="2875" t="s">
        <v>2117</v>
      </c>
      <c r="F34" s="3251"/>
      <c r="G34" s="2274"/>
      <c r="H34" s="2274"/>
      <c r="I34" s="2274"/>
    </row>
    <row r="35" spans="1:15" ht="15.75" thickBot="1">
      <c r="A35" s="461"/>
      <c r="B35" s="2878" t="s">
        <v>767</v>
      </c>
      <c r="C35" s="2879" t="e">
        <f ca="1">IF(C33="自定义",F35,ROUND(C32*D35,0))</f>
        <v>#REF!</v>
      </c>
      <c r="D35" s="2880" t="e">
        <f ca="1">IF(C33="自定义",ROUND(C35/C32,3),IF(C33="收益比率",SUMIF(INDIRECT("'"&amp;D33&amp;"'"&amp;"!b:b"),"建筑物收益比率",INDIRECT("'"&amp;D33&amp;"'"&amp;"!c:c")),SUMIF(INDIRECT("'"&amp;D33&amp;"'"&amp;"!b:b"),"建筑物成本比率",INDIRECT("'"&amp;D33&amp;"'"&amp;"!c:c"))))</f>
        <v>#REF!</v>
      </c>
      <c r="E35" s="2876" t="s">
        <v>2118</v>
      </c>
      <c r="F35" s="495"/>
      <c r="G35" s="2274"/>
      <c r="H35" s="2274"/>
      <c r="I35" s="2274"/>
    </row>
    <row r="36" spans="1:15" ht="15.75" thickBot="1">
      <c r="A36" s="3579" t="s">
        <v>763</v>
      </c>
      <c r="B36" s="455" t="s">
        <v>764</v>
      </c>
      <c r="C36" s="486"/>
      <c r="D36" s="456"/>
      <c r="E36" s="1245"/>
      <c r="F36" s="2275"/>
      <c r="G36" s="2274"/>
      <c r="H36" s="2274"/>
      <c r="I36" s="2274"/>
    </row>
    <row r="37" spans="1:15" ht="15.75" thickBot="1">
      <c r="A37" s="3580"/>
      <c r="B37" s="13" t="s">
        <v>766</v>
      </c>
      <c r="C37" s="488"/>
      <c r="D37" s="2223"/>
      <c r="E37" s="2223"/>
      <c r="F37" s="2275"/>
      <c r="G37" s="2274"/>
      <c r="H37" s="2274"/>
      <c r="I37" s="2274"/>
    </row>
    <row r="38" spans="1:15" ht="15.75" thickBot="1">
      <c r="A38" s="3581"/>
      <c r="B38" s="460" t="s">
        <v>768</v>
      </c>
      <c r="C38" s="1136"/>
      <c r="D38" s="1246" t="s">
        <v>769</v>
      </c>
      <c r="E38" s="2223"/>
      <c r="F38" s="2275"/>
      <c r="G38" s="2274"/>
      <c r="H38" s="2274"/>
      <c r="I38" s="2274"/>
    </row>
    <row r="39" spans="1:15" ht="13.5">
      <c r="A39" s="439" t="s">
        <v>770</v>
      </c>
      <c r="B39" s="462" t="s">
        <v>771</v>
      </c>
      <c r="C39" s="463" t="s">
        <v>772</v>
      </c>
      <c r="D39" s="463" t="s">
        <v>773</v>
      </c>
      <c r="E39" s="464" t="s">
        <v>774</v>
      </c>
      <c r="F39" s="2275"/>
      <c r="G39" s="2274"/>
      <c r="H39" s="2274"/>
      <c r="I39" s="2274"/>
    </row>
    <row r="40" spans="1:15" ht="13.5">
      <c r="A40" s="1247" t="s">
        <v>775</v>
      </c>
      <c r="B40" s="490"/>
      <c r="C40" s="491"/>
      <c r="D40" s="491"/>
      <c r="E40" s="492"/>
      <c r="F40" s="2275"/>
      <c r="G40" s="2274"/>
      <c r="H40" s="2274"/>
      <c r="I40" s="2274"/>
    </row>
    <row r="41" spans="1:15" ht="13.5">
      <c r="A41" s="1247" t="s">
        <v>776</v>
      </c>
      <c r="B41" s="490"/>
      <c r="C41" s="491"/>
      <c r="D41" s="491"/>
      <c r="E41" s="492"/>
      <c r="F41" s="2275"/>
      <c r="G41" s="2274"/>
      <c r="H41" s="2274"/>
      <c r="I41" s="2274"/>
    </row>
    <row r="42" spans="1:15" ht="14.25" thickBot="1">
      <c r="A42" s="1248"/>
      <c r="B42" s="493"/>
      <c r="C42" s="494"/>
      <c r="D42" s="494"/>
      <c r="E42" s="495"/>
      <c r="F42" s="2275"/>
      <c r="G42" s="2274"/>
      <c r="H42" s="2274"/>
      <c r="I42" s="2274"/>
    </row>
    <row r="43" spans="1:15" ht="12">
      <c r="A43" s="241"/>
      <c r="B43" s="241"/>
      <c r="C43" s="241"/>
      <c r="D43" s="241"/>
      <c r="E43" s="241"/>
      <c r="F43" s="1249"/>
      <c r="G43" s="1249"/>
      <c r="H43" s="1249"/>
      <c r="I43" s="1250"/>
    </row>
    <row r="44" spans="1:15" ht="18.75">
      <c r="A44" s="1251" t="s">
        <v>777</v>
      </c>
      <c r="B44" s="1252"/>
      <c r="C44" s="1252"/>
      <c r="D44" s="1253"/>
      <c r="E44" s="1253"/>
      <c r="F44" s="1254"/>
      <c r="G44" s="1254"/>
      <c r="H44" s="1254"/>
      <c r="I44" s="1254"/>
      <c r="J44" s="3268" t="s">
        <v>213</v>
      </c>
      <c r="K44" s="3269"/>
      <c r="L44" s="3269"/>
      <c r="M44" s="3269"/>
      <c r="N44" s="3269"/>
      <c r="O44" s="3269"/>
    </row>
    <row r="45" spans="1:15" ht="14.25" customHeight="1" thickBot="1">
      <c r="A45" s="3600" t="s">
        <v>797</v>
      </c>
      <c r="B45" s="3601"/>
      <c r="C45" s="3602"/>
      <c r="D45" s="496">
        <f ca="1">ROUND(H101*F45,0)</f>
        <v>21523</v>
      </c>
      <c r="E45" s="497" t="s">
        <v>798</v>
      </c>
      <c r="F45" s="498">
        <v>1</v>
      </c>
      <c r="G45" s="499" t="s">
        <v>799</v>
      </c>
      <c r="H45" s="2274"/>
      <c r="I45" s="2274"/>
      <c r="J45" s="3510" t="s">
        <v>214</v>
      </c>
      <c r="K45" s="3510"/>
      <c r="L45" s="3510"/>
      <c r="M45" s="3510"/>
      <c r="N45" s="3510"/>
      <c r="O45" s="3510"/>
    </row>
    <row r="46" spans="1:15" ht="14.25" customHeight="1">
      <c r="A46" s="3597" t="s">
        <v>286</v>
      </c>
      <c r="B46" s="3598"/>
      <c r="C46" s="3598"/>
      <c r="D46" s="3598"/>
      <c r="E46" s="3598"/>
      <c r="F46" s="3598"/>
      <c r="G46" s="3599"/>
      <c r="H46" s="2276"/>
      <c r="I46" s="2229"/>
      <c r="J46" s="1496">
        <v>1</v>
      </c>
      <c r="K46" s="3510" t="s">
        <v>215</v>
      </c>
      <c r="L46" s="3510"/>
      <c r="M46" s="3511"/>
      <c r="N46" s="3511"/>
      <c r="O46" s="3511"/>
    </row>
    <row r="47" spans="1:15" ht="12" customHeight="1">
      <c r="A47" s="501" t="s">
        <v>287</v>
      </c>
      <c r="B47" s="502"/>
      <c r="C47" s="503"/>
      <c r="D47" s="504" t="s">
        <v>288</v>
      </c>
      <c r="E47" s="313" t="s">
        <v>289</v>
      </c>
      <c r="F47" s="505" t="s">
        <v>800</v>
      </c>
      <c r="G47" s="506" t="s">
        <v>801</v>
      </c>
      <c r="H47" s="2276"/>
      <c r="I47" s="2229"/>
      <c r="J47" s="1496">
        <v>2</v>
      </c>
      <c r="K47" s="3510" t="s">
        <v>216</v>
      </c>
      <c r="L47" s="3510"/>
      <c r="M47" s="3512">
        <f>'数据-取费表'!B2</f>
        <v>42935</v>
      </c>
      <c r="N47" s="3512"/>
      <c r="O47" s="3512"/>
    </row>
    <row r="48" spans="1:15" ht="25.5">
      <c r="A48" s="3583" t="s">
        <v>290</v>
      </c>
      <c r="B48" s="3584"/>
      <c r="C48" s="3584"/>
      <c r="D48" s="471">
        <f>IF(H48="情况1",0,IF(H48="情况2",D52,IF(H48="情况3",D53,IF(H48="情况4",D54))))</f>
        <v>0</v>
      </c>
      <c r="E48" s="1920" t="str">
        <f>IF(H48="情况4","(销售额-原购置价)×税（费）率","销售额×税（费）率")</f>
        <v>销售额×税（费）率</v>
      </c>
      <c r="F48" s="507" t="str">
        <f>IF(H48="情况1","免征",'数据-取费表'!B41)</f>
        <v>免征</v>
      </c>
      <c r="G48" s="465" t="s">
        <v>778</v>
      </c>
      <c r="H48" s="1431" t="s">
        <v>2419</v>
      </c>
      <c r="I48" s="2276"/>
      <c r="J48" s="1496">
        <v>3</v>
      </c>
      <c r="K48" s="3510" t="s">
        <v>779</v>
      </c>
      <c r="L48" s="3510"/>
      <c r="M48" s="3513">
        <f ca="1">H101</f>
        <v>21523</v>
      </c>
      <c r="N48" s="3513"/>
      <c r="O48" s="3513"/>
    </row>
    <row r="49" spans="1:35" ht="25.5" customHeight="1">
      <c r="A49" s="508" t="s">
        <v>802</v>
      </c>
      <c r="B49" s="3563" t="s">
        <v>803</v>
      </c>
      <c r="C49" s="3563"/>
      <c r="D49" s="509">
        <v>0</v>
      </c>
      <c r="E49" s="312" t="s">
        <v>804</v>
      </c>
      <c r="F49" s="317" t="s">
        <v>171</v>
      </c>
      <c r="G49" s="3542"/>
      <c r="H49" s="2274"/>
      <c r="I49" s="2277"/>
      <c r="J49" s="1496">
        <v>4</v>
      </c>
      <c r="K49" s="3510" t="str">
        <f>IF(项目基本情况!E8="房地产抵押价值","房地产抵押价值","抵押担保权已注销时的房地产抵押价值")</f>
        <v>房地产抵押价值</v>
      </c>
      <c r="L49" s="3510"/>
      <c r="M49" s="3513">
        <f ca="1">IF(项目基本情况!E8="房地产抵押价值",H107,H109)</f>
        <v>21523</v>
      </c>
      <c r="N49" s="3513"/>
      <c r="O49" s="3513"/>
    </row>
    <row r="50" spans="1:35" ht="25.5" customHeight="1">
      <c r="A50" s="510"/>
      <c r="B50" s="3563" t="s">
        <v>293</v>
      </c>
      <c r="C50" s="3563"/>
      <c r="D50" s="511"/>
      <c r="E50" s="320"/>
      <c r="F50" s="512"/>
      <c r="G50" s="3543"/>
      <c r="H50" s="2274"/>
      <c r="I50" s="2277"/>
      <c r="J50" s="3510" t="s">
        <v>217</v>
      </c>
      <c r="K50" s="3510"/>
      <c r="L50" s="3510"/>
      <c r="M50" s="3510"/>
      <c r="N50" s="3510"/>
      <c r="O50" s="3510"/>
    </row>
    <row r="51" spans="1:35" ht="12" customHeight="1">
      <c r="A51" s="513"/>
      <c r="B51" s="3563" t="s">
        <v>294</v>
      </c>
      <c r="C51" s="3563"/>
      <c r="D51" s="514"/>
      <c r="E51" s="319"/>
      <c r="F51" s="512"/>
      <c r="G51" s="3544"/>
      <c r="H51" s="2274"/>
      <c r="I51" s="2277"/>
      <c r="J51" s="3270" t="s">
        <v>218</v>
      </c>
      <c r="K51" s="3510" t="s">
        <v>219</v>
      </c>
      <c r="L51" s="3510"/>
      <c r="M51" s="3270" t="s">
        <v>3005</v>
      </c>
      <c r="N51" s="3270" t="s">
        <v>220</v>
      </c>
      <c r="O51" s="3270" t="s">
        <v>221</v>
      </c>
    </row>
    <row r="52" spans="1:35" ht="24" customHeight="1">
      <c r="A52" s="515" t="s">
        <v>295</v>
      </c>
      <c r="B52" s="3563" t="s">
        <v>296</v>
      </c>
      <c r="C52" s="3563"/>
      <c r="D52" s="514">
        <f ca="1">ROUND(D45*'数据-取费表'!B41/(1+'数据-取费表'!C42),0)</f>
        <v>1148</v>
      </c>
      <c r="E52" s="299" t="s">
        <v>297</v>
      </c>
      <c r="F52" s="516">
        <f>'数据-取费表'!B41</f>
        <v>5.6000000000000001E-2</v>
      </c>
      <c r="G52" s="466"/>
      <c r="H52" s="2274"/>
      <c r="I52" s="2277"/>
      <c r="J52" s="1496">
        <v>1</v>
      </c>
      <c r="K52" s="3536" t="s">
        <v>780</v>
      </c>
      <c r="L52" s="3536"/>
      <c r="M52" s="3271">
        <f>D48</f>
        <v>0</v>
      </c>
      <c r="N52" s="1495" t="str">
        <f>E48</f>
        <v>销售额×税（费）率</v>
      </c>
      <c r="O52" s="3272" t="str">
        <f>F48</f>
        <v>免征</v>
      </c>
    </row>
    <row r="53" spans="1:35" ht="12" customHeight="1">
      <c r="A53" s="515" t="s">
        <v>298</v>
      </c>
      <c r="B53" s="3564" t="s">
        <v>299</v>
      </c>
      <c r="C53" s="3565"/>
      <c r="D53" s="514">
        <f ca="1">ROUND(D45*'数据-取费表'!B41/(1+'数据-取费表'!C42),0)</f>
        <v>1148</v>
      </c>
      <c r="E53" s="299" t="s">
        <v>297</v>
      </c>
      <c r="F53" s="516">
        <f>'数据-取费表'!B41</f>
        <v>5.6000000000000001E-2</v>
      </c>
      <c r="G53" s="466"/>
      <c r="H53" s="2274"/>
      <c r="I53" s="2277"/>
      <c r="J53" s="1496">
        <v>2</v>
      </c>
      <c r="K53" s="3536" t="s">
        <v>781</v>
      </c>
      <c r="L53" s="3536"/>
      <c r="M53" s="3271">
        <f t="shared" ref="M53:O54" ca="1" si="0">D55</f>
        <v>11</v>
      </c>
      <c r="N53" s="1495" t="str">
        <f t="shared" si="0"/>
        <v>销售额×税（费）率</v>
      </c>
      <c r="O53" s="3272">
        <f t="shared" si="0"/>
        <v>5.0000000000000001E-4</v>
      </c>
    </row>
    <row r="54" spans="1:35" ht="12" customHeight="1">
      <c r="A54" s="515" t="s">
        <v>300</v>
      </c>
      <c r="B54" s="3564" t="s">
        <v>301</v>
      </c>
      <c r="C54" s="3565"/>
      <c r="D54" s="514">
        <f ca="1">C68</f>
        <v>1148</v>
      </c>
      <c r="E54" s="319" t="s">
        <v>302</v>
      </c>
      <c r="F54" s="516">
        <f>'数据-取费表'!B41</f>
        <v>5.6000000000000001E-2</v>
      </c>
      <c r="G54" s="466"/>
      <c r="H54" s="2278"/>
      <c r="I54" s="2277"/>
      <c r="J54" s="1496">
        <v>3</v>
      </c>
      <c r="K54" s="3536" t="s">
        <v>782</v>
      </c>
      <c r="L54" s="3536"/>
      <c r="M54" s="3271">
        <f t="shared" ca="1" si="0"/>
        <v>12182</v>
      </c>
      <c r="N54" s="1495" t="str">
        <f t="shared" si="0"/>
        <v>增值额×税（费）率</v>
      </c>
      <c r="O54" s="3273" t="str">
        <f t="shared" si="0"/>
        <v>——</v>
      </c>
    </row>
    <row r="55" spans="1:35" ht="24" customHeight="1">
      <c r="A55" s="3606" t="s">
        <v>303</v>
      </c>
      <c r="B55" s="3584"/>
      <c r="C55" s="3584"/>
      <c r="D55" s="517">
        <f ca="1">IF(H55="个人住宅",0,ROUND(D45*I55,0))</f>
        <v>11</v>
      </c>
      <c r="E55" s="299" t="s">
        <v>304</v>
      </c>
      <c r="F55" s="516">
        <f>IF(H55="正常",I55,"免征")</f>
        <v>5.0000000000000001E-4</v>
      </c>
      <c r="G55" s="466"/>
      <c r="H55" s="1431" t="s">
        <v>155</v>
      </c>
      <c r="I55" s="518">
        <f>'数据-取费表'!B49</f>
        <v>5.0000000000000001E-4</v>
      </c>
      <c r="J55" s="1496" t="str">
        <f>IF(H59="非个人房产","",4)</f>
        <v/>
      </c>
      <c r="K55" s="3536" t="str">
        <f>IF(H59="非个人房产","——","个人所得税")</f>
        <v>——</v>
      </c>
      <c r="L55" s="3536"/>
      <c r="M55" s="3274" t="str">
        <f>D59</f>
        <v>——</v>
      </c>
      <c r="N55" s="3275" t="str">
        <f>E59</f>
        <v>——</v>
      </c>
      <c r="O55" s="3276" t="str">
        <f>F59</f>
        <v>——</v>
      </c>
    </row>
    <row r="56" spans="1:35" ht="24.75">
      <c r="A56" s="3606" t="s">
        <v>305</v>
      </c>
      <c r="B56" s="3584"/>
      <c r="C56" s="3584"/>
      <c r="D56" s="517">
        <f ca="1">IF(H56="个人住宅",D57,D58)</f>
        <v>12182</v>
      </c>
      <c r="E56" s="299" t="s">
        <v>306</v>
      </c>
      <c r="F56" s="516" t="str">
        <f>IF(H56="正常",F58,"免征")</f>
        <v>——</v>
      </c>
      <c r="G56" s="1255" t="s">
        <v>783</v>
      </c>
      <c r="H56" s="1430" t="s">
        <v>155</v>
      </c>
      <c r="I56" s="2279"/>
      <c r="J56" s="1496" t="str">
        <f>IF(项目基本情况!K6="上海银行",IF(J55="",4,J55+1),"")</f>
        <v/>
      </c>
      <c r="K56" s="3516" t="str">
        <f>IF(项目基本情况!K6="上海银行","其他处置费用","")</f>
        <v/>
      </c>
      <c r="L56" s="3517"/>
      <c r="M56" s="3271" t="str">
        <f>IF(项目基本情况!K6="上海银行",M69,"")</f>
        <v/>
      </c>
      <c r="N56" s="3519" t="str">
        <f>IF(项目基本情况!K6="上海银行","包含处置中涉及的律师、诉讼、拍卖、评估等费用","")</f>
        <v/>
      </c>
      <c r="O56" s="3520"/>
    </row>
    <row r="57" spans="1:35" ht="12.75">
      <c r="A57" s="515" t="s">
        <v>291</v>
      </c>
      <c r="B57" s="3569" t="s">
        <v>307</v>
      </c>
      <c r="C57" s="3570"/>
      <c r="D57" s="519">
        <v>0</v>
      </c>
      <c r="E57" s="312" t="s">
        <v>292</v>
      </c>
      <c r="F57" s="487"/>
      <c r="G57" s="466"/>
      <c r="H57" s="2279"/>
      <c r="I57" s="2279"/>
      <c r="J57" s="3548">
        <f>IF(AND(J55="",J56=""),4,IF(项目基本情况!K6="上海银行",结果表!J56+1,结果表!J55+1))</f>
        <v>4</v>
      </c>
      <c r="K57" s="3536" t="s">
        <v>784</v>
      </c>
      <c r="L57" s="3277" t="s">
        <v>222</v>
      </c>
      <c r="M57" s="3278"/>
      <c r="N57" s="3279">
        <f ca="1">SUMIF(M52:M56,"&lt;9e307")</f>
        <v>12193</v>
      </c>
      <c r="O57" s="3280"/>
      <c r="P57" s="3267">
        <f ca="1">N57/M49</f>
        <v>0.56651024485434187</v>
      </c>
    </row>
    <row r="58" spans="1:35" ht="24.75">
      <c r="A58" s="515" t="s">
        <v>295</v>
      </c>
      <c r="B58" s="3569" t="s">
        <v>308</v>
      </c>
      <c r="C58" s="3582"/>
      <c r="D58" s="517">
        <f ca="1">IF(H58="转让取得",C81,C97)</f>
        <v>12182</v>
      </c>
      <c r="E58" s="299" t="s">
        <v>306</v>
      </c>
      <c r="F58" s="313" t="s">
        <v>171</v>
      </c>
      <c r="G58" s="466"/>
      <c r="H58" s="1430" t="s">
        <v>1135</v>
      </c>
      <c r="I58" s="2279"/>
      <c r="J58" s="3548"/>
      <c r="K58" s="3536"/>
      <c r="L58" s="3277" t="s">
        <v>223</v>
      </c>
      <c r="M58" s="3281"/>
      <c r="N58" s="3282" t="str">
        <f ca="1">NUMBERSTRING(INT(N57*10000),2)&amp;"元整"</f>
        <v>壹亿贰仟壹佰玖拾叁万元整</v>
      </c>
      <c r="O58" s="3283"/>
    </row>
    <row r="59" spans="1:35" ht="24.75" thickBot="1">
      <c r="A59" s="3540" t="s">
        <v>309</v>
      </c>
      <c r="B59" s="3541"/>
      <c r="C59" s="3541"/>
      <c r="D59" s="520" t="str">
        <f>IF(H59="非个人房产","——",IF(H59="个人住宅",0,ROUND(D45*I59,0)))</f>
        <v>——</v>
      </c>
      <c r="E59" s="521" t="str">
        <f>IF(H59="非个人房产","——","销售额×税（费）率")</f>
        <v>——</v>
      </c>
      <c r="F59" s="522" t="str">
        <f>IF(H59="非个人房产","——",IF(H59="个人住宅","免征",I59))</f>
        <v>——</v>
      </c>
      <c r="G59" s="1256" t="s">
        <v>170</v>
      </c>
      <c r="H59" s="1430" t="s">
        <v>1134</v>
      </c>
      <c r="I59" s="523">
        <v>0.01</v>
      </c>
      <c r="J59" s="3538">
        <f>J57+1</f>
        <v>5</v>
      </c>
      <c r="K59" s="3536" t="s">
        <v>172</v>
      </c>
      <c r="L59" s="1495" t="s">
        <v>222</v>
      </c>
      <c r="M59" s="3284"/>
      <c r="N59" s="3285">
        <f ca="1">M49-N57</f>
        <v>9330</v>
      </c>
      <c r="O59" s="3286"/>
    </row>
    <row r="60" spans="1:35" ht="12" customHeight="1">
      <c r="A60" s="1257"/>
      <c r="B60" s="1242"/>
      <c r="C60" s="1242"/>
      <c r="D60" s="1242"/>
      <c r="E60" s="229"/>
      <c r="F60" s="2279"/>
      <c r="G60" s="2279"/>
      <c r="H60" s="2280"/>
      <c r="I60" s="2274"/>
      <c r="J60" s="3539"/>
      <c r="K60" s="3536"/>
      <c r="L60" s="3277" t="s">
        <v>223</v>
      </c>
      <c r="M60" s="3281"/>
      <c r="N60" s="3282" t="str">
        <f ca="1">NUMBERSTRING(INT(N59*10000),2)&amp;"元整"</f>
        <v>玖仟叁佰叁拾万元整</v>
      </c>
      <c r="O60" s="3283"/>
    </row>
    <row r="61" spans="1:35" ht="13.5" thickBot="1">
      <c r="A61" s="3605" t="s">
        <v>310</v>
      </c>
      <c r="B61" s="3605"/>
      <c r="C61" s="3605"/>
      <c r="D61" s="3605"/>
      <c r="E61" s="3605"/>
      <c r="F61" s="2279"/>
      <c r="G61" s="2279"/>
      <c r="H61" s="2280"/>
      <c r="I61" s="2274"/>
      <c r="J61" s="1496">
        <f>J59+1</f>
        <v>6</v>
      </c>
      <c r="K61" s="3536" t="s">
        <v>224</v>
      </c>
      <c r="L61" s="3536"/>
      <c r="M61" s="3287"/>
      <c r="N61" s="3288">
        <f ca="1">ROUND(N59*10000/'数据-汇总表'!E3,0)</f>
        <v>2980</v>
      </c>
      <c r="O61" s="3289"/>
    </row>
    <row r="62" spans="1:35" ht="12.75">
      <c r="A62" s="3557" t="s">
        <v>311</v>
      </c>
      <c r="B62" s="3558"/>
      <c r="C62" s="1914"/>
      <c r="D62" s="1914" t="s">
        <v>319</v>
      </c>
      <c r="E62" s="524" t="s">
        <v>320</v>
      </c>
      <c r="F62" s="2279"/>
      <c r="G62" s="2279"/>
      <c r="H62" s="2280"/>
      <c r="I62" s="2274"/>
    </row>
    <row r="63" spans="1:35" ht="12.75">
      <c r="A63" s="535" t="s">
        <v>1897</v>
      </c>
      <c r="B63" s="525" t="s">
        <v>312</v>
      </c>
      <c r="C63" s="526">
        <f ca="1">ROUND((C64+C65)/(1+'数据-取费表'!C42),0)</f>
        <v>20498</v>
      </c>
      <c r="D63" s="527"/>
      <c r="E63" s="528"/>
      <c r="F63" s="2279"/>
      <c r="G63" s="2279"/>
      <c r="H63" s="2280"/>
      <c r="I63" s="2274"/>
      <c r="J63" s="3518" t="s">
        <v>2998</v>
      </c>
      <c r="K63" s="3266" t="s">
        <v>2999</v>
      </c>
      <c r="L63" s="3264">
        <f ca="1">IF(M49&gt;10000,M49*0.5%,IF(AND(M49&gt;1000,M49&lt;=10000),M49*1%,IF(AND(M49&gt;100,M49&lt;=1000),M49*3%,IF(AND(M49&gt;10,M49&lt;=100),M49*5%,M49*8%))))</f>
        <v>107.61500000000001</v>
      </c>
      <c r="M63" s="313">
        <f ca="1">ROUND(L63,1)</f>
        <v>107.6</v>
      </c>
      <c r="Z63" s="1433"/>
      <c r="AI63" s="1243"/>
    </row>
    <row r="64" spans="1:35" ht="14.25" customHeight="1">
      <c r="A64" s="529" t="s">
        <v>1892</v>
      </c>
      <c r="B64" s="530" t="s">
        <v>313</v>
      </c>
      <c r="C64" s="531">
        <f ca="1">D45</f>
        <v>21523</v>
      </c>
      <c r="D64" s="532" t="s">
        <v>167</v>
      </c>
      <c r="E64" s="533"/>
      <c r="F64" s="2279"/>
      <c r="G64" s="2279"/>
      <c r="H64" s="2280"/>
      <c r="I64" s="2274"/>
      <c r="J64" s="3518"/>
      <c r="K64" s="3266" t="s">
        <v>3000</v>
      </c>
      <c r="L64" s="3264">
        <f ca="1">IF(M49&gt;2000,M49*0.5%,IF(AND(M49&gt;1000,M49&lt;=2000),M49*0.6%,IF(AND(M49&gt;500,M49&lt;=1000),M49*0.7%,IF(AND(M49&gt;200,M49&lt;=500),M49*0.8%,IF(AND(M49&gt;100,M49&lt;=200),M49*0.9%,IF(AND(M49&gt;50,M49&lt;=100),M49*1%,IF(AND(M49&gt;20,M49&lt;=50),M49*1.5%,IF(AND(M49&gt;10,M49&lt;=20),M49*2%,IF(AND(M49&gt;1,M49&lt;=10),M49*2.5%)))))))))</f>
        <v>107.61500000000001</v>
      </c>
      <c r="M64" s="313">
        <f t="shared" ref="M64:M65" ca="1" si="1">ROUND(L64,1)</f>
        <v>107.6</v>
      </c>
      <c r="N64" s="469" t="s">
        <v>3006</v>
      </c>
      <c r="Z64" s="1433"/>
      <c r="AI64" s="1243"/>
    </row>
    <row r="65" spans="1:35" ht="14.25" customHeight="1">
      <c r="A65" s="529" t="s">
        <v>1893</v>
      </c>
      <c r="B65" s="530" t="s">
        <v>314</v>
      </c>
      <c r="C65" s="534"/>
      <c r="D65" s="532"/>
      <c r="E65" s="533"/>
      <c r="F65" s="2279"/>
      <c r="G65" s="2279"/>
      <c r="H65" s="2280"/>
      <c r="I65" s="2274"/>
      <c r="J65" s="3518"/>
      <c r="K65" s="3266" t="s">
        <v>3001</v>
      </c>
      <c r="L65" s="3264">
        <f ca="1">IF(M49&gt;1000,M49*0.1%,IF(AND(M49&gt;500,M49&lt;=1000),M49*0.5%,IF(AND(M49&gt;50,M49&lt;=500),M49*1%,IF(AND(M49&gt;1,M49&lt;=50),M49*1.5%))))</f>
        <v>21.523</v>
      </c>
      <c r="M65" s="313">
        <f t="shared" ca="1" si="1"/>
        <v>21.5</v>
      </c>
      <c r="N65" s="469" t="s">
        <v>3007</v>
      </c>
      <c r="Z65" s="1433"/>
      <c r="AI65" s="1243"/>
    </row>
    <row r="66" spans="1:35" ht="14.25" customHeight="1">
      <c r="A66" s="535" t="s">
        <v>1894</v>
      </c>
      <c r="B66" s="536" t="s">
        <v>315</v>
      </c>
      <c r="C66" s="537"/>
      <c r="D66" s="538" t="s">
        <v>167</v>
      </c>
      <c r="E66" s="3318" t="s">
        <v>3044</v>
      </c>
      <c r="F66" s="2279"/>
      <c r="G66" s="2279"/>
      <c r="H66" s="2280"/>
      <c r="I66" s="2274"/>
      <c r="J66" s="3518"/>
      <c r="K66" s="3266" t="s">
        <v>3002</v>
      </c>
      <c r="L66" s="3264">
        <f ca="1">M49*0.5%</f>
        <v>107.61500000000001</v>
      </c>
      <c r="M66" s="313">
        <f ca="1">IF(L66&gt;0.5,0.5,ROUND(L66,0))</f>
        <v>0.5</v>
      </c>
      <c r="N66" s="469" t="s">
        <v>3008</v>
      </c>
      <c r="Z66" s="1433"/>
      <c r="AI66" s="1243"/>
    </row>
    <row r="67" spans="1:35" ht="14.25" customHeight="1">
      <c r="A67" s="535" t="s">
        <v>1895</v>
      </c>
      <c r="B67" s="536" t="s">
        <v>316</v>
      </c>
      <c r="C67" s="539">
        <f ca="1">C63-C66</f>
        <v>20498</v>
      </c>
      <c r="D67" s="532" t="s">
        <v>167</v>
      </c>
      <c r="E67" s="533"/>
      <c r="F67" s="2279"/>
      <c r="G67" s="2279"/>
      <c r="H67" s="2280"/>
      <c r="I67" s="2274"/>
      <c r="J67" s="3518"/>
      <c r="K67" s="3266" t="s">
        <v>3003</v>
      </c>
      <c r="L67" s="3264">
        <f ca="1">IF(M49&gt;=10000,(8.25+(M49-10000)*0.01%),IF(AND(M49&gt;=8000,M49&lt;10000),(7.85+(M49-8000)*0.02%),IF(AND(M49&gt;=5000,M49&lt;8000),(6.65+(M49-5000)*0.04%),IF(AND(M49&gt;=2000,M49&lt;5000),(4.25+(PM49-2000)*0.08%),IF(AND(M49&gt;=1000,M49&lt;2000),(2.75+(M49-1000)*0.15%),IF(AND(M49&gt;=100,M49&lt;1000),(0.5+(M49-100)*0.25%),IF(AND(M49&gt;0,M49&lt;100),M49*0.5%)))))))</f>
        <v>9.4023000000000003</v>
      </c>
      <c r="M67" s="313">
        <f ca="1">ROUND(L67*0.9,1)</f>
        <v>8.5</v>
      </c>
      <c r="Z67" s="1433"/>
      <c r="AI67" s="1243"/>
    </row>
    <row r="68" spans="1:35" ht="14.25" customHeight="1" thickBot="1">
      <c r="A68" s="540" t="s">
        <v>1896</v>
      </c>
      <c r="B68" s="541" t="s">
        <v>317</v>
      </c>
      <c r="C68" s="542">
        <f ca="1">IF(C67&lt;=0,0,ROUND(C67*D68,0))</f>
        <v>1148</v>
      </c>
      <c r="D68" s="543">
        <f>'数据-取费表'!B41</f>
        <v>5.6000000000000001E-2</v>
      </c>
      <c r="E68" s="544"/>
      <c r="F68" s="2279"/>
      <c r="G68" s="2279"/>
      <c r="H68" s="2280"/>
      <c r="I68" s="2274"/>
      <c r="J68" s="3518"/>
      <c r="K68" s="3266" t="s">
        <v>3004</v>
      </c>
      <c r="L68" s="3264">
        <f ca="1">IF(M49&gt;10000,M49*0.5%,IF(AND(M49&gt;5000,M49&lt;=10000),M49*1%,IF(AND(M49&gt;1000,M49&lt;=5000),M49*2%,IF(AND(M49&gt;200,M49&lt;=1000),M49*3%,M49*5%))))</f>
        <v>107.61500000000001</v>
      </c>
      <c r="M68" s="313">
        <f ca="1">ROUND(L68,1)</f>
        <v>107.6</v>
      </c>
      <c r="Z68" s="1433"/>
      <c r="AI68" s="1243"/>
    </row>
    <row r="69" spans="1:35" s="1244" customFormat="1" ht="16.5" customHeight="1">
      <c r="A69" s="1258"/>
      <c r="B69" s="1259"/>
      <c r="C69" s="1260"/>
      <c r="D69" s="1261"/>
      <c r="E69" s="1262"/>
      <c r="F69" s="229"/>
      <c r="G69" s="229"/>
      <c r="H69" s="241"/>
      <c r="I69" s="1242"/>
      <c r="J69" s="3518"/>
      <c r="K69" s="3266" t="s">
        <v>187</v>
      </c>
      <c r="L69" s="3265"/>
      <c r="M69" s="313">
        <f ca="1">ROUND(SUM(M63:M68),0)</f>
        <v>353</v>
      </c>
      <c r="N69" s="3267">
        <f ca="1">M69/M49</f>
        <v>1.6401059331877528E-2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67" t="s">
        <v>318</v>
      </c>
      <c r="B70" s="3568"/>
      <c r="C70" s="3568"/>
      <c r="D70" s="3568"/>
      <c r="E70" s="3568"/>
      <c r="F70" s="3568"/>
      <c r="G70" s="3568"/>
      <c r="H70" s="3568"/>
      <c r="I70" s="1263"/>
      <c r="N70" s="2132"/>
      <c r="O70" s="2132"/>
      <c r="P70" s="2132"/>
      <c r="Q70" s="2132"/>
      <c r="R70" s="2132"/>
      <c r="S70" s="2132"/>
      <c r="T70" s="2132"/>
      <c r="U70" s="2132"/>
      <c r="V70" s="2132"/>
      <c r="W70" s="2132"/>
      <c r="X70" s="2132"/>
      <c r="Y70" s="2132"/>
      <c r="Z70" s="2132"/>
      <c r="AA70" s="1434"/>
      <c r="AB70" s="1434"/>
      <c r="AC70" s="1434"/>
      <c r="AD70" s="1434"/>
      <c r="AE70" s="1434"/>
      <c r="AF70" s="1434"/>
      <c r="AG70" s="1434"/>
      <c r="AH70" s="1434"/>
      <c r="AI70" s="1434"/>
    </row>
    <row r="71" spans="1:35" s="1264" customFormat="1" ht="14.25">
      <c r="A71" s="3557" t="s">
        <v>311</v>
      </c>
      <c r="B71" s="3558"/>
      <c r="C71" s="1914"/>
      <c r="D71" s="1914" t="s">
        <v>319</v>
      </c>
      <c r="E71" s="545" t="s">
        <v>320</v>
      </c>
      <c r="F71" s="546"/>
      <c r="G71" s="546"/>
      <c r="H71" s="547"/>
      <c r="I71" s="2281"/>
      <c r="N71" s="2132"/>
      <c r="O71" s="2132"/>
      <c r="P71" s="2132"/>
      <c r="Q71" s="2132"/>
      <c r="R71" s="2132"/>
      <c r="S71" s="2132"/>
      <c r="T71" s="2132"/>
      <c r="U71" s="2132"/>
      <c r="V71" s="2132"/>
      <c r="W71" s="2132"/>
      <c r="X71" s="2132"/>
      <c r="Y71" s="2132"/>
      <c r="Z71" s="2132"/>
      <c r="AA71" s="1434"/>
      <c r="AB71" s="1434"/>
      <c r="AC71" s="1434"/>
      <c r="AD71" s="1434"/>
      <c r="AE71" s="1434"/>
      <c r="AF71" s="1434"/>
      <c r="AG71" s="1434"/>
      <c r="AH71" s="1434"/>
      <c r="AI71" s="1434"/>
    </row>
    <row r="72" spans="1:35" s="1264" customFormat="1" ht="14.25">
      <c r="A72" s="535" t="s">
        <v>1897</v>
      </c>
      <c r="B72" s="536" t="s">
        <v>321</v>
      </c>
      <c r="C72" s="539">
        <f ca="1">ROUND(D45/(1+'数据-取费表'!C42),0)</f>
        <v>20498</v>
      </c>
      <c r="D72" s="532" t="s">
        <v>167</v>
      </c>
      <c r="E72" s="1917"/>
      <c r="F72" s="1918"/>
      <c r="G72" s="1918"/>
      <c r="H72" s="548"/>
      <c r="I72" s="2281"/>
      <c r="N72" s="2132"/>
      <c r="O72" s="2132"/>
      <c r="P72" s="2132"/>
      <c r="Q72" s="2132"/>
      <c r="R72" s="2132"/>
      <c r="S72" s="2132"/>
      <c r="T72" s="2132"/>
      <c r="U72" s="2132"/>
      <c r="V72" s="2132"/>
      <c r="W72" s="2132"/>
      <c r="X72" s="2132"/>
      <c r="Y72" s="2132"/>
      <c r="Z72" s="2132"/>
      <c r="AA72" s="1434"/>
      <c r="AB72" s="1434"/>
      <c r="AC72" s="1434"/>
      <c r="AD72" s="1434"/>
      <c r="AE72" s="1434"/>
      <c r="AF72" s="1434"/>
      <c r="AG72" s="1434"/>
      <c r="AH72" s="1434"/>
      <c r="AI72" s="1434"/>
    </row>
    <row r="73" spans="1:35" s="1264" customFormat="1" ht="14.25">
      <c r="A73" s="535" t="s">
        <v>1894</v>
      </c>
      <c r="B73" s="505" t="s">
        <v>322</v>
      </c>
      <c r="C73" s="539">
        <f ca="1">C74+C78</f>
        <v>123</v>
      </c>
      <c r="D73" s="532" t="s">
        <v>167</v>
      </c>
      <c r="E73" s="1917"/>
      <c r="F73" s="1918"/>
      <c r="G73" s="1918"/>
      <c r="H73" s="548"/>
      <c r="I73" s="2281"/>
      <c r="J73" s="2132"/>
      <c r="K73" s="2132"/>
      <c r="L73" s="2132"/>
      <c r="M73" s="2132"/>
      <c r="N73" s="2132"/>
      <c r="O73" s="2132"/>
      <c r="P73" s="2132"/>
      <c r="Q73" s="2132"/>
      <c r="R73" s="2132"/>
      <c r="S73" s="2132"/>
      <c r="T73" s="2132"/>
      <c r="U73" s="2132"/>
      <c r="V73" s="2132"/>
      <c r="W73" s="2132"/>
      <c r="X73" s="2132"/>
      <c r="Y73" s="2132"/>
      <c r="Z73" s="2132"/>
      <c r="AA73" s="1434"/>
      <c r="AB73" s="1434"/>
      <c r="AC73" s="1434"/>
      <c r="AD73" s="1434"/>
      <c r="AE73" s="1434"/>
      <c r="AF73" s="1434"/>
      <c r="AG73" s="1434"/>
      <c r="AH73" s="1434"/>
      <c r="AI73" s="1434"/>
    </row>
    <row r="74" spans="1:35" s="1264" customFormat="1" ht="24">
      <c r="A74" s="549" t="s">
        <v>1898</v>
      </c>
      <c r="B74" s="530" t="s">
        <v>323</v>
      </c>
      <c r="C74" s="532">
        <f>ROUND(IF(G77="2016年5月1日后购买",C75/(1+'数据-取费表'!C42)+C76+C77,C75+C76+C77),0)</f>
        <v>0</v>
      </c>
      <c r="D74" s="532" t="s">
        <v>167</v>
      </c>
      <c r="E74" s="1917"/>
      <c r="F74" s="1918"/>
      <c r="G74" s="1918"/>
      <c r="H74" s="548"/>
      <c r="I74" s="2281"/>
      <c r="J74" s="2132"/>
      <c r="K74" s="2132"/>
      <c r="L74" s="2132"/>
      <c r="M74" s="2132"/>
      <c r="N74" s="2132"/>
      <c r="O74" s="2132"/>
      <c r="P74" s="2132"/>
      <c r="Q74" s="2132"/>
      <c r="R74" s="2132"/>
      <c r="S74" s="2132"/>
      <c r="T74" s="2132"/>
      <c r="U74" s="2132"/>
      <c r="V74" s="2132"/>
      <c r="W74" s="2132"/>
      <c r="X74" s="2132"/>
      <c r="Y74" s="2132"/>
      <c r="Z74" s="2132"/>
      <c r="AA74" s="1434"/>
      <c r="AB74" s="1434"/>
      <c r="AC74" s="1434"/>
      <c r="AD74" s="1434"/>
      <c r="AE74" s="1434"/>
      <c r="AF74" s="1434"/>
      <c r="AG74" s="1434"/>
      <c r="AH74" s="1434"/>
      <c r="AI74" s="1434"/>
    </row>
    <row r="75" spans="1:35" s="1264" customFormat="1" ht="13.5">
      <c r="A75" s="549" t="s">
        <v>1899</v>
      </c>
      <c r="B75" s="530" t="s">
        <v>324</v>
      </c>
      <c r="C75" s="550"/>
      <c r="D75" s="532" t="s">
        <v>167</v>
      </c>
      <c r="E75" s="551" t="s">
        <v>325</v>
      </c>
      <c r="F75" s="1426" t="s">
        <v>2420</v>
      </c>
      <c r="G75" s="551" t="s">
        <v>794</v>
      </c>
      <c r="H75" s="552"/>
      <c r="I75" s="2282"/>
      <c r="J75" s="2132"/>
      <c r="K75" s="2132"/>
      <c r="L75" s="2132"/>
      <c r="M75" s="2132"/>
      <c r="N75" s="2132"/>
      <c r="O75" s="2132"/>
      <c r="P75" s="2132"/>
      <c r="Q75" s="2132"/>
      <c r="R75" s="2132"/>
      <c r="S75" s="2132"/>
      <c r="T75" s="2132"/>
      <c r="U75" s="2132"/>
      <c r="V75" s="2132"/>
      <c r="W75" s="2132"/>
      <c r="X75" s="2132"/>
      <c r="Y75" s="2132"/>
      <c r="Z75" s="2132"/>
      <c r="AA75" s="1434"/>
      <c r="AB75" s="1434"/>
      <c r="AC75" s="1434"/>
      <c r="AD75" s="1434"/>
      <c r="AE75" s="1434"/>
      <c r="AF75" s="1434"/>
      <c r="AG75" s="1434"/>
      <c r="AH75" s="1434"/>
      <c r="AI75" s="1434"/>
    </row>
    <row r="76" spans="1:35" s="1264" customFormat="1" ht="24.75" customHeight="1">
      <c r="A76" s="549" t="s">
        <v>1901</v>
      </c>
      <c r="B76" s="553" t="s">
        <v>326</v>
      </c>
      <c r="C76" s="532">
        <f>IF(F75="购房发票",ROUND(C75*H75*D76,0),0)</f>
        <v>0</v>
      </c>
      <c r="D76" s="554">
        <v>0.05</v>
      </c>
      <c r="E76" s="3564" t="s">
        <v>327</v>
      </c>
      <c r="F76" s="3563"/>
      <c r="G76" s="3563"/>
      <c r="H76" s="3566"/>
      <c r="I76" s="2281"/>
      <c r="J76" s="2132"/>
      <c r="K76" s="2132"/>
      <c r="L76" s="2132"/>
      <c r="M76" s="2132"/>
      <c r="N76" s="2132"/>
      <c r="O76" s="2132"/>
      <c r="P76" s="2132"/>
      <c r="Q76" s="2132"/>
      <c r="R76" s="2132"/>
      <c r="S76" s="2132"/>
      <c r="T76" s="2132"/>
      <c r="U76" s="2132"/>
      <c r="V76" s="2132"/>
      <c r="W76" s="2132"/>
      <c r="X76" s="2132"/>
      <c r="Y76" s="2132"/>
      <c r="Z76" s="2132"/>
      <c r="AA76" s="1434"/>
      <c r="AB76" s="1434"/>
      <c r="AC76" s="1434"/>
      <c r="AD76" s="1434"/>
      <c r="AE76" s="1434"/>
      <c r="AF76" s="1434"/>
      <c r="AG76" s="1434"/>
      <c r="AH76" s="1434"/>
      <c r="AI76" s="1434"/>
    </row>
    <row r="77" spans="1:35" s="1264" customFormat="1" ht="24.75" customHeight="1">
      <c r="A77" s="549" t="s">
        <v>1902</v>
      </c>
      <c r="B77" s="530" t="s">
        <v>328</v>
      </c>
      <c r="C77" s="532">
        <f>ROUND(IF(G77="个人住宅",0,IF(G77="2016年5月1日前购买",C75*D77,C75*D77/(1+'数据-取费表'!C42))),0)</f>
        <v>0</v>
      </c>
      <c r="D77" s="555">
        <f>'数据-取费表'!B48+'数据-取费表'!B49</f>
        <v>3.0499999999999999E-2</v>
      </c>
      <c r="E77" s="303" t="s">
        <v>795</v>
      </c>
      <c r="F77" s="556"/>
      <c r="G77" s="1427" t="s">
        <v>2511</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4"/>
      <c r="AB77" s="1434"/>
      <c r="AC77" s="1434"/>
      <c r="AD77" s="1434"/>
      <c r="AE77" s="1434"/>
      <c r="AF77" s="1434"/>
      <c r="AG77" s="1434"/>
      <c r="AH77" s="1434"/>
      <c r="AI77" s="1434"/>
    </row>
    <row r="78" spans="1:35" s="1264" customFormat="1" ht="24.75" customHeight="1">
      <c r="A78" s="549" t="s">
        <v>1900</v>
      </c>
      <c r="B78" s="530" t="s">
        <v>329</v>
      </c>
      <c r="C78" s="557">
        <f ca="1">ROUND(D45*D78/(1+'数据-取费表'!C42),0)</f>
        <v>123</v>
      </c>
      <c r="D78" s="558">
        <f>'数据-取费表'!B43</f>
        <v>6.000000000000001E-3</v>
      </c>
      <c r="E78" s="3559" t="s">
        <v>2512</v>
      </c>
      <c r="F78" s="3555"/>
      <c r="G78" s="3555"/>
      <c r="H78" s="3556"/>
      <c r="I78" s="2283"/>
      <c r="J78" s="2132"/>
      <c r="K78" s="2132"/>
      <c r="L78" s="2132"/>
      <c r="M78" s="2132"/>
      <c r="N78" s="2132"/>
      <c r="O78" s="2132"/>
      <c r="P78" s="2132"/>
      <c r="Q78" s="2132"/>
      <c r="R78" s="2132"/>
      <c r="S78" s="2132"/>
      <c r="T78" s="2132"/>
      <c r="U78" s="2132"/>
      <c r="V78" s="2132"/>
      <c r="W78" s="2132"/>
      <c r="X78" s="2132"/>
      <c r="Y78" s="2132"/>
      <c r="Z78" s="2132"/>
      <c r="AA78" s="1434"/>
      <c r="AB78" s="1434"/>
      <c r="AC78" s="1434"/>
      <c r="AD78" s="1434"/>
      <c r="AE78" s="1434"/>
      <c r="AF78" s="1434"/>
      <c r="AG78" s="1434"/>
      <c r="AH78" s="1434"/>
      <c r="AI78" s="1434"/>
    </row>
    <row r="79" spans="1:35" s="1264" customFormat="1" ht="14.25">
      <c r="A79" s="1796" t="s">
        <v>1903</v>
      </c>
      <c r="B79" s="536" t="s">
        <v>330</v>
      </c>
      <c r="C79" s="539">
        <f ca="1">C72-C73</f>
        <v>20375</v>
      </c>
      <c r="D79" s="532" t="s">
        <v>167</v>
      </c>
      <c r="E79" s="1917"/>
      <c r="F79" s="1918"/>
      <c r="G79" s="1918"/>
      <c r="H79" s="548"/>
      <c r="I79" s="2281"/>
      <c r="J79" s="2132"/>
      <c r="K79" s="2132"/>
      <c r="L79" s="2132"/>
      <c r="M79" s="2132"/>
      <c r="N79" s="2132"/>
      <c r="O79" s="2132"/>
      <c r="P79" s="2132"/>
      <c r="Q79" s="2132"/>
      <c r="R79" s="2132"/>
      <c r="S79" s="2132"/>
      <c r="T79" s="2132"/>
      <c r="U79" s="2132"/>
      <c r="V79" s="2132"/>
      <c r="W79" s="2132"/>
      <c r="X79" s="2132"/>
      <c r="Y79" s="2132"/>
      <c r="Z79" s="2132"/>
      <c r="AA79" s="1434"/>
      <c r="AB79" s="1434"/>
      <c r="AC79" s="1434"/>
      <c r="AD79" s="1434"/>
      <c r="AE79" s="1434"/>
      <c r="AF79" s="1434"/>
      <c r="AG79" s="1434"/>
      <c r="AH79" s="1434"/>
      <c r="AI79" s="1434"/>
    </row>
    <row r="80" spans="1:35" s="1264" customFormat="1" ht="24">
      <c r="A80" s="1796" t="s">
        <v>1904</v>
      </c>
      <c r="B80" s="536" t="s">
        <v>331</v>
      </c>
      <c r="C80" s="559">
        <f ca="1">IF(C79&lt;=0,0,C79/C73)</f>
        <v>165.65040650406505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1"/>
      <c r="J80" s="2132"/>
      <c r="K80" s="2132"/>
      <c r="L80" s="2132"/>
      <c r="M80" s="2132"/>
      <c r="N80" s="2132"/>
      <c r="O80" s="2132"/>
      <c r="P80" s="2132"/>
      <c r="Q80" s="2132"/>
      <c r="R80" s="2132"/>
      <c r="S80" s="2132"/>
      <c r="T80" s="2132"/>
      <c r="U80" s="2132"/>
      <c r="V80" s="2132"/>
      <c r="W80" s="2132"/>
      <c r="X80" s="2132"/>
      <c r="Y80" s="2132"/>
      <c r="Z80" s="2132"/>
      <c r="AA80" s="1434"/>
      <c r="AB80" s="1434"/>
      <c r="AC80" s="1434"/>
      <c r="AD80" s="1434"/>
      <c r="AE80" s="1434"/>
      <c r="AF80" s="1434"/>
      <c r="AG80" s="1434"/>
      <c r="AH80" s="1434"/>
      <c r="AI80" s="1434"/>
    </row>
    <row r="81" spans="1:35" s="1264" customFormat="1" ht="24.75" thickBot="1">
      <c r="A81" s="1797" t="s">
        <v>1905</v>
      </c>
      <c r="B81" s="541" t="s">
        <v>332</v>
      </c>
      <c r="C81" s="560">
        <f ca="1">ROUND(IF(C79&lt;=0,0,IF(C80&gt;=200%,C79*60%-C73*35%,IF(C80&gt;=100%,C79*50%-C73*15%,IF(C80&gt;=50%,C79*40%-C73*5%,IF(C80&lt;50%,C79*30%,0))))),0)</f>
        <v>12182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3"/>
      <c r="J82" s="2132"/>
      <c r="K82" s="2132"/>
      <c r="L82" s="2132"/>
      <c r="M82" s="2132"/>
      <c r="N82" s="2132"/>
      <c r="O82" s="2132"/>
      <c r="P82" s="2132"/>
      <c r="Q82" s="2132"/>
      <c r="R82" s="2132"/>
      <c r="S82" s="2132"/>
      <c r="T82" s="2132"/>
      <c r="U82" s="2132"/>
      <c r="V82" s="2132"/>
      <c r="W82" s="2132"/>
      <c r="X82" s="2132"/>
      <c r="Y82" s="2132"/>
      <c r="Z82" s="2132"/>
      <c r="AA82" s="1434"/>
      <c r="AB82" s="1434"/>
      <c r="AC82" s="1434"/>
      <c r="AD82" s="1434"/>
      <c r="AE82" s="1434"/>
      <c r="AF82" s="1434"/>
      <c r="AG82" s="1434"/>
      <c r="AH82" s="1434"/>
      <c r="AI82" s="1434"/>
    </row>
    <row r="83" spans="1:35" s="1264" customFormat="1" ht="14.25" thickBot="1">
      <c r="A83" s="3567" t="s">
        <v>333</v>
      </c>
      <c r="B83" s="3568"/>
      <c r="C83" s="3568"/>
      <c r="D83" s="3568"/>
      <c r="E83" s="3568"/>
      <c r="F83" s="3568"/>
      <c r="G83" s="3568"/>
      <c r="H83" s="3568"/>
      <c r="I83" s="2282"/>
      <c r="J83" s="2132"/>
      <c r="K83" s="2132"/>
      <c r="L83" s="2132"/>
      <c r="M83" s="2132"/>
      <c r="N83" s="2132"/>
      <c r="O83" s="2132"/>
      <c r="P83" s="2132"/>
      <c r="Q83" s="2132"/>
      <c r="R83" s="2132"/>
      <c r="S83" s="2132"/>
      <c r="T83" s="2132"/>
      <c r="U83" s="2132"/>
      <c r="V83" s="2132"/>
      <c r="W83" s="2132"/>
      <c r="X83" s="2132"/>
      <c r="Y83" s="2132"/>
      <c r="Z83" s="2132"/>
      <c r="AA83" s="1434"/>
      <c r="AB83" s="1434"/>
      <c r="AC83" s="1434"/>
      <c r="AD83" s="1434"/>
      <c r="AE83" s="1434"/>
      <c r="AF83" s="1434"/>
      <c r="AG83" s="1434"/>
      <c r="AH83" s="1434"/>
      <c r="AI83" s="1434"/>
    </row>
    <row r="84" spans="1:35" s="1264" customFormat="1" ht="13.5">
      <c r="A84" s="3557" t="s">
        <v>311</v>
      </c>
      <c r="B84" s="3558"/>
      <c r="C84" s="1914"/>
      <c r="D84" s="1914" t="s">
        <v>319</v>
      </c>
      <c r="E84" s="545" t="s">
        <v>320</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4"/>
      <c r="AB84" s="1434"/>
      <c r="AC84" s="1434"/>
      <c r="AD84" s="1434"/>
      <c r="AE84" s="1434"/>
      <c r="AF84" s="1434"/>
      <c r="AG84" s="1434"/>
      <c r="AH84" s="1434"/>
      <c r="AI84" s="1434"/>
    </row>
    <row r="85" spans="1:35" s="1264" customFormat="1" ht="13.5">
      <c r="A85" s="535" t="s">
        <v>1897</v>
      </c>
      <c r="B85" s="536" t="s">
        <v>321</v>
      </c>
      <c r="C85" s="539">
        <f ca="1">ROUND(D45/(1+'数据-取费表'!C42),0)</f>
        <v>20498</v>
      </c>
      <c r="D85" s="532" t="s">
        <v>167</v>
      </c>
      <c r="E85" s="1917"/>
      <c r="F85" s="1918"/>
      <c r="G85" s="1918"/>
      <c r="H85" s="566"/>
      <c r="I85" s="2282"/>
      <c r="J85" s="2132"/>
      <c r="K85" s="2132"/>
      <c r="L85" s="2132"/>
      <c r="M85" s="2132"/>
      <c r="N85" s="2132"/>
      <c r="O85" s="2132"/>
      <c r="P85" s="2132"/>
      <c r="Q85" s="2132"/>
      <c r="R85" s="2132"/>
      <c r="S85" s="2132"/>
      <c r="T85" s="2132"/>
      <c r="U85" s="2132"/>
      <c r="V85" s="2132"/>
      <c r="W85" s="2132"/>
      <c r="X85" s="2132"/>
      <c r="Y85" s="2132"/>
      <c r="Z85" s="2132"/>
      <c r="AA85" s="1434"/>
      <c r="AB85" s="1434"/>
      <c r="AC85" s="1434"/>
      <c r="AD85" s="1434"/>
      <c r="AE85" s="1434"/>
      <c r="AF85" s="1434"/>
      <c r="AG85" s="1434"/>
      <c r="AH85" s="1434"/>
      <c r="AI85" s="1434"/>
    </row>
    <row r="86" spans="1:35" s="1264" customFormat="1" ht="13.5">
      <c r="A86" s="535" t="s">
        <v>1894</v>
      </c>
      <c r="B86" s="505" t="s">
        <v>322</v>
      </c>
      <c r="C86" s="539">
        <f ca="1">IF(H88="仅含出让金",C87+C90+C91+C92+C93+C94,C87+C91+C92+C93+C94)</f>
        <v>123</v>
      </c>
      <c r="D86" s="567"/>
      <c r="E86" s="1917"/>
      <c r="F86" s="1918"/>
      <c r="G86" s="1918"/>
      <c r="H86" s="566"/>
      <c r="I86" s="2282"/>
      <c r="J86" s="2132"/>
      <c r="K86" s="2132"/>
      <c r="L86" s="2132"/>
      <c r="M86" s="2132"/>
      <c r="N86" s="2132"/>
      <c r="O86" s="2132"/>
      <c r="P86" s="2132"/>
      <c r="Q86" s="2132"/>
      <c r="R86" s="2132"/>
      <c r="S86" s="2132"/>
      <c r="T86" s="2132"/>
      <c r="U86" s="2132"/>
      <c r="V86" s="2132"/>
      <c r="W86" s="2132"/>
      <c r="X86" s="2132"/>
      <c r="Y86" s="2132"/>
      <c r="Z86" s="2132"/>
      <c r="AA86" s="1434"/>
      <c r="AB86" s="1434"/>
      <c r="AC86" s="1434"/>
      <c r="AD86" s="1434"/>
      <c r="AE86" s="1434"/>
      <c r="AF86" s="1434"/>
      <c r="AG86" s="1434"/>
      <c r="AH86" s="1434"/>
      <c r="AI86" s="1434"/>
    </row>
    <row r="87" spans="1:35" s="1264" customFormat="1" ht="13.5">
      <c r="A87" s="549" t="s">
        <v>1898</v>
      </c>
      <c r="B87" s="530" t="s">
        <v>334</v>
      </c>
      <c r="C87" s="557">
        <f>C88+C89</f>
        <v>0</v>
      </c>
      <c r="D87" s="558"/>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4"/>
      <c r="AB87" s="1434"/>
      <c r="AC87" s="1434"/>
      <c r="AD87" s="1434"/>
      <c r="AE87" s="1434"/>
      <c r="AF87" s="1434"/>
      <c r="AG87" s="1434"/>
      <c r="AH87" s="1434"/>
      <c r="AI87" s="1434"/>
    </row>
    <row r="88" spans="1:35" s="1264" customFormat="1" ht="13.5">
      <c r="A88" s="549" t="s">
        <v>1899</v>
      </c>
      <c r="B88" s="530" t="s">
        <v>335</v>
      </c>
      <c r="C88" s="568"/>
      <c r="D88" s="558"/>
      <c r="E88" s="569" t="s">
        <v>336</v>
      </c>
      <c r="F88" s="1913"/>
      <c r="G88" s="570" t="s">
        <v>337</v>
      </c>
      <c r="H88" s="1428"/>
      <c r="I88" s="2282"/>
      <c r="J88" s="2132"/>
      <c r="K88" s="2132"/>
      <c r="L88" s="2132"/>
      <c r="M88" s="2132"/>
      <c r="N88" s="2132"/>
      <c r="O88" s="2132"/>
      <c r="P88" s="2132"/>
      <c r="Q88" s="2132"/>
      <c r="R88" s="2132"/>
      <c r="S88" s="2132"/>
      <c r="T88" s="2132"/>
      <c r="U88" s="2132"/>
      <c r="V88" s="2132"/>
      <c r="W88" s="2132"/>
      <c r="X88" s="2132"/>
      <c r="Y88" s="2132"/>
      <c r="Z88" s="2132"/>
      <c r="AA88" s="1434"/>
      <c r="AB88" s="1434"/>
      <c r="AC88" s="1434"/>
      <c r="AD88" s="1434"/>
      <c r="AE88" s="1434"/>
      <c r="AF88" s="1434"/>
      <c r="AG88" s="1434"/>
      <c r="AH88" s="1434"/>
      <c r="AI88" s="1434"/>
    </row>
    <row r="89" spans="1:35" s="1264" customFormat="1" ht="13.5">
      <c r="A89" s="549" t="s">
        <v>1901</v>
      </c>
      <c r="B89" s="530" t="s">
        <v>328</v>
      </c>
      <c r="C89" s="557">
        <f>ROUND(C88*D89,0)</f>
        <v>0</v>
      </c>
      <c r="D89" s="558">
        <f>'数据-取费表'!B48+'数据-取费表'!B49</f>
        <v>3.0499999999999999E-2</v>
      </c>
      <c r="E89" s="569" t="s">
        <v>338</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4"/>
      <c r="AB89" s="1434"/>
      <c r="AC89" s="1434"/>
      <c r="AD89" s="1434"/>
      <c r="AE89" s="1434"/>
      <c r="AF89" s="1434"/>
      <c r="AG89" s="1434"/>
      <c r="AH89" s="1434"/>
      <c r="AI89" s="1434"/>
    </row>
    <row r="90" spans="1:35" s="1264" customFormat="1" ht="13.5">
      <c r="A90" s="549" t="s">
        <v>1900</v>
      </c>
      <c r="B90" s="530" t="s">
        <v>339</v>
      </c>
      <c r="C90" s="568"/>
      <c r="D90" s="558"/>
      <c r="E90" s="569"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4"/>
      <c r="AB90" s="1434"/>
      <c r="AC90" s="1434"/>
      <c r="AD90" s="1434"/>
      <c r="AE90" s="1434"/>
      <c r="AF90" s="1434"/>
      <c r="AG90" s="1434"/>
      <c r="AH90" s="1434"/>
      <c r="AI90" s="1434"/>
    </row>
    <row r="91" spans="1:35" s="1264" customFormat="1" ht="27.75" customHeight="1">
      <c r="A91" s="1798" t="s">
        <v>1906</v>
      </c>
      <c r="B91" s="530" t="s">
        <v>340</v>
      </c>
      <c r="C91" s="557">
        <f>IF(H91="——",成本法!C33,I91)</f>
        <v>0</v>
      </c>
      <c r="D91" s="558"/>
      <c r="E91" s="3554" t="s">
        <v>796</v>
      </c>
      <c r="F91" s="3555"/>
      <c r="G91" s="3555"/>
      <c r="H91" s="1429" t="s">
        <v>2321</v>
      </c>
      <c r="I91" s="2179"/>
      <c r="J91" s="2132"/>
      <c r="K91" s="2132"/>
      <c r="L91" s="2132"/>
      <c r="M91" s="2132"/>
      <c r="N91" s="2132"/>
      <c r="O91" s="2132"/>
      <c r="P91" s="2132"/>
      <c r="Q91" s="2132"/>
      <c r="R91" s="2132"/>
      <c r="S91" s="2132"/>
      <c r="T91" s="2132"/>
      <c r="U91" s="2132"/>
      <c r="V91" s="2132"/>
      <c r="W91" s="2132"/>
      <c r="X91" s="2132"/>
      <c r="Y91" s="2132"/>
      <c r="Z91" s="2132"/>
      <c r="AA91" s="1434"/>
      <c r="AB91" s="1434"/>
      <c r="AC91" s="1434"/>
      <c r="AD91" s="1434"/>
      <c r="AE91" s="1434"/>
      <c r="AF91" s="1434"/>
      <c r="AG91" s="1434"/>
      <c r="AH91" s="1434"/>
      <c r="AI91" s="1434"/>
    </row>
    <row r="92" spans="1:35" s="1264" customFormat="1" ht="25.5" customHeight="1">
      <c r="A92" s="1798" t="s">
        <v>1907</v>
      </c>
      <c r="B92" s="530" t="s">
        <v>341</v>
      </c>
      <c r="C92" s="557">
        <f>ROUND((C87+C90+C91)*D92,0)</f>
        <v>0</v>
      </c>
      <c r="D92" s="558">
        <v>0.1</v>
      </c>
      <c r="E92" s="3554" t="s">
        <v>342</v>
      </c>
      <c r="F92" s="3555"/>
      <c r="G92" s="3555"/>
      <c r="H92" s="3556"/>
      <c r="I92" s="2282"/>
      <c r="J92" s="2132"/>
      <c r="K92" s="2132"/>
      <c r="L92" s="2132"/>
      <c r="M92" s="2132"/>
      <c r="N92" s="2132"/>
      <c r="O92" s="2132"/>
      <c r="P92" s="2132"/>
      <c r="Q92" s="2132"/>
      <c r="R92" s="2132"/>
      <c r="S92" s="2132"/>
      <c r="T92" s="2132"/>
      <c r="U92" s="2132"/>
      <c r="V92" s="2132"/>
      <c r="W92" s="2132"/>
      <c r="X92" s="2132"/>
      <c r="Y92" s="2132"/>
      <c r="Z92" s="2132"/>
      <c r="AA92" s="1434"/>
      <c r="AB92" s="1434"/>
      <c r="AC92" s="1434"/>
      <c r="AD92" s="1434"/>
      <c r="AE92" s="1434"/>
      <c r="AF92" s="1434"/>
      <c r="AG92" s="1434"/>
      <c r="AH92" s="1434"/>
      <c r="AI92" s="1434"/>
    </row>
    <row r="93" spans="1:35" s="1264" customFormat="1" ht="25.5" customHeight="1">
      <c r="A93" s="1798" t="s">
        <v>1908</v>
      </c>
      <c r="B93" s="530" t="s">
        <v>329</v>
      </c>
      <c r="C93" s="557">
        <f ca="1">ROUND(D45*D93/(1+'数据-取费表'!C42),0)</f>
        <v>123</v>
      </c>
      <c r="D93" s="558">
        <f>'数据-取费表'!B43</f>
        <v>6.000000000000001E-3</v>
      </c>
      <c r="E93" s="3559" t="s">
        <v>2512</v>
      </c>
      <c r="F93" s="3555"/>
      <c r="G93" s="3555"/>
      <c r="H93" s="3556"/>
      <c r="I93" s="2282"/>
      <c r="J93" s="2132"/>
      <c r="K93" s="2132"/>
      <c r="L93" s="2132"/>
      <c r="M93" s="2132"/>
      <c r="N93" s="2132"/>
      <c r="O93" s="2132"/>
      <c r="P93" s="2132"/>
      <c r="Q93" s="2132"/>
      <c r="R93" s="2132"/>
      <c r="S93" s="2132"/>
      <c r="T93" s="2132"/>
      <c r="U93" s="2132"/>
      <c r="V93" s="2132"/>
      <c r="W93" s="2132"/>
      <c r="X93" s="2132"/>
      <c r="Y93" s="2132"/>
      <c r="Z93" s="2132"/>
      <c r="AA93" s="1434"/>
      <c r="AB93" s="1434"/>
      <c r="AC93" s="1434"/>
      <c r="AD93" s="1434"/>
      <c r="AE93" s="1434"/>
      <c r="AF93" s="1434"/>
      <c r="AG93" s="1434"/>
      <c r="AH93" s="1434"/>
      <c r="AI93" s="1434"/>
    </row>
    <row r="94" spans="1:35" s="1264" customFormat="1" ht="25.5" customHeight="1">
      <c r="A94" s="1798" t="s">
        <v>1909</v>
      </c>
      <c r="B94" s="530" t="s">
        <v>343</v>
      </c>
      <c r="C94" s="557">
        <f>ROUND((C87+C90+C91)*D94,0)</f>
        <v>0</v>
      </c>
      <c r="D94" s="558">
        <v>0.2</v>
      </c>
      <c r="E94" s="3554" t="s">
        <v>344</v>
      </c>
      <c r="F94" s="3555"/>
      <c r="G94" s="3555"/>
      <c r="H94" s="3556"/>
      <c r="I94" s="2282"/>
      <c r="J94" s="2132"/>
      <c r="K94" s="2132"/>
      <c r="L94" s="2132"/>
      <c r="M94" s="2132"/>
      <c r="N94" s="2132"/>
      <c r="O94" s="2132"/>
      <c r="P94" s="2132"/>
      <c r="Q94" s="2132"/>
      <c r="R94" s="2132"/>
      <c r="S94" s="2132"/>
      <c r="T94" s="2132"/>
      <c r="U94" s="2132"/>
      <c r="V94" s="2132"/>
      <c r="W94" s="2132"/>
      <c r="X94" s="2132"/>
      <c r="Y94" s="2132"/>
      <c r="Z94" s="2132"/>
      <c r="AA94" s="1434"/>
      <c r="AB94" s="1434"/>
      <c r="AC94" s="1434"/>
      <c r="AD94" s="1434"/>
      <c r="AE94" s="1434"/>
      <c r="AF94" s="1434"/>
      <c r="AG94" s="1434"/>
      <c r="AH94" s="1434"/>
      <c r="AI94" s="1434"/>
    </row>
    <row r="95" spans="1:35" s="1264" customFormat="1" ht="13.5">
      <c r="A95" s="1796" t="s">
        <v>1903</v>
      </c>
      <c r="B95" s="536" t="s">
        <v>330</v>
      </c>
      <c r="C95" s="539">
        <f ca="1">ROUND(C85-C86,0)</f>
        <v>20375</v>
      </c>
      <c r="D95" s="532" t="s">
        <v>167</v>
      </c>
      <c r="E95" s="1917"/>
      <c r="F95" s="1918"/>
      <c r="G95" s="1918"/>
      <c r="H95" s="566"/>
      <c r="I95" s="2282"/>
      <c r="J95" s="2132"/>
      <c r="K95" s="2132"/>
      <c r="L95" s="2132"/>
      <c r="M95" s="2132"/>
      <c r="N95" s="2132"/>
      <c r="O95" s="2132"/>
      <c r="P95" s="2132"/>
      <c r="Q95" s="2132"/>
      <c r="R95" s="2132"/>
      <c r="S95" s="2132"/>
      <c r="T95" s="2132"/>
      <c r="U95" s="2132"/>
      <c r="V95" s="2132"/>
      <c r="W95" s="2132"/>
      <c r="X95" s="2132"/>
      <c r="Y95" s="2132"/>
      <c r="Z95" s="2132"/>
      <c r="AA95" s="1434"/>
      <c r="AB95" s="1434"/>
      <c r="AC95" s="1434"/>
      <c r="AD95" s="1434"/>
      <c r="AE95" s="1434"/>
      <c r="AF95" s="1434"/>
      <c r="AG95" s="1434"/>
      <c r="AH95" s="1434"/>
      <c r="AI95" s="1434"/>
    </row>
    <row r="96" spans="1:35" s="1264" customFormat="1" ht="24">
      <c r="A96" s="1796" t="s">
        <v>1904</v>
      </c>
      <c r="B96" s="536" t="s">
        <v>331</v>
      </c>
      <c r="C96" s="559">
        <f ca="1">IF(C95&lt;=0,0,C95/C86)</f>
        <v>165.65040650406505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2"/>
      <c r="J96" s="2132"/>
      <c r="K96" s="2132"/>
      <c r="L96" s="2132"/>
      <c r="M96" s="2132"/>
      <c r="N96" s="2132"/>
      <c r="O96" s="2132"/>
      <c r="P96" s="2132"/>
      <c r="Q96" s="2132"/>
      <c r="R96" s="2132"/>
      <c r="S96" s="2132"/>
      <c r="T96" s="2132"/>
      <c r="U96" s="2132"/>
      <c r="V96" s="2132"/>
      <c r="W96" s="2132"/>
      <c r="X96" s="2132"/>
      <c r="Y96" s="2132"/>
      <c r="Z96" s="2132"/>
      <c r="AA96" s="1434"/>
      <c r="AB96" s="1434"/>
      <c r="AC96" s="1434"/>
      <c r="AD96" s="1434"/>
      <c r="AE96" s="1434"/>
      <c r="AF96" s="1434"/>
      <c r="AG96" s="1434"/>
      <c r="AH96" s="1434"/>
      <c r="AI96" s="1434"/>
    </row>
    <row r="97" spans="1:35" s="1264" customFormat="1" ht="24.75" thickBot="1">
      <c r="A97" s="1797" t="s">
        <v>1905</v>
      </c>
      <c r="B97" s="541" t="s">
        <v>332</v>
      </c>
      <c r="C97" s="560">
        <f ca="1">ROUND(IF(C95&lt;=0,0,IF(C96&gt;=200%,C95*60%-C86*35%,IF(C96&gt;=100%,C95*50%-C86*15%,IF(C96&gt;=50%,C95*40%-C86*5%,IF(C96&lt;50%,C95*30%,0))))),0)</f>
        <v>12182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4"/>
    </row>
    <row r="99" spans="1:35" ht="21.75" customHeight="1" thickBot="1">
      <c r="A99" s="1251" t="s">
        <v>228</v>
      </c>
      <c r="B99" s="1242"/>
      <c r="C99" s="1242"/>
      <c r="D99" s="1242"/>
      <c r="E99" s="229"/>
      <c r="F99" s="229"/>
      <c r="G99" s="229"/>
      <c r="H99" s="241"/>
      <c r="I99" s="2274"/>
    </row>
    <row r="100" spans="1:35" ht="18.75" customHeight="1">
      <c r="A100" s="3502" t="s">
        <v>229</v>
      </c>
      <c r="B100" s="3503"/>
      <c r="C100" s="3503"/>
      <c r="D100" s="3537"/>
      <c r="E100" s="3503" t="s">
        <v>2911</v>
      </c>
      <c r="F100" s="3503"/>
      <c r="G100" s="3503"/>
      <c r="H100" s="3537"/>
      <c r="I100" s="2274"/>
    </row>
    <row r="101" spans="1:35" ht="18.75" customHeight="1">
      <c r="A101" s="3545" t="s">
        <v>207</v>
      </c>
      <c r="B101" s="3546"/>
      <c r="C101" s="1265" t="str">
        <f>C4</f>
        <v>比较法-车位</v>
      </c>
      <c r="D101" s="1266" t="str">
        <f>D4</f>
        <v>收益法</v>
      </c>
      <c r="E101" s="3514" t="s">
        <v>1911</v>
      </c>
      <c r="F101" s="3515"/>
      <c r="G101" s="1267" t="s">
        <v>209</v>
      </c>
      <c r="H101" s="1982">
        <f ca="1">H118</f>
        <v>21523</v>
      </c>
      <c r="I101" s="2274"/>
    </row>
    <row r="102" spans="1:35" ht="18.75" customHeight="1">
      <c r="A102" s="3547" t="s">
        <v>208</v>
      </c>
      <c r="B102" s="1267" t="s">
        <v>209</v>
      </c>
      <c r="C102" s="1234">
        <f ca="1">C19</f>
        <v>23788</v>
      </c>
      <c r="D102" s="1235">
        <f ca="1">D19</f>
        <v>12463</v>
      </c>
      <c r="E102" s="3514"/>
      <c r="F102" s="3515"/>
      <c r="G102" s="1267" t="s">
        <v>210</v>
      </c>
      <c r="H102" s="711">
        <f ca="1">I118</f>
        <v>6876</v>
      </c>
      <c r="I102" s="2274"/>
    </row>
    <row r="103" spans="1:35" ht="42.75" customHeight="1">
      <c r="A103" s="3547"/>
      <c r="B103" s="1267" t="s">
        <v>210</v>
      </c>
      <c r="C103" s="1236">
        <f ca="1">C20</f>
        <v>7599</v>
      </c>
      <c r="D103" s="1237">
        <f ca="1">D20</f>
        <v>3981</v>
      </c>
      <c r="E103" s="3508" t="s">
        <v>3021</v>
      </c>
      <c r="F103" s="3509"/>
      <c r="G103" s="1268" t="s">
        <v>212</v>
      </c>
      <c r="H103" s="1982">
        <f>IF(D36="正常操作",H104+H105+H106,H105+H106)</f>
        <v>0</v>
      </c>
      <c r="I103" s="2274"/>
    </row>
    <row r="104" spans="1:35" ht="18.75" customHeight="1">
      <c r="A104" s="3547" t="s">
        <v>211</v>
      </c>
      <c r="B104" s="1269" t="s">
        <v>209</v>
      </c>
      <c r="C104" s="1238">
        <f ca="1">H118</f>
        <v>21523</v>
      </c>
      <c r="D104" s="1239"/>
      <c r="E104" s="13" t="s">
        <v>1910</v>
      </c>
      <c r="F104" s="6"/>
      <c r="G104" s="1268" t="s">
        <v>212</v>
      </c>
      <c r="H104" s="1983">
        <f>IF(D36="同一抵押权人同一抵押物续贷",C36&amp;"（未扣减，详见特别提示）",C36)</f>
        <v>0</v>
      </c>
      <c r="I104" s="2274"/>
    </row>
    <row r="105" spans="1:35" ht="18.75" customHeight="1" thickBot="1">
      <c r="A105" s="3561"/>
      <c r="B105" s="1270" t="s">
        <v>210</v>
      </c>
      <c r="C105" s="1240">
        <f ca="1">I118</f>
        <v>6876</v>
      </c>
      <c r="D105" s="1241"/>
      <c r="E105" s="13" t="s">
        <v>1912</v>
      </c>
      <c r="F105" s="6"/>
      <c r="G105" s="1268" t="s">
        <v>212</v>
      </c>
      <c r="H105" s="1983">
        <f>C37</f>
        <v>0</v>
      </c>
      <c r="I105" s="2274"/>
    </row>
    <row r="106" spans="1:35" ht="18.75" customHeight="1">
      <c r="A106" s="1242" t="s">
        <v>2008</v>
      </c>
      <c r="B106" s="1242"/>
      <c r="C106" s="1242"/>
      <c r="D106" s="1242"/>
      <c r="E106" s="467" t="s">
        <v>1913</v>
      </c>
      <c r="F106" s="6"/>
      <c r="G106" s="1268" t="s">
        <v>212</v>
      </c>
      <c r="H106" s="1983">
        <f>C38</f>
        <v>0</v>
      </c>
      <c r="I106" s="2274"/>
    </row>
    <row r="107" spans="1:35" ht="18.75" customHeight="1">
      <c r="A107" s="2274"/>
      <c r="B107" s="2274"/>
      <c r="C107" s="2274"/>
      <c r="D107" s="2274"/>
      <c r="E107" s="3549" t="str">
        <f>IF(项目基本情况!E8="已注销","——","3.房地产抵押价值")</f>
        <v>3.房地产抵押价值</v>
      </c>
      <c r="F107" s="3515"/>
      <c r="G107" s="1267" t="s">
        <v>209</v>
      </c>
      <c r="H107" s="1982">
        <f ca="1">IF(E107="——","——",H101-H103)</f>
        <v>21523</v>
      </c>
      <c r="I107" s="2274"/>
    </row>
    <row r="108" spans="1:35" ht="18.75" customHeight="1">
      <c r="A108" s="2274"/>
      <c r="B108" s="2274"/>
      <c r="C108" s="2274"/>
      <c r="D108" s="2274"/>
      <c r="E108" s="3549"/>
      <c r="F108" s="3515"/>
      <c r="G108" s="1267" t="s">
        <v>210</v>
      </c>
      <c r="H108" s="711">
        <f ca="1">ROUND(H107*10000/'数据-汇总表'!E3,0)</f>
        <v>6876</v>
      </c>
      <c r="I108" s="2274"/>
    </row>
    <row r="109" spans="1:35" ht="18.75" customHeight="1">
      <c r="A109" s="2274"/>
      <c r="B109" s="2274"/>
      <c r="C109" s="2274"/>
      <c r="D109" s="2274"/>
      <c r="E109" s="3549" t="str">
        <f>IF(项目基本情况!E8="已注销及未注销","4.抵押担保权已注销时的房地产抵押价值",IF(项目基本情况!E8="已注销","3.抵押担保权已注销时的房地产抵押价值","——"))</f>
        <v>——</v>
      </c>
      <c r="F109" s="3515"/>
      <c r="G109" s="1267" t="s">
        <v>209</v>
      </c>
      <c r="H109" s="685" t="str">
        <f>IF(E109="——","——",H101-H105-H106)</f>
        <v>——</v>
      </c>
      <c r="I109" s="2274"/>
    </row>
    <row r="110" spans="1:35" ht="18.75" customHeight="1">
      <c r="A110" s="2274"/>
      <c r="B110" s="2274"/>
      <c r="C110" s="2274"/>
      <c r="D110" s="2274"/>
      <c r="E110" s="3549"/>
      <c r="F110" s="3515"/>
      <c r="G110" s="1267" t="s">
        <v>210</v>
      </c>
      <c r="H110" s="711" t="str">
        <f>IF(H109="——","——",ROUND(H109*10000/'数据-汇总表'!E3,0))</f>
        <v>——</v>
      </c>
      <c r="I110" s="2274"/>
    </row>
    <row r="111" spans="1:35" ht="18.75" customHeight="1">
      <c r="A111" s="2274"/>
      <c r="B111" s="2274"/>
      <c r="C111" s="2274"/>
      <c r="D111" s="2274"/>
      <c r="E111" s="3550" t="str">
        <f>IF(项目基本情况!E9="抵押净值",IF(OR(项目基本情况!E8="已注销",项目基本情况!E8="房地产抵押价值"),"4.抵押净值","5.抵押净值"),"——")</f>
        <v>——</v>
      </c>
      <c r="F111" s="3551"/>
      <c r="G111" s="1267" t="s">
        <v>209</v>
      </c>
      <c r="H111" s="1982" t="str">
        <f>IF(E111="——","——",N59)</f>
        <v>——</v>
      </c>
      <c r="I111" s="2274"/>
    </row>
    <row r="112" spans="1:35" ht="18.75" customHeight="1" thickBot="1">
      <c r="A112" s="2274"/>
      <c r="B112" s="2274"/>
      <c r="C112" s="2274"/>
      <c r="D112" s="2274"/>
      <c r="E112" s="3552"/>
      <c r="F112" s="3553"/>
      <c r="G112" s="1271" t="s">
        <v>210</v>
      </c>
      <c r="H112" s="1422" t="str">
        <f>IF(E111="——","——",N61)</f>
        <v>——</v>
      </c>
      <c r="I112" s="2274"/>
    </row>
    <row r="113" spans="1:11" ht="18.75" customHeight="1">
      <c r="A113" s="2274"/>
      <c r="B113" s="2274"/>
      <c r="C113" s="2274"/>
      <c r="D113" s="2274"/>
      <c r="E113" s="3562" t="s">
        <v>2008</v>
      </c>
      <c r="F113" s="3562"/>
      <c r="G113" s="3562"/>
      <c r="H113" s="3562"/>
      <c r="I113" s="2274"/>
    </row>
    <row r="114" spans="1:11" ht="3.75" customHeight="1">
      <c r="A114" s="1242"/>
      <c r="B114" s="1242"/>
      <c r="C114" s="1242"/>
      <c r="D114" s="1242"/>
      <c r="E114" s="1257"/>
      <c r="F114" s="1257"/>
      <c r="G114" s="1257"/>
      <c r="H114" s="1257"/>
      <c r="I114" s="1242"/>
    </row>
    <row r="115" spans="1:11" ht="18.75" customHeight="1">
      <c r="A115" s="3575" t="s">
        <v>225</v>
      </c>
      <c r="B115" s="3576"/>
      <c r="C115" s="3576"/>
      <c r="D115" s="3576"/>
      <c r="E115" s="3576"/>
      <c r="F115" s="3576"/>
      <c r="G115" s="3576"/>
      <c r="H115" s="3576"/>
      <c r="I115" s="3577"/>
    </row>
    <row r="116" spans="1:11" ht="27" customHeight="1">
      <c r="A116" s="3482" t="s">
        <v>5</v>
      </c>
      <c r="B116" s="3524" t="s">
        <v>785</v>
      </c>
      <c r="C116" s="3524" t="s">
        <v>786</v>
      </c>
      <c r="D116" s="3533" t="s">
        <v>206</v>
      </c>
      <c r="E116" s="3534"/>
      <c r="F116" s="3571" t="s">
        <v>2389</v>
      </c>
      <c r="G116" s="3571"/>
      <c r="H116" s="3482" t="s">
        <v>6</v>
      </c>
      <c r="I116" s="3482"/>
    </row>
    <row r="117" spans="1:11" ht="18.75" customHeight="1">
      <c r="A117" s="3482"/>
      <c r="B117" s="3525"/>
      <c r="C117" s="3525"/>
      <c r="D117" s="1911" t="s">
        <v>7</v>
      </c>
      <c r="E117" s="1911" t="s">
        <v>787</v>
      </c>
      <c r="F117" s="1911" t="s">
        <v>7</v>
      </c>
      <c r="G117" s="1911" t="s">
        <v>8</v>
      </c>
      <c r="H117" s="1911" t="s">
        <v>7</v>
      </c>
      <c r="I117" s="1911" t="s">
        <v>8</v>
      </c>
    </row>
    <row r="118" spans="1:11" ht="24.75" customHeight="1">
      <c r="A118" s="2029" t="str">
        <f>项目基本情况!S2</f>
        <v>福建省福州市晋安区房地产</v>
      </c>
      <c r="B118" s="1916">
        <f>M18</f>
        <v>31303.89</v>
      </c>
      <c r="C118" s="1916">
        <f>M19</f>
        <v>0</v>
      </c>
      <c r="D118" s="1916" t="e">
        <f ca="1">ROUND(IF(D32="总价",C34,E118*B118/10000),0)</f>
        <v>#REF!</v>
      </c>
      <c r="E118" s="1916" t="e">
        <f ca="1">ROUND(IF(C33="自定义",IF(D32="楼面单价",C34,D118*10000/B118),I118-G118),0)</f>
        <v>#REF!</v>
      </c>
      <c r="F118" s="1916" t="e">
        <f ca="1">ROUND(IF(D32="总价",C35,G118*B118/10000),0)</f>
        <v>#REF!</v>
      </c>
      <c r="G118" s="1916" t="e">
        <f ca="1">ROUND(IF(D32="楼面单价",C35,F118*10000/B118),0)</f>
        <v>#REF!</v>
      </c>
      <c r="H118" s="1916">
        <f ca="1">ROUND(IF(D32="总价",C32,I118*B118/10000),0)</f>
        <v>21523</v>
      </c>
      <c r="I118" s="1916">
        <f ca="1">ROUND(IF(D32="楼面单价",C32,H118*10000/B118),0)</f>
        <v>6876</v>
      </c>
    </row>
    <row r="119" spans="1:11" ht="18.75" customHeight="1">
      <c r="A119" s="3482" t="s">
        <v>9</v>
      </c>
      <c r="B119" s="3482"/>
      <c r="C119" s="3482"/>
      <c r="D119" s="3526" t="e">
        <f ca="1">NUMBERSTRING(INT(D118*10000),2)&amp;"元整"</f>
        <v>#REF!</v>
      </c>
      <c r="E119" s="3527"/>
      <c r="F119" s="3526" t="e">
        <f ca="1">NUMBERSTRING(INT(F118*10000),2)&amp;"元整"</f>
        <v>#REF!</v>
      </c>
      <c r="G119" s="3527"/>
      <c r="H119" s="3526" t="str">
        <f ca="1">NUMBERSTRING(INT(H118*10000),2)&amp;"元整"</f>
        <v>贰亿壹仟伍佰贰拾叁万元整</v>
      </c>
      <c r="I119" s="3527"/>
    </row>
    <row r="120" spans="1:11" ht="18.75" customHeight="1">
      <c r="A120" s="3528" t="str">
        <f>MID(E103,3,LEN(E103)-2)</f>
        <v>估价师知悉的法定优先受偿款</v>
      </c>
      <c r="B120" s="3529"/>
      <c r="C120" s="3530"/>
      <c r="D120" s="3521">
        <f>H103</f>
        <v>0</v>
      </c>
      <c r="E120" s="3522"/>
      <c r="F120" s="3522"/>
      <c r="G120" s="3522"/>
      <c r="H120" s="3522"/>
      <c r="I120" s="3523"/>
      <c r="K120" s="1433" t="str">
        <f>IF(D120=0,"故，本次评估不存在"&amp;A120,"故，本次评估"&amp;A120&amp;"为人民币"&amp;D120&amp;"万元整。")</f>
        <v>故，本次评估不存在估价师知悉的法定优先受偿款</v>
      </c>
    </row>
    <row r="121" spans="1:11" ht="18.75" customHeight="1">
      <c r="A121" s="3572" t="s">
        <v>9</v>
      </c>
      <c r="B121" s="3573"/>
      <c r="C121" s="3574"/>
      <c r="D121" s="3526" t="str">
        <f>IF(D120=0,"零元整",NUMBERSTRING(INT(D120*10000),2)&amp;"元整")</f>
        <v>零元整</v>
      </c>
      <c r="E121" s="3531"/>
      <c r="F121" s="3531"/>
      <c r="G121" s="3531"/>
      <c r="H121" s="3531"/>
      <c r="I121" s="3527"/>
    </row>
    <row r="122" spans="1:11" ht="18.75" customHeight="1">
      <c r="A122" s="3535" t="str">
        <f>MID(E107,3,LEN(E107)-2)</f>
        <v>房地产抵押价值</v>
      </c>
      <c r="B122" s="3535"/>
      <c r="C122" s="3535"/>
      <c r="D122" s="3521">
        <f ca="1">H107</f>
        <v>21523</v>
      </c>
      <c r="E122" s="3522"/>
      <c r="F122" s="3522"/>
      <c r="G122" s="3522"/>
      <c r="H122" s="3522"/>
      <c r="I122" s="3523"/>
    </row>
    <row r="123" spans="1:11" ht="18.75" customHeight="1">
      <c r="A123" s="3482" t="s">
        <v>9</v>
      </c>
      <c r="B123" s="3482"/>
      <c r="C123" s="3482"/>
      <c r="D123" s="3526" t="str">
        <f ca="1">NUMBERSTRING(INT(D122*10000),2)&amp;"元整"</f>
        <v>贰亿壹仟伍佰贰拾叁万元整</v>
      </c>
      <c r="E123" s="3531"/>
      <c r="F123" s="3531"/>
      <c r="G123" s="3531"/>
      <c r="H123" s="3531"/>
      <c r="I123" s="3527"/>
    </row>
    <row r="124" spans="1:11" ht="18.75" customHeight="1">
      <c r="A124" s="3535" t="str">
        <f>MID(E109,3,LEN(E109)-2)</f>
        <v/>
      </c>
      <c r="B124" s="3535"/>
      <c r="C124" s="3535"/>
      <c r="D124" s="3521" t="str">
        <f>H109</f>
        <v>——</v>
      </c>
      <c r="E124" s="3522"/>
      <c r="F124" s="3522"/>
      <c r="G124" s="3522"/>
      <c r="H124" s="3522"/>
      <c r="I124" s="3523"/>
    </row>
    <row r="125" spans="1:11" ht="18.75" customHeight="1">
      <c r="A125" s="3482" t="s">
        <v>9</v>
      </c>
      <c r="B125" s="3482"/>
      <c r="C125" s="3482"/>
      <c r="D125" s="3526" t="e">
        <f>NUMBERSTRING(INT(D124*10000),2)&amp;"元整"</f>
        <v>#VALUE!</v>
      </c>
      <c r="E125" s="3531"/>
      <c r="F125" s="3531"/>
      <c r="G125" s="3531"/>
      <c r="H125" s="3531"/>
      <c r="I125" s="3527"/>
    </row>
    <row r="126" spans="1:11" ht="18.75" customHeight="1">
      <c r="A126" s="3535" t="str">
        <f>MID(E111,3,LEN(E111)-2)</f>
        <v/>
      </c>
      <c r="B126" s="3535"/>
      <c r="C126" s="3535"/>
      <c r="D126" s="3521" t="str">
        <f>H111</f>
        <v>——</v>
      </c>
      <c r="E126" s="3522"/>
      <c r="F126" s="3522"/>
      <c r="G126" s="3522"/>
      <c r="H126" s="3522"/>
      <c r="I126" s="3523"/>
    </row>
    <row r="127" spans="1:11" ht="18.75" customHeight="1">
      <c r="A127" s="3482" t="s">
        <v>9</v>
      </c>
      <c r="B127" s="3482"/>
      <c r="C127" s="3482"/>
      <c r="D127" s="3526" t="e">
        <f>NUMBERSTRING(INT(D126*10000),2)&amp;"元整"</f>
        <v>#VALUE!</v>
      </c>
      <c r="E127" s="3531"/>
      <c r="F127" s="3531"/>
      <c r="G127" s="3531"/>
      <c r="H127" s="3531"/>
      <c r="I127" s="3527"/>
    </row>
    <row r="128" spans="1:11" ht="21.75" customHeight="1">
      <c r="A128" s="3532" t="s">
        <v>2007</v>
      </c>
      <c r="B128" s="3532"/>
      <c r="C128" s="3532"/>
      <c r="D128" s="3532"/>
      <c r="E128" s="3532"/>
      <c r="F128" s="3532"/>
      <c r="G128" s="3532"/>
      <c r="H128" s="3532"/>
      <c r="I128" s="3532"/>
    </row>
    <row r="129" spans="1:35" ht="21.75" customHeight="1">
      <c r="A129" s="2024" t="s">
        <v>788</v>
      </c>
      <c r="B129" s="2025"/>
      <c r="C129" s="468" t="s">
        <v>150</v>
      </c>
      <c r="D129" s="2026"/>
      <c r="E129" s="2026"/>
      <c r="F129" s="2026"/>
      <c r="G129" s="2026"/>
      <c r="H129" s="2027"/>
      <c r="I129" s="2028"/>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789</v>
      </c>
      <c r="G135" s="1447"/>
      <c r="H135" s="1447"/>
      <c r="I135" s="1448" t="s">
        <v>790</v>
      </c>
    </row>
    <row r="136" spans="1:35" ht="21.75" customHeight="1">
      <c r="A136" s="1445"/>
      <c r="B136" s="1449" t="s">
        <v>791</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792</v>
      </c>
    </row>
    <row r="139" spans="1:35" ht="21.75" customHeight="1">
      <c r="A139" s="1445"/>
      <c r="B139" s="1449" t="s">
        <v>793</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792</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5"/>
  <sheetViews>
    <sheetView workbookViewId="0">
      <selection activeCell="O10" sqref="O10"/>
    </sheetView>
  </sheetViews>
  <sheetFormatPr defaultRowHeight="13.5"/>
  <cols>
    <col min="1" max="16384" width="9" style="3405"/>
  </cols>
  <sheetData>
    <row r="3" spans="2:11">
      <c r="B3" s="3607" t="s">
        <v>3681</v>
      </c>
      <c r="C3" s="3407" t="s">
        <v>3569</v>
      </c>
      <c r="D3" s="3407"/>
      <c r="E3" s="3407" t="s">
        <v>3659</v>
      </c>
      <c r="F3" s="3407" t="s">
        <v>3660</v>
      </c>
      <c r="G3" s="3407" t="s">
        <v>3663</v>
      </c>
      <c r="J3" s="3406" t="s">
        <v>3665</v>
      </c>
    </row>
    <row r="4" spans="2:11">
      <c r="B4" s="3607"/>
      <c r="C4" s="3408">
        <v>14053.850000000002</v>
      </c>
      <c r="D4" s="3407" t="s">
        <v>3661</v>
      </c>
      <c r="E4" s="3408">
        <f>'[2]典型户型修正（售价）'!B20</f>
        <v>162341</v>
      </c>
      <c r="F4" s="3408">
        <f ca="1">'[2]收益法（汇总）'!B2</f>
        <v>121081</v>
      </c>
      <c r="G4" s="3408">
        <f ca="1">ROUND(E4*0.7+F4*0.3,0)</f>
        <v>149963</v>
      </c>
      <c r="J4" s="3405">
        <f ca="1">G4+H8+G15</f>
        <v>172234</v>
      </c>
      <c r="K4" s="3405">
        <f ca="1">G4+H8</f>
        <v>150934</v>
      </c>
    </row>
    <row r="5" spans="2:11">
      <c r="B5" s="3607"/>
      <c r="C5" s="3408"/>
      <c r="D5" s="3407" t="s">
        <v>3662</v>
      </c>
      <c r="E5" s="3408">
        <f>ROUND(E4*10000/C4,0)</f>
        <v>115514</v>
      </c>
      <c r="F5" s="3408">
        <f ca="1">ROUND(F4*10000/C4,0)</f>
        <v>86155</v>
      </c>
      <c r="G5" s="3408">
        <f ca="1">ROUND(G4*10000/C4,0)</f>
        <v>106706</v>
      </c>
      <c r="K5" s="3405">
        <f ca="1">K4*10000/面积!E117</f>
        <v>97539.759986041186</v>
      </c>
    </row>
    <row r="7" spans="2:11">
      <c r="B7" s="3608" t="s">
        <v>3680</v>
      </c>
      <c r="C7" s="3406" t="s">
        <v>3675</v>
      </c>
      <c r="E7" s="3406" t="s">
        <v>3677</v>
      </c>
      <c r="F7" s="3406" t="s">
        <v>3678</v>
      </c>
      <c r="G7" s="3406" t="s">
        <v>3679</v>
      </c>
      <c r="H7" s="3411" t="s">
        <v>3692</v>
      </c>
    </row>
    <row r="8" spans="2:11">
      <c r="B8" s="3609"/>
      <c r="C8" s="3405">
        <f>'数据-汇总表'!E27</f>
        <v>31303.89</v>
      </c>
      <c r="D8" s="3406" t="s">
        <v>3676</v>
      </c>
      <c r="E8" s="3405">
        <f ca="1">结果表!C19</f>
        <v>23788</v>
      </c>
      <c r="F8" s="3405">
        <f ca="1">收益法!B2</f>
        <v>12463</v>
      </c>
      <c r="G8" s="3405">
        <f ca="1">ROUND(E8*0.7+F8*0.3,0)</f>
        <v>20391</v>
      </c>
      <c r="H8" s="3405">
        <f ca="1">典型户型修正!B20</f>
        <v>971</v>
      </c>
    </row>
    <row r="9" spans="2:11">
      <c r="B9" s="3609"/>
      <c r="E9" s="3405">
        <f ca="1">ROUND(E8*10000/C8,0)</f>
        <v>7599</v>
      </c>
      <c r="F9" s="3405">
        <f ca="1">ROUND(F8*10000/C8,0)</f>
        <v>3981</v>
      </c>
      <c r="G9" s="3405">
        <f ca="1">ROUND(G8*10000/C8,0)</f>
        <v>6514</v>
      </c>
      <c r="H9" s="3405">
        <f ca="1">典型户型修正!B21</f>
        <v>6837</v>
      </c>
    </row>
    <row r="15" spans="2:11">
      <c r="B15" s="3406" t="s">
        <v>3664</v>
      </c>
      <c r="G15" s="3405">
        <f>30*710</f>
        <v>21300</v>
      </c>
    </row>
  </sheetData>
  <mergeCells count="2">
    <mergeCell ref="B3:B5"/>
    <mergeCell ref="B7:B9"/>
  </mergeCells>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6" sqref="C16"/>
    </sheetView>
  </sheetViews>
  <sheetFormatPr defaultRowHeight="13.5"/>
  <cols>
    <col min="1" max="1" width="23.375" style="3253" customWidth="1"/>
    <col min="2" max="9" width="15.75" style="3253" customWidth="1"/>
    <col min="10" max="16384" width="9" style="3253"/>
  </cols>
  <sheetData>
    <row r="1" spans="1:10" ht="16.5">
      <c r="A1" s="3258" t="s">
        <v>2992</v>
      </c>
      <c r="B1" s="3258">
        <f>SUM(B14:B23)</f>
        <v>46777.99</v>
      </c>
      <c r="C1" s="3257"/>
      <c r="D1" s="3257"/>
      <c r="E1" s="3257"/>
      <c r="F1" s="3257"/>
      <c r="G1" s="3255"/>
    </row>
    <row r="2" spans="1:10" ht="16.5">
      <c r="A2" s="3258" t="s">
        <v>2980</v>
      </c>
      <c r="B2" s="3258">
        <f>SUM(C14:C23)</f>
        <v>0</v>
      </c>
      <c r="C2" s="3257"/>
      <c r="D2" s="3257"/>
      <c r="E2" s="3257"/>
      <c r="F2" s="3257"/>
      <c r="G2" s="3255"/>
    </row>
    <row r="3" spans="1:10" ht="16.5">
      <c r="A3" s="3258" t="s">
        <v>2989</v>
      </c>
      <c r="B3" s="3259">
        <f>项目基本情况!D3</f>
        <v>42935</v>
      </c>
      <c r="C3" s="3257"/>
      <c r="D3" s="3257"/>
      <c r="E3" s="3257"/>
      <c r="F3" s="3257"/>
      <c r="G3" s="3255"/>
    </row>
    <row r="4" spans="1:10" ht="33">
      <c r="A4" s="3258" t="s">
        <v>2988</v>
      </c>
      <c r="B4" s="3258" t="s">
        <v>2987</v>
      </c>
      <c r="C4" s="3258" t="s">
        <v>2986</v>
      </c>
      <c r="D4" s="3258" t="s">
        <v>2985</v>
      </c>
      <c r="E4" s="3257"/>
      <c r="F4" s="3255"/>
      <c r="G4" s="3255"/>
    </row>
    <row r="5" spans="1:10" ht="16.5">
      <c r="A5" s="3258" t="s">
        <v>2984</v>
      </c>
      <c r="B5" s="3258">
        <f ca="1">SUM(D14:D23)</f>
        <v>180155</v>
      </c>
      <c r="C5" s="3258">
        <f ca="1">ROUND(B5*10000/$B$1,0)</f>
        <v>38513</v>
      </c>
      <c r="D5" s="3258" t="e">
        <f ca="1">ROUND(B5*10000/$B$2,0)</f>
        <v>#DIV/0!</v>
      </c>
      <c r="E5" s="3257"/>
      <c r="F5" s="3255"/>
      <c r="G5" s="3255"/>
    </row>
    <row r="6" spans="1:10" ht="16.5">
      <c r="A6" s="3258" t="s">
        <v>2983</v>
      </c>
      <c r="B6" s="3258">
        <f ca="1">SUM(G14:G23)</f>
        <v>21523</v>
      </c>
      <c r="C6" s="3258">
        <f ca="1">ROUND(B6*10000/$B$1,0)</f>
        <v>4601</v>
      </c>
      <c r="D6" s="3258" t="e">
        <f ca="1">ROUND(B6*10000/$B$2,0)</f>
        <v>#DIV/0!</v>
      </c>
      <c r="E6" s="3257"/>
      <c r="F6" s="3255"/>
      <c r="G6" s="3255"/>
    </row>
    <row r="7" spans="1:10" ht="16.5">
      <c r="A7" s="3258" t="s">
        <v>2991</v>
      </c>
      <c r="B7" s="3258">
        <f>SUM(H14:H23)</f>
        <v>0</v>
      </c>
      <c r="C7" s="3258">
        <f>ROUND(B7*10000/$B$1,0)</f>
        <v>0</v>
      </c>
      <c r="D7" s="3258" t="e">
        <f>ROUND(B7*10000/$B$2,0)</f>
        <v>#DIV/0!</v>
      </c>
      <c r="E7" s="3257"/>
      <c r="F7" s="3255"/>
      <c r="G7" s="3255"/>
    </row>
    <row r="8" spans="1:10" ht="16.5">
      <c r="A8" s="3258" t="s">
        <v>2880</v>
      </c>
      <c r="B8" s="3258">
        <f>SUM(I14:I23)</f>
        <v>0</v>
      </c>
      <c r="C8" s="3258">
        <f>ROUND(B8*10000/$B$1,0)</f>
        <v>0</v>
      </c>
      <c r="D8" s="3258" t="e">
        <f>ROUND(B8*10000/$B$2,0)</f>
        <v>#DIV/0!</v>
      </c>
      <c r="E8" s="3257"/>
      <c r="F8" s="3255"/>
      <c r="G8" s="3255"/>
    </row>
    <row r="9" spans="1:10" ht="16.5">
      <c r="A9" s="3258" t="s">
        <v>2982</v>
      </c>
      <c r="B9" s="3260"/>
      <c r="C9" s="3257"/>
      <c r="D9" s="3257"/>
      <c r="E9" s="3257"/>
      <c r="F9" s="3255"/>
      <c r="G9" s="3255"/>
    </row>
    <row r="10" spans="1:10" ht="16.5">
      <c r="A10" s="3258" t="s">
        <v>2981</v>
      </c>
      <c r="B10" s="3260"/>
      <c r="C10" s="3257"/>
      <c r="D10" s="3257"/>
      <c r="E10" s="3257"/>
      <c r="F10" s="3255"/>
      <c r="G10" s="3255"/>
    </row>
    <row r="11" spans="1:10" ht="16.5">
      <c r="A11" s="3258" t="s">
        <v>2997</v>
      </c>
      <c r="B11" s="3260"/>
      <c r="C11" s="3257"/>
      <c r="D11" s="3257"/>
      <c r="E11" s="3257"/>
      <c r="F11" s="3255"/>
      <c r="G11" s="3255"/>
    </row>
    <row r="12" spans="1:10" ht="16.5">
      <c r="A12" s="3257"/>
      <c r="B12" s="3257"/>
      <c r="C12" s="3257"/>
      <c r="D12" s="3257"/>
      <c r="E12" s="3257"/>
      <c r="F12" s="3255"/>
      <c r="G12" s="3255"/>
    </row>
    <row r="13" spans="1:10" ht="33">
      <c r="A13" s="3263" t="s">
        <v>2996</v>
      </c>
      <c r="B13" s="3256" t="s">
        <v>2993</v>
      </c>
      <c r="C13" s="3256" t="s">
        <v>2995</v>
      </c>
      <c r="D13" s="3256" t="s">
        <v>2994</v>
      </c>
      <c r="E13" s="3258" t="s">
        <v>2986</v>
      </c>
      <c r="F13" s="3258" t="s">
        <v>2985</v>
      </c>
      <c r="G13" s="3256" t="s">
        <v>2979</v>
      </c>
      <c r="H13" s="3256" t="s">
        <v>2990</v>
      </c>
      <c r="I13" s="3256" t="s">
        <v>2978</v>
      </c>
      <c r="J13" s="3255"/>
    </row>
    <row r="14" spans="1:10" ht="16.5">
      <c r="A14" s="3254" t="s">
        <v>2977</v>
      </c>
      <c r="B14" s="3256">
        <f>'数据-汇总表'!E3</f>
        <v>31303.89</v>
      </c>
      <c r="C14" s="3256">
        <f>'数据-汇总表'!D3</f>
        <v>0</v>
      </c>
      <c r="D14" s="3256">
        <f ca="1">结果表!H118</f>
        <v>21523</v>
      </c>
      <c r="E14" s="3256">
        <f ca="1">ROUND(D14*10000/B14,0)</f>
        <v>6876</v>
      </c>
      <c r="F14" s="3256" t="e">
        <f ca="1">ROUND(D14*10000/C14,0)</f>
        <v>#DIV/0!</v>
      </c>
      <c r="G14" s="3256">
        <f ca="1">结果表!D122</f>
        <v>21523</v>
      </c>
      <c r="H14" s="3256" t="str">
        <f>结果表!D124</f>
        <v>——</v>
      </c>
      <c r="I14" s="3256" t="str">
        <f>结果表!D126</f>
        <v>——</v>
      </c>
      <c r="J14" s="3255"/>
    </row>
    <row r="15" spans="1:10" ht="16.5">
      <c r="A15" s="3254" t="s">
        <v>2976</v>
      </c>
      <c r="B15" s="3261">
        <v>14053.85</v>
      </c>
      <c r="C15" s="3261"/>
      <c r="D15" s="3416">
        <v>149963</v>
      </c>
      <c r="E15" s="3256">
        <f t="shared" ref="E15:E23" si="0">ROUND(D15*10000/B15,0)</f>
        <v>106706</v>
      </c>
      <c r="F15" s="3256" t="e">
        <f t="shared" ref="F15:F23" si="1">ROUND(D15*10000/C15,0)</f>
        <v>#DIV/0!</v>
      </c>
      <c r="G15" s="3262"/>
      <c r="H15" s="3262"/>
      <c r="I15" s="3261"/>
      <c r="J15" s="3255"/>
    </row>
    <row r="16" spans="1:10" ht="16.5">
      <c r="A16" s="3254" t="s">
        <v>2975</v>
      </c>
      <c r="B16" s="3261">
        <v>1420.25</v>
      </c>
      <c r="C16" s="3261"/>
      <c r="D16" s="3261">
        <v>8669</v>
      </c>
      <c r="E16" s="3256">
        <f t="shared" si="0"/>
        <v>61039</v>
      </c>
      <c r="F16" s="3256" t="e">
        <f t="shared" si="1"/>
        <v>#DIV/0!</v>
      </c>
      <c r="G16" s="3262"/>
      <c r="H16" s="3262"/>
      <c r="I16" s="3261"/>
    </row>
    <row r="17" spans="1:9" ht="16.5">
      <c r="A17" s="3254" t="s">
        <v>2974</v>
      </c>
      <c r="B17" s="3261"/>
      <c r="C17" s="3261"/>
      <c r="D17" s="3261"/>
      <c r="E17" s="3256" t="e">
        <f t="shared" si="0"/>
        <v>#DIV/0!</v>
      </c>
      <c r="F17" s="3256" t="e">
        <f t="shared" si="1"/>
        <v>#DIV/0!</v>
      </c>
      <c r="G17" s="3262"/>
      <c r="H17" s="3262"/>
      <c r="I17" s="3261"/>
    </row>
    <row r="18" spans="1:9" ht="16.5">
      <c r="A18" s="3254" t="s">
        <v>2973</v>
      </c>
      <c r="B18" s="3261"/>
      <c r="C18" s="3261"/>
      <c r="D18" s="3261"/>
      <c r="E18" s="3256" t="e">
        <f t="shared" si="0"/>
        <v>#DIV/0!</v>
      </c>
      <c r="F18" s="3256" t="e">
        <f t="shared" si="1"/>
        <v>#DIV/0!</v>
      </c>
      <c r="G18" s="3261"/>
      <c r="H18" s="3261"/>
      <c r="I18" s="3261"/>
    </row>
    <row r="19" spans="1:9" ht="16.5">
      <c r="A19" s="3254" t="s">
        <v>2972</v>
      </c>
      <c r="B19" s="3261"/>
      <c r="C19" s="3261"/>
      <c r="D19" s="3261"/>
      <c r="E19" s="3256" t="e">
        <f t="shared" si="0"/>
        <v>#DIV/0!</v>
      </c>
      <c r="F19" s="3256" t="e">
        <f t="shared" si="1"/>
        <v>#DIV/0!</v>
      </c>
      <c r="G19" s="3261"/>
      <c r="H19" s="3261"/>
      <c r="I19" s="3261"/>
    </row>
    <row r="20" spans="1:9" ht="16.5">
      <c r="A20" s="3254" t="s">
        <v>2971</v>
      </c>
      <c r="B20" s="3261"/>
      <c r="C20" s="3261"/>
      <c r="D20" s="3261"/>
      <c r="E20" s="3256" t="e">
        <f t="shared" si="0"/>
        <v>#DIV/0!</v>
      </c>
      <c r="F20" s="3256" t="e">
        <f t="shared" si="1"/>
        <v>#DIV/0!</v>
      </c>
      <c r="G20" s="3261"/>
      <c r="H20" s="3261"/>
      <c r="I20" s="3261"/>
    </row>
    <row r="21" spans="1:9" ht="16.5">
      <c r="A21" s="3254" t="s">
        <v>2970</v>
      </c>
      <c r="B21" s="3261"/>
      <c r="C21" s="3261"/>
      <c r="D21" s="3261"/>
      <c r="E21" s="3256" t="e">
        <f t="shared" si="0"/>
        <v>#DIV/0!</v>
      </c>
      <c r="F21" s="3256" t="e">
        <f t="shared" si="1"/>
        <v>#DIV/0!</v>
      </c>
      <c r="G21" s="3261"/>
      <c r="H21" s="3261"/>
      <c r="I21" s="3261"/>
    </row>
    <row r="22" spans="1:9" ht="16.5">
      <c r="A22" s="3254" t="s">
        <v>2969</v>
      </c>
      <c r="B22" s="3261"/>
      <c r="C22" s="3261"/>
      <c r="D22" s="3261"/>
      <c r="E22" s="3256" t="e">
        <f t="shared" si="0"/>
        <v>#DIV/0!</v>
      </c>
      <c r="F22" s="3256" t="e">
        <f t="shared" si="1"/>
        <v>#DIV/0!</v>
      </c>
      <c r="G22" s="3261"/>
      <c r="H22" s="3261"/>
      <c r="I22" s="3261"/>
    </row>
    <row r="23" spans="1:9" ht="16.5">
      <c r="A23" s="3254" t="s">
        <v>2968</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1964</v>
      </c>
      <c r="B36" s="1884" t="s">
        <v>1965</v>
      </c>
    </row>
    <row r="37" spans="1:9" ht="27.75" customHeight="1">
      <c r="A37" s="1884"/>
      <c r="B37" s="3417" t="str">
        <f>项目基本情况!B1</f>
        <v>福建省福州市晋安区预评估</v>
      </c>
      <c r="C37" s="3417"/>
      <c r="D37" s="3417"/>
      <c r="E37" s="3417"/>
      <c r="F37" s="3417"/>
      <c r="G37" s="3417"/>
      <c r="H37" s="3417"/>
      <c r="I37" s="3417"/>
    </row>
    <row r="38" spans="1:9">
      <c r="A38" s="1886"/>
      <c r="B38" s="1886"/>
    </row>
    <row r="39" spans="1:9">
      <c r="A39" s="1884" t="s">
        <v>1964</v>
      </c>
      <c r="B39" s="1884" t="s">
        <v>1966</v>
      </c>
    </row>
    <row r="40" spans="1:9">
      <c r="A40" s="1884"/>
      <c r="B40" s="1884">
        <f>项目基本情况!B5</f>
        <v>0</v>
      </c>
    </row>
    <row r="41" spans="1:9">
      <c r="A41" s="1884"/>
      <c r="B41" s="1884"/>
    </row>
    <row r="42" spans="1:9">
      <c r="A42" s="1884" t="s">
        <v>1964</v>
      </c>
      <c r="B42" s="1884" t="s">
        <v>1967</v>
      </c>
    </row>
    <row r="43" spans="1:9">
      <c r="A43" s="1884"/>
      <c r="B43" s="1884" t="s">
        <v>1968</v>
      </c>
    </row>
    <row r="44" spans="1:9">
      <c r="A44" s="1884"/>
      <c r="B44" s="1884"/>
    </row>
    <row r="45" spans="1:9">
      <c r="A45" s="1884" t="s">
        <v>1964</v>
      </c>
      <c r="B45" s="1884" t="s">
        <v>1969</v>
      </c>
    </row>
    <row r="46" spans="1:9" s="1884" customFormat="1" ht="12.75">
      <c r="B46" s="1884" t="str">
        <f>项目基本情况!K4</f>
        <v>（注册号：0)、（注册号：0)</v>
      </c>
    </row>
    <row r="47" spans="1:9">
      <c r="A47" s="1884"/>
      <c r="B47" s="1884" t="str">
        <f>项目基本情况!K5</f>
        <v/>
      </c>
    </row>
    <row r="48" spans="1:9">
      <c r="A48" s="1884" t="s">
        <v>1964</v>
      </c>
      <c r="B48" s="1884" t="s">
        <v>1970</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38" sqref="M3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t="s">
        <v>3563</v>
      </c>
      <c r="C1" s="3123" t="s">
        <v>444</v>
      </c>
      <c r="D1" s="3124" t="s">
        <v>3694</v>
      </c>
      <c r="E1" s="3125"/>
      <c r="F1" s="3106" t="s">
        <v>2702</v>
      </c>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4">
        <f>IF(C2="——",IF(B37="元/平方米",ROUND(C39*D3/10000,0),ROUND(F3*C39/10000,0)),IF(B37="元/平方米",ROUND(C39*D3/10000,0),ROUND(F3*C39/10000,0))-D2)</f>
        <v>23788</v>
      </c>
      <c r="C2" s="3098" t="s">
        <v>531</v>
      </c>
      <c r="D2" s="2339">
        <f ca="1">SUMIF(INDIRECT("'"&amp;F2&amp;"'"&amp;"!A:A"),"承租人权益价值",INDIRECT("'"&amp;F2&amp;"'"&amp;"!c:c"))</f>
        <v>0</v>
      </c>
      <c r="E2" s="3099" t="s">
        <v>867</v>
      </c>
      <c r="F2" s="3100" t="s">
        <v>3701</v>
      </c>
      <c r="G2" s="2340"/>
      <c r="H2" s="2340"/>
      <c r="I2" s="2340"/>
      <c r="J2" s="2340"/>
      <c r="K2" s="2342"/>
      <c r="L2" s="2343"/>
      <c r="M2" s="2344"/>
      <c r="N2" s="2344"/>
      <c r="O2" s="2344"/>
      <c r="P2" s="2845"/>
      <c r="Q2" s="1315"/>
      <c r="R2" s="1315"/>
      <c r="S2" s="1315"/>
      <c r="T2" s="1315"/>
      <c r="U2" s="1315"/>
      <c r="V2" s="1315"/>
      <c r="W2" s="1315"/>
      <c r="X2" s="1315"/>
      <c r="Y2" s="1315"/>
      <c r="Z2" s="1315"/>
      <c r="AA2" s="1315"/>
      <c r="AB2" s="1315"/>
      <c r="AC2" s="1316"/>
    </row>
    <row r="3" spans="1:29" s="741" customFormat="1" ht="28.5" customHeight="1" thickBot="1">
      <c r="A3" s="579" t="s">
        <v>447</v>
      </c>
      <c r="B3" s="951">
        <f>IF(AND(C2="——",B37="元/平方米"),C39,ROUND(B2*10000/D3,0))</f>
        <v>7599</v>
      </c>
      <c r="C3" s="743" t="s">
        <v>448</v>
      </c>
      <c r="D3" s="742">
        <f>SUMIF('数据-汇总表'!$C19:$C33,D1,'数据-汇总表'!$E19:$E33)</f>
        <v>31303.89</v>
      </c>
      <c r="E3" s="743" t="s">
        <v>2138</v>
      </c>
      <c r="F3" s="742">
        <f>SUMIF('数据-取费表'!A5:A15,D1,'数据-取费表'!AH5:AH15)</f>
        <v>710</v>
      </c>
      <c r="G3" s="2340"/>
      <c r="H3" s="2340"/>
      <c r="I3" s="2340"/>
      <c r="J3" s="2340"/>
      <c r="K3" s="2342"/>
      <c r="L3" s="2343"/>
      <c r="M3" s="2344"/>
      <c r="N3" s="2344"/>
      <c r="O3" s="2344"/>
      <c r="P3" s="2845"/>
      <c r="Q3" s="1315"/>
      <c r="R3" s="1315"/>
      <c r="S3" s="1315"/>
      <c r="T3" s="1315"/>
      <c r="U3" s="1315"/>
      <c r="V3" s="1315"/>
      <c r="W3" s="1315"/>
      <c r="X3" s="1315"/>
      <c r="Y3" s="1315"/>
      <c r="Z3" s="1315"/>
      <c r="AA3" s="1315"/>
      <c r="AB3" s="1408"/>
      <c r="AC3" s="1398"/>
    </row>
    <row r="4" spans="1:29" ht="15">
      <c r="A4" s="744" t="s">
        <v>449</v>
      </c>
      <c r="B4" s="745"/>
      <c r="C4" s="3628" t="s">
        <v>450</v>
      </c>
      <c r="D4" s="3629"/>
      <c r="E4" s="3630" t="s">
        <v>451</v>
      </c>
      <c r="F4" s="3631"/>
      <c r="G4" s="3628" t="s">
        <v>452</v>
      </c>
      <c r="H4" s="3629"/>
      <c r="I4" s="3628" t="s">
        <v>453</v>
      </c>
      <c r="J4" s="3629"/>
      <c r="K4" s="952" t="s">
        <v>454</v>
      </c>
      <c r="L4" s="2345"/>
      <c r="M4" s="2346"/>
      <c r="N4" s="2346"/>
      <c r="O4" s="2346"/>
      <c r="P4" s="3632" t="s">
        <v>455</v>
      </c>
      <c r="Q4" s="3633"/>
      <c r="R4" s="3615" t="s">
        <v>451</v>
      </c>
      <c r="S4" s="3616"/>
      <c r="T4" s="3615" t="s">
        <v>452</v>
      </c>
      <c r="U4" s="3616"/>
      <c r="V4" s="3640" t="s">
        <v>453</v>
      </c>
      <c r="W4" s="3640"/>
      <c r="X4" s="2830"/>
      <c r="Y4" s="3615" t="s">
        <v>455</v>
      </c>
      <c r="Z4" s="3616"/>
      <c r="AA4" s="3610" t="s">
        <v>451</v>
      </c>
      <c r="AB4" s="3611" t="s">
        <v>452</v>
      </c>
      <c r="AC4" s="3610" t="s">
        <v>453</v>
      </c>
    </row>
    <row r="5" spans="1:29" ht="15">
      <c r="A5" s="747"/>
      <c r="B5" s="748"/>
      <c r="C5" s="3621" t="s">
        <v>3026</v>
      </c>
      <c r="D5" s="3622"/>
      <c r="E5" s="3619" t="s">
        <v>3027</v>
      </c>
      <c r="F5" s="3620"/>
      <c r="G5" s="3621" t="s">
        <v>3028</v>
      </c>
      <c r="H5" s="3622"/>
      <c r="I5" s="3621" t="s">
        <v>3029</v>
      </c>
      <c r="J5" s="3622"/>
      <c r="K5" s="952"/>
      <c r="L5" s="2345"/>
      <c r="M5" s="2346"/>
      <c r="N5" s="2346"/>
      <c r="O5" s="2346"/>
      <c r="P5" s="3634"/>
      <c r="Q5" s="3635"/>
      <c r="R5" s="3617"/>
      <c r="S5" s="3618"/>
      <c r="T5" s="3617"/>
      <c r="U5" s="3618"/>
      <c r="V5" s="3640"/>
      <c r="W5" s="3640"/>
      <c r="X5" s="2830"/>
      <c r="Y5" s="3617"/>
      <c r="Z5" s="3618"/>
      <c r="AA5" s="3611"/>
      <c r="AB5" s="3611"/>
      <c r="AC5" s="3611"/>
    </row>
    <row r="6" spans="1:29" ht="15.75" thickBot="1">
      <c r="A6" s="749"/>
      <c r="B6" s="750"/>
      <c r="C6" s="3623" t="s">
        <v>3030</v>
      </c>
      <c r="D6" s="3624"/>
      <c r="E6" s="3625" t="s">
        <v>3030</v>
      </c>
      <c r="F6" s="3626"/>
      <c r="G6" s="3623" t="s">
        <v>3030</v>
      </c>
      <c r="H6" s="3624"/>
      <c r="I6" s="3623" t="s">
        <v>3030</v>
      </c>
      <c r="J6" s="3624"/>
      <c r="K6" s="952" t="s">
        <v>397</v>
      </c>
      <c r="L6" s="2345"/>
      <c r="M6" s="2346"/>
      <c r="N6" s="2346"/>
      <c r="O6" s="2346"/>
      <c r="P6" s="3636"/>
      <c r="Q6" s="3637"/>
      <c r="R6" s="3617"/>
      <c r="S6" s="3618"/>
      <c r="T6" s="3638"/>
      <c r="U6" s="3639"/>
      <c r="V6" s="3640"/>
      <c r="W6" s="3640"/>
      <c r="X6" s="2830"/>
      <c r="Y6" s="3638"/>
      <c r="Z6" s="3639"/>
      <c r="AA6" s="3612"/>
      <c r="AB6" s="3612"/>
      <c r="AC6" s="3612"/>
    </row>
    <row r="7" spans="1:29" s="407" customFormat="1" ht="15.75" thickBot="1">
      <c r="A7" s="751" t="s">
        <v>398</v>
      </c>
      <c r="B7" s="752"/>
      <c r="C7" s="753">
        <f>'数据-取费表'!B2</f>
        <v>42935</v>
      </c>
      <c r="D7" s="754">
        <v>100</v>
      </c>
      <c r="E7" s="755">
        <v>42917</v>
      </c>
      <c r="F7" s="756">
        <f>SUMIF(48:48,YEAR(E7)&amp;"-"&amp;MONTH(E7),49:49)</f>
        <v>100</v>
      </c>
      <c r="G7" s="755">
        <v>42917</v>
      </c>
      <c r="H7" s="754">
        <f>SUMIF(48:48,YEAR(G7)&amp;"-"&amp;MONTH(G7),49:49)</f>
        <v>100</v>
      </c>
      <c r="I7" s="755">
        <v>42917</v>
      </c>
      <c r="J7" s="754">
        <f>SUMIF(48:48,YEAR(I7)&amp;"-"&amp;MONTH(I7),49:49)</f>
        <v>100</v>
      </c>
      <c r="K7" s="953"/>
      <c r="L7" s="2347"/>
      <c r="M7" s="2348"/>
      <c r="N7" s="2348"/>
      <c r="O7" s="2348"/>
      <c r="P7" s="3613" t="s">
        <v>399</v>
      </c>
      <c r="Q7" s="3641"/>
      <c r="R7" s="1318" t="s">
        <v>65</v>
      </c>
      <c r="S7" s="1319">
        <f t="shared" ref="S7:S14" si="0">F7</f>
        <v>100</v>
      </c>
      <c r="T7" s="1318" t="s">
        <v>65</v>
      </c>
      <c r="U7" s="1319">
        <f t="shared" ref="U7:U14" si="1">H7</f>
        <v>100</v>
      </c>
      <c r="V7" s="1318" t="s">
        <v>65</v>
      </c>
      <c r="W7" s="1319">
        <f t="shared" ref="W7:W14" si="2">J7</f>
        <v>100</v>
      </c>
      <c r="X7" s="1320"/>
      <c r="Y7" s="3613" t="s">
        <v>399</v>
      </c>
      <c r="Z7" s="3614"/>
      <c r="AA7" s="1321">
        <f>D7/F7</f>
        <v>1</v>
      </c>
      <c r="AB7" s="1321">
        <f>D7/H7</f>
        <v>1</v>
      </c>
      <c r="AC7" s="1321">
        <f>D7/J7</f>
        <v>1</v>
      </c>
    </row>
    <row r="8" spans="1:29" s="407" customFormat="1" ht="15.75" thickBot="1">
      <c r="A8" s="751" t="s">
        <v>400</v>
      </c>
      <c r="B8" s="752"/>
      <c r="C8" s="757" t="s">
        <v>417</v>
      </c>
      <c r="D8" s="754">
        <v>100</v>
      </c>
      <c r="E8" s="757" t="s">
        <v>155</v>
      </c>
      <c r="F8" s="756">
        <f>SUMIF(51:51,E8,52:52)-SUMIF(51:51,C8,52:52)+100</f>
        <v>100</v>
      </c>
      <c r="G8" s="757" t="s">
        <v>155</v>
      </c>
      <c r="H8" s="754">
        <f>SUMIF(51:51,G8,52:52)-SUMIF(51:51,C8,52:52)+100</f>
        <v>100</v>
      </c>
      <c r="I8" s="757" t="s">
        <v>155</v>
      </c>
      <c r="J8" s="754">
        <f>SUMIF(51:51,I8,52:52)-SUMIF(51:51,C8,52:52)+100</f>
        <v>100</v>
      </c>
      <c r="K8" s="953"/>
      <c r="L8" s="2347"/>
      <c r="M8" s="2348"/>
      <c r="N8" s="2348"/>
      <c r="O8" s="2348"/>
      <c r="P8" s="3613" t="s">
        <v>435</v>
      </c>
      <c r="Q8" s="3614"/>
      <c r="R8" s="1318" t="s">
        <v>65</v>
      </c>
      <c r="S8" s="1319">
        <f t="shared" si="0"/>
        <v>100</v>
      </c>
      <c r="T8" s="1318" t="s">
        <v>65</v>
      </c>
      <c r="U8" s="1319">
        <f t="shared" si="1"/>
        <v>100</v>
      </c>
      <c r="V8" s="1318" t="s">
        <v>65</v>
      </c>
      <c r="W8" s="1319">
        <f t="shared" si="2"/>
        <v>100</v>
      </c>
      <c r="X8" s="1320"/>
      <c r="Y8" s="3613" t="s">
        <v>435</v>
      </c>
      <c r="Z8" s="3614"/>
      <c r="AA8" s="1321">
        <f t="shared" ref="AA8:AA36" si="3">D8/F8</f>
        <v>1</v>
      </c>
      <c r="AB8" s="1321">
        <f t="shared" ref="AB8:AB36" si="4">D8/H8</f>
        <v>1</v>
      </c>
      <c r="AC8" s="1321">
        <f t="shared" ref="AC8:AC36" si="5">D8/J8</f>
        <v>1</v>
      </c>
    </row>
    <row r="9" spans="1:29" s="407" customFormat="1">
      <c r="A9" s="358" t="s">
        <v>401</v>
      </c>
      <c r="B9" s="982" t="s">
        <v>419</v>
      </c>
      <c r="C9" s="3412" t="s">
        <v>3696</v>
      </c>
      <c r="D9" s="425">
        <v>100</v>
      </c>
      <c r="E9" s="761" t="s">
        <v>3694</v>
      </c>
      <c r="F9" s="425">
        <f>SUMIF(53:53,E9,54:54)-SUMIF(53:53,C9,54:54)+100</f>
        <v>100</v>
      </c>
      <c r="G9" s="759" t="s">
        <v>3694</v>
      </c>
      <c r="H9" s="425">
        <f>SUMIF(53:53,G9,54:54)-SUMIF(53:53,C9,54:54)+100</f>
        <v>100</v>
      </c>
      <c r="I9" s="759" t="s">
        <v>3694</v>
      </c>
      <c r="J9" s="425">
        <f>SUMIF(53:53,I9,54:54)-SUMIF(53:53,C9,54:54)+100</f>
        <v>100</v>
      </c>
      <c r="K9" s="953"/>
      <c r="L9" s="2347"/>
      <c r="M9" s="2348"/>
      <c r="N9" s="2348"/>
      <c r="O9" s="2348"/>
      <c r="P9" s="3627" t="s">
        <v>402</v>
      </c>
      <c r="Q9" s="2829" t="str">
        <f t="shared" ref="Q9:Q14" si="6">B9</f>
        <v>用途</v>
      </c>
      <c r="R9" s="1318" t="s">
        <v>65</v>
      </c>
      <c r="S9" s="1319">
        <f t="shared" si="0"/>
        <v>100</v>
      </c>
      <c r="T9" s="1318" t="s">
        <v>65</v>
      </c>
      <c r="U9" s="1319">
        <f t="shared" si="1"/>
        <v>100</v>
      </c>
      <c r="V9" s="1318" t="s">
        <v>65</v>
      </c>
      <c r="W9" s="1319">
        <f t="shared" si="2"/>
        <v>100</v>
      </c>
      <c r="X9" s="1320"/>
      <c r="Y9" s="3588" t="s">
        <v>403</v>
      </c>
      <c r="Z9" s="344" t="str">
        <f t="shared" ref="Z9:Z14" si="7">Q9</f>
        <v>用途</v>
      </c>
      <c r="AA9" s="1321">
        <f t="shared" si="3"/>
        <v>1</v>
      </c>
      <c r="AB9" s="1321">
        <f t="shared" si="4"/>
        <v>1</v>
      </c>
      <c r="AC9" s="1321">
        <f t="shared" si="5"/>
        <v>1</v>
      </c>
    </row>
    <row r="10" spans="1:29" s="769" customFormat="1" ht="27">
      <c r="A10" s="983"/>
      <c r="B10" s="984" t="s">
        <v>404</v>
      </c>
      <c r="C10" s="765" t="s">
        <v>3713</v>
      </c>
      <c r="D10" s="426">
        <v>100</v>
      </c>
      <c r="E10" s="765" t="s">
        <v>3713</v>
      </c>
      <c r="F10" s="426">
        <f>SUMIF(55:55,E10,56:56)-SUMIF(55:55,C10,56:56)+100</f>
        <v>100</v>
      </c>
      <c r="G10" s="766" t="s">
        <v>3713</v>
      </c>
      <c r="H10" s="426">
        <f>SUMIF(55:55,G10,56:56)-SUMIF(55:55,C10,56:56)+100</f>
        <v>100</v>
      </c>
      <c r="I10" s="765" t="s">
        <v>3713</v>
      </c>
      <c r="J10" s="426">
        <f>SUMIF(55:55,I10,56:56)-SUMIF(55:55,C10,56:56)+100</f>
        <v>100</v>
      </c>
      <c r="K10" s="954">
        <v>2</v>
      </c>
      <c r="L10" s="2350"/>
      <c r="M10" s="2351"/>
      <c r="N10" s="2351"/>
      <c r="O10" s="2351"/>
      <c r="P10" s="3627"/>
      <c r="Q10" s="2829" t="str">
        <f t="shared" si="6"/>
        <v>土地使用年限（年）</v>
      </c>
      <c r="R10" s="1318" t="s">
        <v>65</v>
      </c>
      <c r="S10" s="1319">
        <f t="shared" si="0"/>
        <v>100</v>
      </c>
      <c r="T10" s="1318" t="s">
        <v>65</v>
      </c>
      <c r="U10" s="1319">
        <f t="shared" si="1"/>
        <v>100</v>
      </c>
      <c r="V10" s="1318" t="s">
        <v>65</v>
      </c>
      <c r="W10" s="1319">
        <f t="shared" si="2"/>
        <v>100</v>
      </c>
      <c r="X10" s="1320"/>
      <c r="Y10" s="3588"/>
      <c r="Z10" s="344" t="str">
        <f t="shared" si="7"/>
        <v>土地使用年限（年）</v>
      </c>
      <c r="AA10" s="1321">
        <f t="shared" si="3"/>
        <v>1</v>
      </c>
      <c r="AB10" s="1321">
        <f t="shared" si="4"/>
        <v>1</v>
      </c>
      <c r="AC10" s="1321">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3"/>
      <c r="M11" s="2346"/>
      <c r="N11" s="2346"/>
      <c r="O11" s="2346"/>
      <c r="P11" s="3627"/>
      <c r="Q11" s="2829">
        <f t="shared" si="6"/>
        <v>111</v>
      </c>
      <c r="R11" s="1318" t="s">
        <v>65</v>
      </c>
      <c r="S11" s="1319">
        <f t="shared" si="0"/>
        <v>100</v>
      </c>
      <c r="T11" s="1318" t="s">
        <v>65</v>
      </c>
      <c r="U11" s="1319">
        <f t="shared" si="1"/>
        <v>100</v>
      </c>
      <c r="V11" s="1318" t="s">
        <v>65</v>
      </c>
      <c r="W11" s="1319">
        <f t="shared" si="2"/>
        <v>100</v>
      </c>
      <c r="X11" s="1320"/>
      <c r="Y11" s="3588"/>
      <c r="Z11" s="344">
        <f t="shared" si="7"/>
        <v>111</v>
      </c>
      <c r="AA11" s="1321">
        <f t="shared" si="3"/>
        <v>1</v>
      </c>
      <c r="AB11" s="1321">
        <f t="shared" si="4"/>
        <v>1</v>
      </c>
      <c r="AC11" s="1321">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7"/>
      <c r="M12" s="2348"/>
      <c r="N12" s="2348"/>
      <c r="O12" s="2348"/>
      <c r="P12" s="3627"/>
      <c r="Q12" s="2829">
        <f t="shared" si="6"/>
        <v>111</v>
      </c>
      <c r="R12" s="1318" t="s">
        <v>65</v>
      </c>
      <c r="S12" s="1319">
        <f t="shared" si="0"/>
        <v>100</v>
      </c>
      <c r="T12" s="1318" t="s">
        <v>65</v>
      </c>
      <c r="U12" s="1319">
        <f t="shared" si="1"/>
        <v>100</v>
      </c>
      <c r="V12" s="1318" t="s">
        <v>65</v>
      </c>
      <c r="W12" s="1319">
        <f t="shared" si="2"/>
        <v>100</v>
      </c>
      <c r="X12" s="1320"/>
      <c r="Y12" s="3588"/>
      <c r="Z12" s="344">
        <f t="shared" si="7"/>
        <v>111</v>
      </c>
      <c r="AA12" s="1321">
        <f>D12/F12</f>
        <v>1</v>
      </c>
      <c r="AB12" s="1321">
        <f>D12/H12</f>
        <v>1</v>
      </c>
      <c r="AC12" s="1321">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5"/>
      <c r="M13" s="2346"/>
      <c r="N13" s="2346"/>
      <c r="O13" s="2346"/>
      <c r="P13" s="3627"/>
      <c r="Q13" s="2829">
        <f t="shared" si="6"/>
        <v>111</v>
      </c>
      <c r="R13" s="1318" t="s">
        <v>65</v>
      </c>
      <c r="S13" s="1319">
        <f t="shared" si="0"/>
        <v>100</v>
      </c>
      <c r="T13" s="1318" t="s">
        <v>65</v>
      </c>
      <c r="U13" s="1319">
        <f t="shared" si="1"/>
        <v>100</v>
      </c>
      <c r="V13" s="1318" t="s">
        <v>65</v>
      </c>
      <c r="W13" s="1319">
        <f t="shared" si="2"/>
        <v>100</v>
      </c>
      <c r="X13" s="1320"/>
      <c r="Y13" s="3588"/>
      <c r="Z13" s="344">
        <f t="shared" si="7"/>
        <v>111</v>
      </c>
      <c r="AA13" s="1321">
        <f t="shared" si="3"/>
        <v>1</v>
      </c>
      <c r="AB13" s="1321">
        <f t="shared" si="4"/>
        <v>1</v>
      </c>
      <c r="AC13" s="1321">
        <f t="shared" si="5"/>
        <v>1</v>
      </c>
    </row>
    <row r="14" spans="1:29" ht="175.5">
      <c r="A14" s="744" t="s">
        <v>406</v>
      </c>
      <c r="B14" s="971" t="s">
        <v>456</v>
      </c>
      <c r="C14" s="212" t="str">
        <f>IF(B1="工业",估价对象房地状况!G4,估价对象房地状况!C6)</f>
        <v>估价对象周边道路状况较好，有56、46、68路等多条公交线路经过，临近东二环路，估价对象所在商圈配有地下停车场，停车方便，综合评价交通便捷度较好。</v>
      </c>
      <c r="D14" s="783">
        <v>100</v>
      </c>
      <c r="E14" s="784"/>
      <c r="F14" s="785">
        <f>SUMIF(63:63,E15,64:64)-SUMIF(63:63,C15,64:64)+100</f>
        <v>100</v>
      </c>
      <c r="G14" s="786"/>
      <c r="H14" s="783">
        <f>SUMIF(63:63,G15,64:64)-SUMIF(63:63,C15,64:64)+100</f>
        <v>100</v>
      </c>
      <c r="I14" s="784"/>
      <c r="J14" s="783">
        <f>SUMIF(63:63,I15,64:64)-SUMIF(63:63,C15,64:64)+100</f>
        <v>100</v>
      </c>
      <c r="K14" s="956">
        <v>3</v>
      </c>
      <c r="L14" s="2355"/>
      <c r="M14" s="2346"/>
      <c r="N14" s="2346"/>
      <c r="O14" s="2346"/>
      <c r="P14" s="3642" t="s">
        <v>407</v>
      </c>
      <c r="Q14" s="2831" t="str">
        <f t="shared" si="6"/>
        <v>交通便捷度</v>
      </c>
      <c r="R14" s="1323" t="s">
        <v>65</v>
      </c>
      <c r="S14" s="1324">
        <f t="shared" si="0"/>
        <v>100</v>
      </c>
      <c r="T14" s="1323" t="s">
        <v>65</v>
      </c>
      <c r="U14" s="1324">
        <f t="shared" si="1"/>
        <v>100</v>
      </c>
      <c r="V14" s="1323" t="s">
        <v>65</v>
      </c>
      <c r="W14" s="1324">
        <f t="shared" si="2"/>
        <v>100</v>
      </c>
      <c r="X14" s="2830"/>
      <c r="Y14" s="3642" t="s">
        <v>407</v>
      </c>
      <c r="Z14" s="2832" t="str">
        <f t="shared" si="7"/>
        <v>交通便捷度</v>
      </c>
      <c r="AA14" s="1326">
        <f t="shared" si="3"/>
        <v>1</v>
      </c>
      <c r="AB14" s="1326">
        <f t="shared" si="4"/>
        <v>1</v>
      </c>
      <c r="AC14" s="1326">
        <f t="shared" si="5"/>
        <v>1</v>
      </c>
    </row>
    <row r="15" spans="1:29" ht="15">
      <c r="A15" s="747"/>
      <c r="B15" s="989"/>
      <c r="C15" s="97" t="s">
        <v>3585</v>
      </c>
      <c r="D15" s="790"/>
      <c r="E15" s="789" t="s">
        <v>3585</v>
      </c>
      <c r="F15" s="791"/>
      <c r="G15" s="789" t="s">
        <v>3585</v>
      </c>
      <c r="H15" s="792"/>
      <c r="I15" s="789" t="s">
        <v>3585</v>
      </c>
      <c r="J15" s="790"/>
      <c r="K15" s="957"/>
      <c r="L15" s="2355"/>
      <c r="M15" s="2346"/>
      <c r="N15" s="2346"/>
      <c r="O15" s="2346"/>
      <c r="P15" s="3643"/>
      <c r="Q15" s="2831"/>
      <c r="R15" s="1323"/>
      <c r="S15" s="1324"/>
      <c r="T15" s="1323"/>
      <c r="U15" s="1324"/>
      <c r="V15" s="1323"/>
      <c r="W15" s="1324"/>
      <c r="X15" s="2830"/>
      <c r="Y15" s="3643"/>
      <c r="Z15" s="2832"/>
      <c r="AA15" s="1326">
        <v>1</v>
      </c>
      <c r="AB15" s="1326">
        <v>1</v>
      </c>
      <c r="AC15" s="1326">
        <v>1</v>
      </c>
    </row>
    <row r="16" spans="1:29" ht="189">
      <c r="A16" s="747"/>
      <c r="B16" s="1033" t="s">
        <v>2672</v>
      </c>
      <c r="C16" s="158" t="str">
        <f>IF(B1="工业",估价对象房地状况!G5,估价对象房地状况!C7)</f>
        <v>估价对象所在区域有银行（工商银行、建设银行等）、医院（福建省第二人民医院）、学校（福州第十中学、福州市岳峰中心小学等）、超市（永辉超市）等，公共配套设施条件好。</v>
      </c>
      <c r="D16" s="797">
        <v>100</v>
      </c>
      <c r="E16" s="799"/>
      <c r="F16" s="800">
        <f>SUMIF(65:65,E17,66:66)-SUMIF(65:65,C17,66:66)+100</f>
        <v>100</v>
      </c>
      <c r="G16" s="801"/>
      <c r="H16" s="797">
        <f>SUMIF(65:65,G17,66:66)-SUMIF(65:65,C17,66:66)+100</f>
        <v>100</v>
      </c>
      <c r="I16" s="799"/>
      <c r="J16" s="797">
        <f>SUMIF(65:65,I17,66:66)-SUMIF(65:65,C17,66:66)+100</f>
        <v>100</v>
      </c>
      <c r="K16" s="956">
        <v>2</v>
      </c>
      <c r="L16" s="2355"/>
      <c r="M16" s="2346"/>
      <c r="N16" s="2346"/>
      <c r="O16" s="2346"/>
      <c r="P16" s="3643"/>
      <c r="Q16" s="2831" t="str">
        <f>B16</f>
        <v>公共配套设施</v>
      </c>
      <c r="R16" s="1323" t="s">
        <v>65</v>
      </c>
      <c r="S16" s="1324">
        <f>F16</f>
        <v>100</v>
      </c>
      <c r="T16" s="1323" t="s">
        <v>65</v>
      </c>
      <c r="U16" s="1324">
        <f>H16</f>
        <v>100</v>
      </c>
      <c r="V16" s="1323" t="s">
        <v>65</v>
      </c>
      <c r="W16" s="1324">
        <f>J16</f>
        <v>100</v>
      </c>
      <c r="X16" s="2830"/>
      <c r="Y16" s="3643"/>
      <c r="Z16" s="2832" t="str">
        <f>Q16</f>
        <v>公共配套设施</v>
      </c>
      <c r="AA16" s="1326">
        <f t="shared" si="3"/>
        <v>1</v>
      </c>
      <c r="AB16" s="1326">
        <f t="shared" si="4"/>
        <v>1</v>
      </c>
      <c r="AC16" s="1326">
        <f t="shared" si="5"/>
        <v>1</v>
      </c>
    </row>
    <row r="17" spans="1:29" ht="15">
      <c r="A17" s="747"/>
      <c r="B17" s="974"/>
      <c r="C17" s="102" t="s">
        <v>3583</v>
      </c>
      <c r="D17" s="790"/>
      <c r="E17" s="789" t="s">
        <v>3583</v>
      </c>
      <c r="F17" s="791"/>
      <c r="G17" s="789" t="s">
        <v>3583</v>
      </c>
      <c r="H17" s="790"/>
      <c r="I17" s="789" t="s">
        <v>3583</v>
      </c>
      <c r="J17" s="790"/>
      <c r="K17" s="957"/>
      <c r="L17" s="2355"/>
      <c r="M17" s="2346"/>
      <c r="N17" s="2346"/>
      <c r="O17" s="2346"/>
      <c r="P17" s="3643"/>
      <c r="Q17" s="2831"/>
      <c r="R17" s="1323"/>
      <c r="S17" s="1324"/>
      <c r="T17" s="1323"/>
      <c r="U17" s="1324"/>
      <c r="V17" s="1323"/>
      <c r="W17" s="1324"/>
      <c r="X17" s="2830"/>
      <c r="Y17" s="3643"/>
      <c r="Z17" s="2832"/>
      <c r="AA17" s="1326">
        <v>1</v>
      </c>
      <c r="AB17" s="1326">
        <v>1</v>
      </c>
      <c r="AC17" s="1326">
        <v>1</v>
      </c>
    </row>
    <row r="18" spans="1:29" ht="40.5">
      <c r="A18" s="747"/>
      <c r="B18" s="1035" t="s">
        <v>2671</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v>2</v>
      </c>
      <c r="L18" s="2355"/>
      <c r="M18" s="2346"/>
      <c r="N18" s="2346"/>
      <c r="O18" s="2346"/>
      <c r="P18" s="3643"/>
      <c r="Q18" s="2831" t="str">
        <f>B18</f>
        <v>基础设施水平</v>
      </c>
      <c r="R18" s="1323" t="s">
        <v>65</v>
      </c>
      <c r="S18" s="1324">
        <f>F18</f>
        <v>100</v>
      </c>
      <c r="T18" s="1323" t="s">
        <v>65</v>
      </c>
      <c r="U18" s="1324">
        <f>H18</f>
        <v>100</v>
      </c>
      <c r="V18" s="1323" t="s">
        <v>65</v>
      </c>
      <c r="W18" s="1324">
        <f>J18</f>
        <v>100</v>
      </c>
      <c r="X18" s="2830"/>
      <c r="Y18" s="3643"/>
      <c r="Z18" s="2832" t="str">
        <f>Q18</f>
        <v>基础设施水平</v>
      </c>
      <c r="AA18" s="1326">
        <f t="shared" ref="AA18" si="8">D18/F18</f>
        <v>1</v>
      </c>
      <c r="AB18" s="1326">
        <f t="shared" ref="AB18" si="9">D18/H18</f>
        <v>1</v>
      </c>
      <c r="AC18" s="1326">
        <f t="shared" ref="AC18" si="10">D18/J18</f>
        <v>1</v>
      </c>
    </row>
    <row r="19" spans="1:29" ht="15">
      <c r="A19" s="747"/>
      <c r="B19" s="975"/>
      <c r="C19" s="102" t="s">
        <v>3714</v>
      </c>
      <c r="D19" s="792"/>
      <c r="E19" s="102" t="s">
        <v>3714</v>
      </c>
      <c r="F19" s="795"/>
      <c r="G19" s="102" t="s">
        <v>3714</v>
      </c>
      <c r="H19" s="790"/>
      <c r="I19" s="97" t="s">
        <v>3714</v>
      </c>
      <c r="J19" s="790"/>
      <c r="K19" s="2764"/>
      <c r="L19" s="2355"/>
      <c r="M19" s="2346"/>
      <c r="N19" s="2346"/>
      <c r="O19" s="2346"/>
      <c r="P19" s="3643"/>
      <c r="Q19" s="2831"/>
      <c r="R19" s="1323"/>
      <c r="S19" s="1324"/>
      <c r="T19" s="1323"/>
      <c r="U19" s="1324"/>
      <c r="V19" s="1323"/>
      <c r="W19" s="1324"/>
      <c r="X19" s="2830"/>
      <c r="Y19" s="3643"/>
      <c r="Z19" s="2832"/>
      <c r="AA19" s="1326">
        <v>1</v>
      </c>
      <c r="AB19" s="1326">
        <v>1</v>
      </c>
      <c r="AC19" s="1326">
        <v>1</v>
      </c>
    </row>
    <row r="20" spans="1:29" ht="81">
      <c r="A20" s="747"/>
      <c r="B20" s="973" t="s">
        <v>457</v>
      </c>
      <c r="C20" s="158" t="str">
        <f>IF(B1="工业",估价对象房地状况!G7,估价对象房地状况!C9)</f>
        <v>估价对象周边有牛岗山公园、金鸡山公园；综合评价环境状况一般。</v>
      </c>
      <c r="D20" s="797">
        <v>100</v>
      </c>
      <c r="E20" s="799"/>
      <c r="F20" s="800">
        <f>SUMIF(69:69,E21,70:70)-SUMIF(69:69,C21,70:70)+100</f>
        <v>100</v>
      </c>
      <c r="G20" s="801"/>
      <c r="H20" s="792">
        <f>SUMIF(69:69,G21,70:70)-SUMIF(69:69,C21,70:70)+100</f>
        <v>100</v>
      </c>
      <c r="I20" s="794"/>
      <c r="J20" s="792">
        <f>SUMIF(69:69,I21,70:70)-SUMIF(69:69,C21,70:70)+100</f>
        <v>100</v>
      </c>
      <c r="K20" s="956">
        <v>2</v>
      </c>
      <c r="L20" s="2355"/>
      <c r="M20" s="2346"/>
      <c r="N20" s="2346"/>
      <c r="O20" s="2346"/>
      <c r="P20" s="3643"/>
      <c r="Q20" s="2831" t="str">
        <f>B20</f>
        <v>自然及人文环境</v>
      </c>
      <c r="R20" s="1323" t="s">
        <v>65</v>
      </c>
      <c r="S20" s="1324">
        <f>F20</f>
        <v>100</v>
      </c>
      <c r="T20" s="1323" t="s">
        <v>65</v>
      </c>
      <c r="U20" s="1324">
        <f>H20</f>
        <v>100</v>
      </c>
      <c r="V20" s="1323" t="s">
        <v>65</v>
      </c>
      <c r="W20" s="1324">
        <f>J20</f>
        <v>100</v>
      </c>
      <c r="X20" s="2830"/>
      <c r="Y20" s="3643"/>
      <c r="Z20" s="2832" t="str">
        <f>Q20</f>
        <v>自然及人文环境</v>
      </c>
      <c r="AA20" s="1326">
        <f t="shared" si="3"/>
        <v>1</v>
      </c>
      <c r="AB20" s="1326">
        <f t="shared" si="4"/>
        <v>1</v>
      </c>
      <c r="AC20" s="1326">
        <f t="shared" si="5"/>
        <v>1</v>
      </c>
    </row>
    <row r="21" spans="1:29" ht="15">
      <c r="A21" s="747"/>
      <c r="B21" s="974"/>
      <c r="C21" s="789" t="s">
        <v>3669</v>
      </c>
      <c r="D21" s="790"/>
      <c r="E21" s="789" t="s">
        <v>3669</v>
      </c>
      <c r="F21" s="791"/>
      <c r="G21" s="789" t="s">
        <v>3669</v>
      </c>
      <c r="H21" s="790"/>
      <c r="I21" s="789" t="s">
        <v>3669</v>
      </c>
      <c r="J21" s="790"/>
      <c r="K21" s="957"/>
      <c r="L21" s="2355"/>
      <c r="M21" s="2346"/>
      <c r="N21" s="2346"/>
      <c r="O21" s="2346"/>
      <c r="P21" s="3643"/>
      <c r="Q21" s="2831"/>
      <c r="R21" s="1323"/>
      <c r="S21" s="1324"/>
      <c r="T21" s="1323"/>
      <c r="U21" s="1324"/>
      <c r="V21" s="1323"/>
      <c r="W21" s="1324"/>
      <c r="X21" s="2830"/>
      <c r="Y21" s="3643"/>
      <c r="Z21" s="2832"/>
      <c r="AA21" s="1326">
        <v>1</v>
      </c>
      <c r="AB21" s="1326">
        <v>1</v>
      </c>
      <c r="AC21" s="1326">
        <v>1</v>
      </c>
    </row>
    <row r="22" spans="1:29" ht="15">
      <c r="A22" s="747"/>
      <c r="B22" s="973" t="s">
        <v>458</v>
      </c>
      <c r="C22" s="958" t="s">
        <v>3699</v>
      </c>
      <c r="D22" s="792">
        <v>100</v>
      </c>
      <c r="E22" s="958" t="s">
        <v>3697</v>
      </c>
      <c r="F22" s="803">
        <f>SUMIF(71:71,E22,72:72)-SUMIF(71:71,C22,72:72)+100</f>
        <v>101</v>
      </c>
      <c r="G22" s="958" t="s">
        <v>3697</v>
      </c>
      <c r="H22" s="777">
        <f>SUMIF(71:71,G22,72:72)-SUMIF(71:71,C22,72:72)+100</f>
        <v>101</v>
      </c>
      <c r="I22" s="958" t="s">
        <v>3697</v>
      </c>
      <c r="J22" s="777">
        <f>SUMIF(71:71,I22,72:72)-SUMIF(71:71,C22,72:72)+100</f>
        <v>101</v>
      </c>
      <c r="K22" s="954">
        <v>1</v>
      </c>
      <c r="L22" s="2355"/>
      <c r="M22" s="2346"/>
      <c r="N22" s="2346"/>
      <c r="O22" s="2346"/>
      <c r="P22" s="3643"/>
      <c r="Q22" s="2831" t="str">
        <f>B22</f>
        <v>楼层</v>
      </c>
      <c r="R22" s="1323" t="s">
        <v>65</v>
      </c>
      <c r="S22" s="1324">
        <f>F22</f>
        <v>101</v>
      </c>
      <c r="T22" s="1323" t="s">
        <v>65</v>
      </c>
      <c r="U22" s="1324">
        <f>H22</f>
        <v>101</v>
      </c>
      <c r="V22" s="1323" t="s">
        <v>65</v>
      </c>
      <c r="W22" s="1324">
        <f>J22</f>
        <v>101</v>
      </c>
      <c r="X22" s="2830"/>
      <c r="Y22" s="3643"/>
      <c r="Z22" s="2832" t="str">
        <f>Q22</f>
        <v>楼层</v>
      </c>
      <c r="AA22" s="1326">
        <f t="shared" si="3"/>
        <v>0.99009900990099009</v>
      </c>
      <c r="AB22" s="1326">
        <f t="shared" si="4"/>
        <v>0.99009900990099009</v>
      </c>
      <c r="AC22" s="1326">
        <f t="shared" si="5"/>
        <v>0.99009900990099009</v>
      </c>
    </row>
    <row r="23" spans="1:29" ht="15">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5"/>
      <c r="M23" s="2346"/>
      <c r="N23" s="2346"/>
      <c r="O23" s="2346"/>
      <c r="P23" s="3643"/>
      <c r="Q23" s="2831">
        <f>B23</f>
        <v>111</v>
      </c>
      <c r="R23" s="1323" t="s">
        <v>65</v>
      </c>
      <c r="S23" s="1324">
        <f>F23</f>
        <v>100</v>
      </c>
      <c r="T23" s="1323" t="s">
        <v>65</v>
      </c>
      <c r="U23" s="1324">
        <f>H23</f>
        <v>100</v>
      </c>
      <c r="V23" s="1323" t="s">
        <v>65</v>
      </c>
      <c r="W23" s="1324">
        <f>J23</f>
        <v>100</v>
      </c>
      <c r="X23" s="2830"/>
      <c r="Y23" s="3643"/>
      <c r="Z23" s="2832">
        <f>Q23</f>
        <v>111</v>
      </c>
      <c r="AA23" s="1326">
        <f t="shared" si="3"/>
        <v>1</v>
      </c>
      <c r="AB23" s="1326">
        <f t="shared" si="4"/>
        <v>1</v>
      </c>
      <c r="AC23" s="1326">
        <f t="shared" si="5"/>
        <v>1</v>
      </c>
    </row>
    <row r="24" spans="1:29" ht="15">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5"/>
      <c r="M24" s="2346"/>
      <c r="N24" s="2346"/>
      <c r="O24" s="2346"/>
      <c r="P24" s="3643"/>
      <c r="Q24" s="2831">
        <f t="shared" ref="Q24:Q36" si="11">B24</f>
        <v>111</v>
      </c>
      <c r="R24" s="1323" t="s">
        <v>65</v>
      </c>
      <c r="S24" s="1324">
        <f>F24</f>
        <v>100</v>
      </c>
      <c r="T24" s="1323" t="s">
        <v>65</v>
      </c>
      <c r="U24" s="1324">
        <f>H24</f>
        <v>100</v>
      </c>
      <c r="V24" s="1323" t="s">
        <v>65</v>
      </c>
      <c r="W24" s="1324">
        <f>J24</f>
        <v>100</v>
      </c>
      <c r="X24" s="2830"/>
      <c r="Y24" s="3643"/>
      <c r="Z24" s="2832">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7"/>
      <c r="M25" s="2348"/>
      <c r="N25" s="2348"/>
      <c r="O25" s="2348"/>
      <c r="P25" s="3643"/>
      <c r="Q25" s="2829">
        <f t="shared" si="11"/>
        <v>111</v>
      </c>
      <c r="R25" s="1318" t="s">
        <v>65</v>
      </c>
      <c r="S25" s="1319">
        <f>F25</f>
        <v>100</v>
      </c>
      <c r="T25" s="1318" t="s">
        <v>65</v>
      </c>
      <c r="U25" s="1319">
        <f>H25</f>
        <v>100</v>
      </c>
      <c r="V25" s="1318" t="s">
        <v>65</v>
      </c>
      <c r="W25" s="1319">
        <f>J25</f>
        <v>100</v>
      </c>
      <c r="X25" s="1320"/>
      <c r="Y25" s="3643"/>
      <c r="Z25" s="344">
        <f>Q25</f>
        <v>111</v>
      </c>
      <c r="AA25" s="1326">
        <f>D25/F25</f>
        <v>1</v>
      </c>
      <c r="AB25" s="1326">
        <f>D25/H25</f>
        <v>1</v>
      </c>
      <c r="AC25" s="1326">
        <f>D25/J25</f>
        <v>1</v>
      </c>
    </row>
    <row r="26" spans="1:29" ht="15">
      <c r="A26" s="994" t="s">
        <v>408</v>
      </c>
      <c r="B26" s="360" t="s">
        <v>459</v>
      </c>
      <c r="C26" s="2765" t="str">
        <f>B1</f>
        <v>商业</v>
      </c>
      <c r="D26" s="790">
        <v>100</v>
      </c>
      <c r="E26" s="789" t="s">
        <v>3563</v>
      </c>
      <c r="F26" s="791">
        <f>SUMIF(79:79,E26,80:80)-SUMIF(79:79,C26,80:80)+100</f>
        <v>100</v>
      </c>
      <c r="G26" s="789" t="s">
        <v>40</v>
      </c>
      <c r="H26" s="790">
        <f>SUMIF(79:79,G26,80:80)-SUMIF(79:79,C26,80:80)+100</f>
        <v>98</v>
      </c>
      <c r="I26" s="789" t="s">
        <v>40</v>
      </c>
      <c r="J26" s="790">
        <f>SUMIF(79:79,I26,80:80)-SUMIF(79:79,C26,80:80)+100</f>
        <v>98</v>
      </c>
      <c r="K26" s="954">
        <v>2</v>
      </c>
      <c r="L26" s="2355"/>
      <c r="M26" s="2346"/>
      <c r="N26" s="2346"/>
      <c r="O26" s="2346"/>
      <c r="P26" s="3644" t="s">
        <v>409</v>
      </c>
      <c r="Q26" s="2831" t="str">
        <f t="shared" si="11"/>
        <v>配套类型</v>
      </c>
      <c r="R26" s="1323" t="s">
        <v>65</v>
      </c>
      <c r="S26" s="1324">
        <f t="shared" ref="S26:S36" si="12">F26</f>
        <v>100</v>
      </c>
      <c r="T26" s="1323" t="s">
        <v>65</v>
      </c>
      <c r="U26" s="1324">
        <f t="shared" ref="U26:U36" si="13">H26</f>
        <v>98</v>
      </c>
      <c r="V26" s="1323" t="s">
        <v>65</v>
      </c>
      <c r="W26" s="1324">
        <f t="shared" ref="W26:W36" si="14">J26</f>
        <v>98</v>
      </c>
      <c r="X26" s="2830"/>
      <c r="Y26" s="3645" t="s">
        <v>409</v>
      </c>
      <c r="Z26" s="2832" t="str">
        <f t="shared" ref="Z26:Z36" si="15">Q26</f>
        <v>配套类型</v>
      </c>
      <c r="AA26" s="1326">
        <f t="shared" si="3"/>
        <v>1</v>
      </c>
      <c r="AB26" s="1326">
        <f t="shared" si="4"/>
        <v>1.0204081632653061</v>
      </c>
      <c r="AC26" s="1326">
        <f t="shared" si="5"/>
        <v>1.0204081632653061</v>
      </c>
    </row>
    <row r="27" spans="1:29" s="813" customFormat="1" ht="15">
      <c r="A27" s="995"/>
      <c r="B27" s="996" t="s">
        <v>460</v>
      </c>
      <c r="C27" s="997"/>
      <c r="D27" s="426">
        <v>100</v>
      </c>
      <c r="E27" s="997"/>
      <c r="F27" s="803">
        <f>SUMIF(81:81,E27,82:82)-SUMIF(81:81,C27,82:82)+100</f>
        <v>100</v>
      </c>
      <c r="G27" s="997"/>
      <c r="H27" s="777">
        <f>SUMIF(81:81,G27,82:82)-SUMIF(81:81,C27,82:82)+100</f>
        <v>100</v>
      </c>
      <c r="I27" s="997"/>
      <c r="J27" s="777">
        <f>SUMIF(81:81,I27,82:82)-SUMIF(81:81,C27,82:82)+100</f>
        <v>100</v>
      </c>
      <c r="K27" s="955"/>
      <c r="L27" s="2353"/>
      <c r="M27" s="2356"/>
      <c r="N27" s="2356"/>
      <c r="O27" s="2356"/>
      <c r="P27" s="3645"/>
      <c r="Q27" s="1327" t="str">
        <f t="shared" si="11"/>
        <v>项目停车位配比</v>
      </c>
      <c r="R27" s="1328" t="s">
        <v>65</v>
      </c>
      <c r="S27" s="1329">
        <f t="shared" si="12"/>
        <v>100</v>
      </c>
      <c r="T27" s="1328" t="s">
        <v>65</v>
      </c>
      <c r="U27" s="1329">
        <f t="shared" si="13"/>
        <v>100</v>
      </c>
      <c r="V27" s="1328" t="s">
        <v>65</v>
      </c>
      <c r="W27" s="1329">
        <f t="shared" si="14"/>
        <v>100</v>
      </c>
      <c r="X27" s="1330"/>
      <c r="Y27" s="3645"/>
      <c r="Z27" s="1331" t="str">
        <f t="shared" si="15"/>
        <v>项目停车位配比</v>
      </c>
      <c r="AA27" s="1326">
        <f t="shared" si="3"/>
        <v>1</v>
      </c>
      <c r="AB27" s="1326">
        <f t="shared" si="4"/>
        <v>1</v>
      </c>
      <c r="AC27" s="1326">
        <f t="shared" si="5"/>
        <v>1</v>
      </c>
    </row>
    <row r="28" spans="1:29" ht="15">
      <c r="A28" s="998"/>
      <c r="B28" s="996" t="s">
        <v>461</v>
      </c>
      <c r="C28" s="802" t="s">
        <v>3607</v>
      </c>
      <c r="D28" s="777">
        <v>100</v>
      </c>
      <c r="E28" s="802" t="s">
        <v>3607</v>
      </c>
      <c r="F28" s="803">
        <f>SUMIF(83:83,E28,84:84)-SUMIF(83:83,C28,84:84)+100</f>
        <v>100</v>
      </c>
      <c r="G28" s="802" t="s">
        <v>3704</v>
      </c>
      <c r="H28" s="777">
        <f>SUMIF(83:83,G28,84:84)-SUMIF(83:83,C28,84:84)+100</f>
        <v>98</v>
      </c>
      <c r="I28" s="802" t="s">
        <v>3704</v>
      </c>
      <c r="J28" s="777">
        <f>SUMIF(83:83,I28,84:84)-SUMIF(83:83,C28,84:84)+100</f>
        <v>98</v>
      </c>
      <c r="K28" s="954">
        <v>2</v>
      </c>
      <c r="L28" s="2355"/>
      <c r="M28" s="2346"/>
      <c r="N28" s="2346"/>
      <c r="O28" s="2346"/>
      <c r="P28" s="3645"/>
      <c r="Q28" s="2831" t="str">
        <f t="shared" si="11"/>
        <v>公共部分装修</v>
      </c>
      <c r="R28" s="1323" t="s">
        <v>65</v>
      </c>
      <c r="S28" s="1324">
        <f t="shared" si="12"/>
        <v>100</v>
      </c>
      <c r="T28" s="1323" t="s">
        <v>65</v>
      </c>
      <c r="U28" s="1324">
        <f t="shared" si="13"/>
        <v>98</v>
      </c>
      <c r="V28" s="1323" t="s">
        <v>65</v>
      </c>
      <c r="W28" s="1324">
        <f t="shared" si="14"/>
        <v>98</v>
      </c>
      <c r="X28" s="2830"/>
      <c r="Y28" s="3645"/>
      <c r="Z28" s="2832" t="str">
        <f t="shared" si="15"/>
        <v>公共部分装修</v>
      </c>
      <c r="AA28" s="1326">
        <f t="shared" si="3"/>
        <v>1</v>
      </c>
      <c r="AB28" s="1326">
        <f t="shared" si="4"/>
        <v>1.0204081632653061</v>
      </c>
      <c r="AC28" s="1326">
        <f t="shared" si="5"/>
        <v>1.0204081632653061</v>
      </c>
    </row>
    <row r="29" spans="1:29" ht="15">
      <c r="A29" s="998"/>
      <c r="B29" s="996" t="s">
        <v>462</v>
      </c>
      <c r="C29" s="816">
        <v>0.97</v>
      </c>
      <c r="D29" s="777">
        <v>100</v>
      </c>
      <c r="E29" s="816">
        <v>0.97</v>
      </c>
      <c r="F29" s="803">
        <f>LOOKUP(E29,86:86,87:87)-LOOKUP(C29,86:86,87:87)+100</f>
        <v>100</v>
      </c>
      <c r="G29" s="816">
        <v>0.97</v>
      </c>
      <c r="H29" s="803">
        <f>LOOKUP(G29,86:86,87:87)-LOOKUP(C29,86:86,87:87)+100</f>
        <v>100</v>
      </c>
      <c r="I29" s="816">
        <v>0.97</v>
      </c>
      <c r="J29" s="777">
        <f>LOOKUP(I29,86:86,87:87)-LOOKUP(C29,86:86,87:87)+100</f>
        <v>100</v>
      </c>
      <c r="K29" s="954">
        <v>0</v>
      </c>
      <c r="L29" s="2355"/>
      <c r="M29" s="2346"/>
      <c r="N29" s="2346"/>
      <c r="O29" s="2346"/>
      <c r="P29" s="3645"/>
      <c r="Q29" s="2831" t="str">
        <f t="shared" si="11"/>
        <v>成新率</v>
      </c>
      <c r="R29" s="1323" t="s">
        <v>65</v>
      </c>
      <c r="S29" s="1324">
        <f t="shared" si="12"/>
        <v>100</v>
      </c>
      <c r="T29" s="1323" t="s">
        <v>65</v>
      </c>
      <c r="U29" s="1324">
        <f t="shared" si="13"/>
        <v>100</v>
      </c>
      <c r="V29" s="1323" t="s">
        <v>65</v>
      </c>
      <c r="W29" s="1324">
        <f t="shared" si="14"/>
        <v>100</v>
      </c>
      <c r="X29" s="2830"/>
      <c r="Y29" s="3645"/>
      <c r="Z29" s="2832" t="str">
        <f t="shared" si="15"/>
        <v>成新率</v>
      </c>
      <c r="AA29" s="1326">
        <f t="shared" si="3"/>
        <v>1</v>
      </c>
      <c r="AB29" s="1326">
        <f t="shared" si="4"/>
        <v>1</v>
      </c>
      <c r="AC29" s="1326">
        <f t="shared" si="5"/>
        <v>1</v>
      </c>
    </row>
    <row r="30" spans="1:29" ht="15">
      <c r="A30" s="998"/>
      <c r="B30" s="996" t="s">
        <v>463</v>
      </c>
      <c r="C30" s="999" t="s">
        <v>3708</v>
      </c>
      <c r="D30" s="777">
        <v>100</v>
      </c>
      <c r="E30" s="999" t="s">
        <v>3708</v>
      </c>
      <c r="F30" s="803">
        <f>SUMIF(88:88,E30,89:89)-SUMIF(88:88,C30,89:89)+100</f>
        <v>100</v>
      </c>
      <c r="G30" s="999" t="s">
        <v>3708</v>
      </c>
      <c r="H30" s="777">
        <f>SUMIF(88:88,E30,89:89)-SUMIF(88:88,C30,89:89)+100</f>
        <v>100</v>
      </c>
      <c r="I30" s="999" t="s">
        <v>3708</v>
      </c>
      <c r="J30" s="777">
        <f>SUMIF(88:88,E30,89:89)-SUMIF(88:88,C30,89:89)+100</f>
        <v>100</v>
      </c>
      <c r="K30" s="954"/>
      <c r="L30" s="2355"/>
      <c r="M30" s="2346"/>
      <c r="N30" s="2346"/>
      <c r="O30" s="2346"/>
      <c r="P30" s="3645"/>
      <c r="Q30" s="2831" t="str">
        <f t="shared" si="11"/>
        <v>物业等级</v>
      </c>
      <c r="R30" s="1323" t="s">
        <v>65</v>
      </c>
      <c r="S30" s="1324">
        <f t="shared" si="12"/>
        <v>100</v>
      </c>
      <c r="T30" s="1323" t="s">
        <v>65</v>
      </c>
      <c r="U30" s="1324">
        <f t="shared" si="13"/>
        <v>100</v>
      </c>
      <c r="V30" s="1323" t="s">
        <v>65</v>
      </c>
      <c r="W30" s="1324">
        <f t="shared" si="14"/>
        <v>100</v>
      </c>
      <c r="X30" s="2830"/>
      <c r="Y30" s="3645"/>
      <c r="Z30" s="2832" t="str">
        <f t="shared" si="15"/>
        <v>物业等级</v>
      </c>
      <c r="AA30" s="1326">
        <f t="shared" si="3"/>
        <v>1</v>
      </c>
      <c r="AB30" s="1326">
        <f t="shared" si="4"/>
        <v>1</v>
      </c>
      <c r="AC30" s="1326">
        <f t="shared" si="5"/>
        <v>1</v>
      </c>
    </row>
    <row r="31" spans="1:29" s="407" customFormat="1" ht="15">
      <c r="A31" s="1000"/>
      <c r="B31" s="996" t="s">
        <v>464</v>
      </c>
      <c r="C31" s="811">
        <v>44</v>
      </c>
      <c r="D31" s="426">
        <v>100</v>
      </c>
      <c r="E31" s="811">
        <v>30</v>
      </c>
      <c r="F31" s="803">
        <f>LOOKUP(E31,91:91,92:92)-LOOKUP(C31,91:91,92:92)+100</f>
        <v>97</v>
      </c>
      <c r="G31" s="811">
        <v>32</v>
      </c>
      <c r="H31" s="777">
        <f>LOOKUP(G31,91:91,92:92)-LOOKUP(C31,91:91,92:92)+100</f>
        <v>97</v>
      </c>
      <c r="I31" s="811">
        <v>29</v>
      </c>
      <c r="J31" s="777">
        <f>LOOKUP(I31,91:91,92:92)-LOOKUP(C31,91:91,92:92)+100</f>
        <v>97</v>
      </c>
      <c r="K31" s="954"/>
      <c r="L31" s="2347"/>
      <c r="M31" s="2348"/>
      <c r="N31" s="2348"/>
      <c r="O31" s="2348"/>
      <c r="P31" s="3645"/>
      <c r="Q31" s="2829" t="str">
        <f t="shared" si="11"/>
        <v>停车位面积</v>
      </c>
      <c r="R31" s="1318" t="s">
        <v>65</v>
      </c>
      <c r="S31" s="1319">
        <f t="shared" si="12"/>
        <v>97</v>
      </c>
      <c r="T31" s="1318" t="s">
        <v>65</v>
      </c>
      <c r="U31" s="1319">
        <f t="shared" si="13"/>
        <v>97</v>
      </c>
      <c r="V31" s="1318" t="s">
        <v>65</v>
      </c>
      <c r="W31" s="1319">
        <f t="shared" si="14"/>
        <v>97</v>
      </c>
      <c r="X31" s="1320"/>
      <c r="Y31" s="3645"/>
      <c r="Z31" s="344" t="str">
        <f t="shared" si="15"/>
        <v>停车位面积</v>
      </c>
      <c r="AA31" s="1321">
        <f t="shared" si="3"/>
        <v>1.0309278350515463</v>
      </c>
      <c r="AB31" s="1321">
        <f t="shared" si="4"/>
        <v>1.0309278350515463</v>
      </c>
      <c r="AC31" s="1321">
        <f t="shared" si="5"/>
        <v>1.0309278350515463</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5"/>
      <c r="M32" s="2346"/>
      <c r="N32" s="2346"/>
      <c r="O32" s="2346"/>
      <c r="P32" s="3645" t="s">
        <v>409</v>
      </c>
      <c r="Q32" s="2831" t="str">
        <f t="shared" si="11"/>
        <v>车位类型</v>
      </c>
      <c r="R32" s="1323" t="s">
        <v>65</v>
      </c>
      <c r="S32" s="1324">
        <f t="shared" si="12"/>
        <v>100</v>
      </c>
      <c r="T32" s="1323" t="s">
        <v>65</v>
      </c>
      <c r="U32" s="1324">
        <f t="shared" si="13"/>
        <v>100</v>
      </c>
      <c r="V32" s="1323" t="s">
        <v>65</v>
      </c>
      <c r="W32" s="1324">
        <f t="shared" si="14"/>
        <v>100</v>
      </c>
      <c r="X32" s="2830"/>
      <c r="Y32" s="3645" t="s">
        <v>409</v>
      </c>
      <c r="Z32" s="2832" t="str">
        <f t="shared" si="15"/>
        <v>车位类型</v>
      </c>
      <c r="AA32" s="1326">
        <f t="shared" si="3"/>
        <v>1</v>
      </c>
      <c r="AB32" s="1326">
        <f t="shared" si="4"/>
        <v>1</v>
      </c>
      <c r="AC32" s="1326">
        <f t="shared" si="5"/>
        <v>1</v>
      </c>
    </row>
    <row r="33" spans="1:29" ht="15">
      <c r="A33" s="998"/>
      <c r="B33" s="996" t="s">
        <v>466</v>
      </c>
      <c r="C33" s="802" t="s">
        <v>41</v>
      </c>
      <c r="D33" s="777">
        <v>100</v>
      </c>
      <c r="E33" s="802" t="s">
        <v>41</v>
      </c>
      <c r="F33" s="803">
        <f>SUMIF(95:95,E33,96:96)-SUMIF(95:95,C33,96:96)+100</f>
        <v>100</v>
      </c>
      <c r="G33" s="802" t="s">
        <v>41</v>
      </c>
      <c r="H33" s="777">
        <f>SUMIF(95:95,G33,96:96)-SUMIF(95:95,C33,96:96)+100</f>
        <v>100</v>
      </c>
      <c r="I33" s="802" t="s">
        <v>41</v>
      </c>
      <c r="J33" s="777">
        <f>SUMIF(95:95,I33,96:96)-SUMIF(95:95,C33,96:96)+100</f>
        <v>100</v>
      </c>
      <c r="K33" s="954"/>
      <c r="L33" s="2355"/>
      <c r="M33" s="2346"/>
      <c r="N33" s="2346"/>
      <c r="O33" s="2346"/>
      <c r="P33" s="3645"/>
      <c r="Q33" s="2831" t="str">
        <f t="shared" si="11"/>
        <v>是否直接入户</v>
      </c>
      <c r="R33" s="1323" t="s">
        <v>65</v>
      </c>
      <c r="S33" s="1324">
        <f t="shared" si="12"/>
        <v>100</v>
      </c>
      <c r="T33" s="1323" t="s">
        <v>65</v>
      </c>
      <c r="U33" s="1324">
        <f t="shared" si="13"/>
        <v>100</v>
      </c>
      <c r="V33" s="1323" t="s">
        <v>65</v>
      </c>
      <c r="W33" s="1324">
        <f t="shared" si="14"/>
        <v>100</v>
      </c>
      <c r="X33" s="2830"/>
      <c r="Y33" s="3645"/>
      <c r="Z33" s="2832"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5"/>
      <c r="M34" s="2346"/>
      <c r="N34" s="2346"/>
      <c r="O34" s="2346"/>
      <c r="P34" s="3645"/>
      <c r="Q34" s="2831">
        <f t="shared" si="11"/>
        <v>111</v>
      </c>
      <c r="R34" s="1323" t="s">
        <v>65</v>
      </c>
      <c r="S34" s="1324">
        <f t="shared" si="12"/>
        <v>100</v>
      </c>
      <c r="T34" s="1323" t="s">
        <v>65</v>
      </c>
      <c r="U34" s="1324">
        <f t="shared" si="13"/>
        <v>100</v>
      </c>
      <c r="V34" s="1323" t="s">
        <v>65</v>
      </c>
      <c r="W34" s="1324">
        <f t="shared" si="14"/>
        <v>100</v>
      </c>
      <c r="X34" s="2830"/>
      <c r="Y34" s="3645"/>
      <c r="Z34" s="2832">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3"/>
      <c r="M35" s="2356"/>
      <c r="N35" s="2356"/>
      <c r="O35" s="2356"/>
      <c r="P35" s="3645"/>
      <c r="Q35" s="1327">
        <f t="shared" si="11"/>
        <v>111</v>
      </c>
      <c r="R35" s="1328" t="s">
        <v>65</v>
      </c>
      <c r="S35" s="1329">
        <f t="shared" si="12"/>
        <v>100</v>
      </c>
      <c r="T35" s="1328" t="s">
        <v>65</v>
      </c>
      <c r="U35" s="1329">
        <f t="shared" si="13"/>
        <v>100</v>
      </c>
      <c r="V35" s="1328" t="s">
        <v>65</v>
      </c>
      <c r="W35" s="1329">
        <f t="shared" si="14"/>
        <v>100</v>
      </c>
      <c r="X35" s="1330"/>
      <c r="Y35" s="3645"/>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5"/>
      <c r="M36" s="2346"/>
      <c r="N36" s="2346"/>
      <c r="O36" s="2346"/>
      <c r="P36" s="3645"/>
      <c r="Q36" s="2831">
        <f t="shared" si="11"/>
        <v>111</v>
      </c>
      <c r="R36" s="1323" t="s">
        <v>65</v>
      </c>
      <c r="S36" s="1324">
        <f t="shared" si="12"/>
        <v>100</v>
      </c>
      <c r="T36" s="1323" t="s">
        <v>65</v>
      </c>
      <c r="U36" s="1324">
        <f t="shared" si="13"/>
        <v>100</v>
      </c>
      <c r="V36" s="1323" t="s">
        <v>65</v>
      </c>
      <c r="W36" s="1324">
        <f t="shared" si="14"/>
        <v>100</v>
      </c>
      <c r="X36" s="2830"/>
      <c r="Y36" s="3645"/>
      <c r="Z36" s="2832">
        <f t="shared" si="15"/>
        <v>111</v>
      </c>
      <c r="AA36" s="1326">
        <f t="shared" si="3"/>
        <v>1</v>
      </c>
      <c r="AB36" s="1326">
        <f t="shared" si="4"/>
        <v>1</v>
      </c>
      <c r="AC36" s="1326">
        <f t="shared" si="5"/>
        <v>1</v>
      </c>
    </row>
    <row r="37" spans="1:29" ht="15">
      <c r="A37" s="163" t="s">
        <v>2139</v>
      </c>
      <c r="B37" s="2096" t="s">
        <v>2140</v>
      </c>
      <c r="C37" s="2833" t="s">
        <v>23</v>
      </c>
      <c r="D37" s="2834"/>
      <c r="E37" s="2835">
        <v>360000</v>
      </c>
      <c r="F37" s="2836"/>
      <c r="G37" s="2837">
        <v>300000</v>
      </c>
      <c r="H37" s="2838"/>
      <c r="I37" s="2835">
        <v>300000</v>
      </c>
      <c r="J37" s="2838"/>
      <c r="K37" s="961"/>
      <c r="L37" s="2358"/>
      <c r="M37" s="2359"/>
      <c r="N37" s="2346"/>
      <c r="O37" s="2359"/>
      <c r="P37" s="3627" t="str">
        <f>A37</f>
        <v>成交单价</v>
      </c>
      <c r="Q37" s="3627"/>
      <c r="R37" s="3646">
        <f>E37</f>
        <v>360000</v>
      </c>
      <c r="S37" s="3646"/>
      <c r="T37" s="3646">
        <f>G37</f>
        <v>300000</v>
      </c>
      <c r="U37" s="3646"/>
      <c r="V37" s="3646">
        <f>I37</f>
        <v>300000</v>
      </c>
      <c r="W37" s="3646"/>
      <c r="X37" s="1306"/>
      <c r="Y37" s="1332"/>
      <c r="Z37" s="1306"/>
      <c r="AA37" s="1306"/>
      <c r="AB37" s="1306"/>
      <c r="AC37" s="1306"/>
    </row>
    <row r="38" spans="1:29" ht="15.75" thickBot="1">
      <c r="A38" s="828" t="s">
        <v>411</v>
      </c>
      <c r="B38" s="166" t="str">
        <f>B37</f>
        <v>元/车位</v>
      </c>
      <c r="C38" s="2839">
        <f>R39</f>
        <v>335048</v>
      </c>
      <c r="D38" s="2840"/>
      <c r="E38" s="2841">
        <f>R38</f>
        <v>367459</v>
      </c>
      <c r="F38" s="2841"/>
      <c r="G38" s="2839">
        <f>T38</f>
        <v>318842</v>
      </c>
      <c r="H38" s="2840"/>
      <c r="I38" s="2841">
        <f>V38</f>
        <v>318842</v>
      </c>
      <c r="J38" s="2840"/>
      <c r="K38" s="962"/>
      <c r="L38" s="2358"/>
      <c r="M38" s="2359"/>
      <c r="N38" s="2359"/>
      <c r="O38" s="2359"/>
      <c r="P38" s="3627" t="str">
        <f>A38</f>
        <v>比较价值（元/平方米）</v>
      </c>
      <c r="Q38" s="3627"/>
      <c r="R38" s="3646">
        <f>IF(F1="售价",ROUND(PRODUCT(R37,AA7:AA36),0),ROUND(PRODUCT(R37,AA7:AA36),1))</f>
        <v>367459</v>
      </c>
      <c r="S38" s="3646"/>
      <c r="T38" s="3646">
        <f>IF(F1="售价",ROUND(PRODUCT(T37,AB7:AB36),0),ROUND(PRODUCT(T37,AB7:AB36),1))</f>
        <v>318842</v>
      </c>
      <c r="U38" s="3646"/>
      <c r="V38" s="3646">
        <f>IF(F1="售价",ROUND(PRODUCT(V37,AC7:AC36),0),ROUND(PRODUCT(V37,AC7:AC36),1))</f>
        <v>318842</v>
      </c>
      <c r="W38" s="3646"/>
      <c r="X38" s="1306"/>
      <c r="Y38" s="1306"/>
      <c r="Z38" s="1306"/>
      <c r="AA38" s="1306"/>
      <c r="AB38" s="1306"/>
      <c r="AC38" s="1306"/>
    </row>
    <row r="39" spans="1:29" ht="15.75" thickBot="1">
      <c r="A39" s="834" t="s">
        <v>3031</v>
      </c>
      <c r="B39" s="835"/>
      <c r="C39" s="2843">
        <f>R39</f>
        <v>335048</v>
      </c>
      <c r="D39" s="2843"/>
      <c r="E39" s="2843"/>
      <c r="F39" s="2843"/>
      <c r="G39" s="2843"/>
      <c r="H39" s="2843"/>
      <c r="I39" s="2843"/>
      <c r="J39" s="2843"/>
      <c r="K39" s="963"/>
      <c r="L39" s="2358"/>
      <c r="M39" s="2359"/>
      <c r="N39" s="2359"/>
      <c r="O39" s="2359"/>
      <c r="P39" s="3647" t="str">
        <f>A39</f>
        <v>估价对象XX用房的比较价值（楼面单价，元/平方米）</v>
      </c>
      <c r="Q39" s="3648"/>
      <c r="R39" s="3649">
        <f>IF(F1="售价",ROUND(AVERAGE(R38:V38),0),ROUND(AVERAGE(R38:V38),1))</f>
        <v>335048</v>
      </c>
      <c r="S39" s="3649"/>
      <c r="T39" s="3649"/>
      <c r="U39" s="3649"/>
      <c r="V39" s="3649"/>
      <c r="W39" s="3649"/>
      <c r="X39" s="1306"/>
      <c r="Y39" s="1306"/>
      <c r="Z39" s="1306"/>
      <c r="AA39" s="1306"/>
      <c r="AB39" s="1306"/>
      <c r="AC39" s="1306"/>
    </row>
    <row r="40" spans="1:29">
      <c r="A40" s="2359"/>
      <c r="B40" s="2359"/>
      <c r="C40" s="2359"/>
      <c r="D40" s="2359"/>
      <c r="E40" s="2359"/>
      <c r="F40" s="2359"/>
      <c r="G40" s="2362"/>
      <c r="H40" s="2359"/>
      <c r="I40" s="2359"/>
      <c r="J40" s="2359"/>
      <c r="K40" s="2185"/>
      <c r="L40" s="2186"/>
      <c r="M40" s="2359"/>
      <c r="N40" s="2359"/>
      <c r="O40" s="2359"/>
      <c r="P40" s="2846"/>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6"/>
      <c r="Q41" s="2359"/>
      <c r="R41" s="2359"/>
      <c r="S41" s="2359"/>
      <c r="T41" s="2359"/>
      <c r="U41" s="2359"/>
      <c r="V41" s="2359"/>
      <c r="W41" s="2359"/>
      <c r="X41" s="2359"/>
      <c r="Y41" s="2359"/>
      <c r="Z41" s="2359"/>
      <c r="AA41" s="2359"/>
      <c r="AB41" s="2359"/>
      <c r="AC41" s="2359"/>
    </row>
    <row r="42" spans="1:29" ht="13.5" customHeight="1">
      <c r="A42" s="2359"/>
      <c r="B42" s="2359"/>
      <c r="C42" s="839" t="s">
        <v>412</v>
      </c>
      <c r="D42" s="840"/>
      <c r="E42" s="841">
        <f>IF(E37&lt;E38,E38/E37-1,E37/E38-1)</f>
        <v>2.0719444444444512E-2</v>
      </c>
      <c r="F42" s="842" t="str">
        <f>IF(OR(E42&gt;=0.3,E42&lt;=-0.3),"超过30%","")</f>
        <v/>
      </c>
      <c r="G42" s="841">
        <f>IF(G37&lt;G38,G38/G37-1,G37/G38-1)</f>
        <v>6.2806666666666677E-2</v>
      </c>
      <c r="H42" s="842" t="str">
        <f>IF(OR(G42&gt;=0.3,G42&lt;=-0.3),"超过30%","")</f>
        <v/>
      </c>
      <c r="I42" s="841">
        <f>IF(I37&lt;I38,I38/I37-1,I37/I38-1)</f>
        <v>6.2806666666666677E-2</v>
      </c>
      <c r="J42" s="842" t="str">
        <f>IF(OR(I42&gt;=0.3,I42&lt;=-0.3),"超过30%","")</f>
        <v/>
      </c>
      <c r="K42" s="2185"/>
      <c r="L42" s="2186"/>
      <c r="M42" s="2359"/>
      <c r="N42" s="2359"/>
      <c r="O42" s="2359"/>
      <c r="P42" s="2846"/>
      <c r="Q42" s="2359"/>
      <c r="R42" s="2359"/>
      <c r="S42" s="2359"/>
      <c r="T42" s="2359"/>
      <c r="U42" s="2359"/>
      <c r="V42" s="2359"/>
      <c r="W42" s="2359"/>
      <c r="X42" s="2359"/>
      <c r="Y42" s="2359"/>
      <c r="Z42" s="2359"/>
      <c r="AA42" s="2359"/>
      <c r="AB42" s="2359"/>
      <c r="AC42" s="2359"/>
    </row>
    <row r="43" spans="1:29" ht="13.5" customHeight="1">
      <c r="A43" s="2359"/>
      <c r="B43" s="2359"/>
      <c r="C43" s="839" t="s">
        <v>413</v>
      </c>
      <c r="D43" s="843"/>
      <c r="E43" s="841">
        <f>IF(E38&lt;G38,G38/E38-1,E38/G38-1)</f>
        <v>0.15247991168039343</v>
      </c>
      <c r="F43" s="842" t="str">
        <f>IF(OR(E43&gt;=0.2,E43&lt;=-0.2),"超过20%","")</f>
        <v/>
      </c>
      <c r="G43" s="841">
        <f>IF(G38&lt;I38,I38/G38-1,G38/I38-1)</f>
        <v>0</v>
      </c>
      <c r="H43" s="842" t="str">
        <f>IF(OR(G43&gt;=0.2,G43&lt;=-0.2),"超过20%","")</f>
        <v/>
      </c>
      <c r="I43" s="841">
        <f>IF(I38&lt;E38,E38/I38-1,I38/E38-1)</f>
        <v>0.15247991168039343</v>
      </c>
      <c r="J43" s="842" t="str">
        <f>IF(OR(I43&gt;=0.2,I43&lt;=-0.2),"超过20%","")</f>
        <v/>
      </c>
      <c r="K43" s="2185"/>
      <c r="L43" s="2186"/>
      <c r="M43" s="2359"/>
      <c r="N43" s="2359"/>
      <c r="O43" s="2359"/>
      <c r="P43" s="2846"/>
      <c r="Q43" s="2359"/>
      <c r="R43" s="2359"/>
      <c r="S43" s="2359"/>
      <c r="T43" s="2359"/>
      <c r="U43" s="2359"/>
      <c r="V43" s="2359"/>
      <c r="W43" s="2359"/>
      <c r="X43" s="2359"/>
      <c r="Y43" s="2359"/>
      <c r="Z43" s="2359"/>
      <c r="AA43" s="2359"/>
      <c r="AB43" s="2359"/>
      <c r="AC43" s="2359"/>
    </row>
    <row r="44" spans="1:29" s="844" customFormat="1" ht="13.5" customHeight="1">
      <c r="A44" s="2360"/>
      <c r="B44" s="2360"/>
      <c r="C44" s="839" t="s">
        <v>414</v>
      </c>
      <c r="D44" s="843"/>
      <c r="E44" s="841">
        <f>IF(E37&lt;G37,G37/E37-1,E37/G37-1)</f>
        <v>0.19999999999999996</v>
      </c>
      <c r="F44" s="842" t="str">
        <f>IF(OR(E44&gt;=0.3,E44&lt;=-0.3),"超过30%","")</f>
        <v/>
      </c>
      <c r="G44" s="841">
        <f>IF(G37&lt;I37,I37/G37-1,G37/I37-1)</f>
        <v>0</v>
      </c>
      <c r="H44" s="842" t="str">
        <f>IF(OR(G44&gt;=0.3,G44&lt;=-0.3),"超过30%","")</f>
        <v/>
      </c>
      <c r="I44" s="841">
        <f>IF(I37&lt;E37,E37/I37-1,I37/E37-1)</f>
        <v>0.19999999999999996</v>
      </c>
      <c r="J44" s="842" t="str">
        <f>IF(OR(I44&gt;=0.3,I44&lt;=-0.3),"超过30%","")</f>
        <v/>
      </c>
      <c r="K44" s="2363"/>
      <c r="L44" s="2364"/>
      <c r="M44" s="2360"/>
      <c r="N44" s="2360"/>
      <c r="O44" s="2360"/>
      <c r="P44" s="2847"/>
      <c r="Q44" s="2360"/>
      <c r="R44" s="2360"/>
      <c r="S44" s="2360"/>
      <c r="T44" s="2360"/>
      <c r="U44" s="2360"/>
      <c r="V44" s="2360"/>
      <c r="W44" s="2360"/>
      <c r="X44" s="2360"/>
      <c r="Y44" s="2360"/>
      <c r="Z44" s="2360"/>
      <c r="AA44" s="2360"/>
      <c r="AB44" s="2360"/>
      <c r="AC44" s="2360"/>
    </row>
    <row r="45" spans="1:29" s="844" customFormat="1">
      <c r="A45" s="2360"/>
      <c r="B45" s="2361"/>
      <c r="C45" s="2365"/>
      <c r="D45" s="2360"/>
      <c r="E45" s="2360"/>
      <c r="F45" s="2360"/>
      <c r="G45" s="2360"/>
      <c r="H45" s="2360"/>
      <c r="I45" s="2360"/>
      <c r="J45" s="2360"/>
      <c r="K45" s="2363"/>
      <c r="L45" s="2364"/>
      <c r="M45" s="2360"/>
      <c r="N45" s="2360"/>
      <c r="O45" s="2360"/>
      <c r="P45" s="2847"/>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6"/>
      <c r="Q46" s="2359"/>
      <c r="R46" s="2359"/>
      <c r="S46" s="2359"/>
      <c r="T46" s="2359"/>
      <c r="U46" s="2359"/>
      <c r="V46" s="2359"/>
      <c r="W46" s="2359"/>
      <c r="X46" s="2359"/>
      <c r="Y46" s="2359"/>
      <c r="Z46" s="2359"/>
      <c r="AA46" s="2359"/>
      <c r="AB46" s="2359"/>
      <c r="AC46" s="2359"/>
    </row>
    <row r="47" spans="1:29" ht="21.75" thickBot="1">
      <c r="A47" s="2850" t="s">
        <v>415</v>
      </c>
      <c r="B47" s="2359"/>
      <c r="C47" s="2375"/>
      <c r="D47" s="2375"/>
      <c r="E47" s="2375"/>
      <c r="F47" s="2851"/>
      <c r="G47" s="2851"/>
      <c r="H47" s="2375"/>
      <c r="I47" s="2375"/>
      <c r="J47" s="2375"/>
      <c r="K47" s="2376"/>
      <c r="L47" s="2377"/>
      <c r="M47" s="2375"/>
      <c r="N47" s="2375"/>
      <c r="O47" s="2375"/>
      <c r="P47" s="2848"/>
      <c r="Q47" s="2849"/>
      <c r="R47" s="2359"/>
      <c r="S47" s="2359"/>
      <c r="T47" s="2359"/>
      <c r="U47" s="2359"/>
      <c r="V47" s="2359"/>
      <c r="W47" s="2359"/>
      <c r="X47" s="2359"/>
      <c r="Y47" s="2359"/>
      <c r="Z47" s="2359"/>
      <c r="AA47" s="2359"/>
      <c r="AB47" s="2359"/>
      <c r="AC47" s="2359"/>
    </row>
    <row r="48" spans="1:29" s="850" customFormat="1" ht="15">
      <c r="A48" s="847" t="s">
        <v>2800</v>
      </c>
      <c r="B48" s="848"/>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4"/>
      <c r="Q48" s="2865"/>
      <c r="R48" s="2865"/>
      <c r="S48" s="2865"/>
      <c r="T48" s="2865"/>
      <c r="U48" s="2865"/>
      <c r="V48" s="2865"/>
      <c r="W48" s="2865"/>
      <c r="X48" s="2865"/>
      <c r="Y48" s="2865"/>
      <c r="Z48" s="2865"/>
      <c r="AA48" s="2865"/>
      <c r="AB48" s="2865"/>
      <c r="AC48" s="2865"/>
    </row>
    <row r="49" spans="1:29" s="407" customFormat="1" ht="15">
      <c r="A49" s="851"/>
      <c r="B49" s="852"/>
      <c r="C49" s="3031">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7" customFormat="1" ht="15.75" thickBot="1">
      <c r="A50" s="857" t="s">
        <v>416</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7" customFormat="1" ht="15">
      <c r="A51" s="863" t="s">
        <v>400</v>
      </c>
      <c r="B51" s="852"/>
      <c r="C51" s="864" t="s">
        <v>417</v>
      </c>
      <c r="D51" s="865"/>
      <c r="E51" s="865"/>
      <c r="F51" s="865"/>
      <c r="G51" s="865"/>
      <c r="H51" s="865"/>
      <c r="I51" s="865"/>
      <c r="J51" s="865"/>
      <c r="K51" s="865"/>
      <c r="L51" s="866"/>
      <c r="M51" s="867"/>
      <c r="N51" s="2366"/>
      <c r="O51" s="2366"/>
      <c r="P51" s="2852"/>
      <c r="Q51" s="2849"/>
      <c r="R51" s="2853"/>
      <c r="S51" s="2853"/>
      <c r="T51" s="2853"/>
      <c r="U51" s="2853"/>
      <c r="V51" s="2853"/>
      <c r="W51" s="2853"/>
      <c r="X51" s="2853"/>
      <c r="Y51" s="2853"/>
      <c r="Z51" s="2853"/>
      <c r="AA51" s="2853"/>
      <c r="AB51" s="2853"/>
      <c r="AC51" s="2853"/>
    </row>
    <row r="52" spans="1:29" s="407" customFormat="1" ht="15.75" thickBot="1">
      <c r="A52" s="863"/>
      <c r="B52" s="852"/>
      <c r="C52" s="981">
        <v>100</v>
      </c>
      <c r="D52" s="854"/>
      <c r="E52" s="854"/>
      <c r="F52" s="854"/>
      <c r="G52" s="854"/>
      <c r="H52" s="854"/>
      <c r="I52" s="854"/>
      <c r="J52" s="854"/>
      <c r="K52" s="854"/>
      <c r="L52" s="854"/>
      <c r="M52" s="856"/>
      <c r="N52" s="2366"/>
      <c r="O52" s="2366"/>
      <c r="P52" s="2854"/>
      <c r="Q52" s="2849"/>
      <c r="R52" s="2853"/>
      <c r="S52" s="2853"/>
      <c r="T52" s="2853"/>
      <c r="U52" s="2853"/>
      <c r="V52" s="2853"/>
      <c r="W52" s="2853"/>
      <c r="X52" s="2853"/>
      <c r="Y52" s="2853"/>
      <c r="Z52" s="2853"/>
      <c r="AA52" s="2853"/>
      <c r="AB52" s="2853"/>
      <c r="AC52" s="2853"/>
    </row>
    <row r="53" spans="1:29">
      <c r="A53" s="869" t="s">
        <v>418</v>
      </c>
      <c r="B53" s="870" t="s">
        <v>419</v>
      </c>
      <c r="C53" s="871" t="str">
        <f>C9</f>
        <v>车库</v>
      </c>
      <c r="D53" s="872"/>
      <c r="E53" s="872"/>
      <c r="F53" s="872"/>
      <c r="G53" s="872"/>
      <c r="H53" s="872"/>
      <c r="I53" s="872"/>
      <c r="J53" s="872"/>
      <c r="K53" s="873"/>
      <c r="L53" s="874"/>
      <c r="M53" s="875"/>
      <c r="N53" s="2367"/>
      <c r="O53" s="2367"/>
      <c r="P53" s="2855"/>
      <c r="Q53" s="2849"/>
      <c r="R53" s="2359"/>
      <c r="S53" s="2359"/>
      <c r="T53" s="2359"/>
      <c r="U53" s="2359"/>
      <c r="V53" s="2359"/>
      <c r="W53" s="2359"/>
      <c r="X53" s="2359"/>
      <c r="Y53" s="2359"/>
      <c r="Z53" s="2359"/>
      <c r="AA53" s="2359"/>
      <c r="AB53" s="2359"/>
      <c r="AC53" s="2359"/>
    </row>
    <row r="54" spans="1:29" ht="15.75" thickBot="1">
      <c r="A54" s="876"/>
      <c r="B54" s="877"/>
      <c r="C54" s="878">
        <v>100</v>
      </c>
      <c r="D54" s="878"/>
      <c r="E54" s="878"/>
      <c r="F54" s="878"/>
      <c r="G54" s="878"/>
      <c r="H54" s="878"/>
      <c r="I54" s="878"/>
      <c r="J54" s="878"/>
      <c r="K54" s="878"/>
      <c r="L54" s="878"/>
      <c r="M54" s="879"/>
      <c r="N54" s="2368"/>
      <c r="O54" s="2368"/>
      <c r="P54" s="2855"/>
      <c r="Q54" s="2849"/>
      <c r="R54" s="2359"/>
      <c r="S54" s="2359"/>
      <c r="T54" s="2359"/>
      <c r="U54" s="2359"/>
      <c r="V54" s="2359"/>
      <c r="W54" s="2359"/>
      <c r="X54" s="2359"/>
      <c r="Y54" s="2359"/>
      <c r="Z54" s="2359"/>
      <c r="AA54" s="2359"/>
      <c r="AB54" s="2359"/>
      <c r="AC54" s="2359"/>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7"/>
      <c r="O55" s="2367"/>
      <c r="P55" s="2855"/>
      <c r="Q55" s="2849"/>
      <c r="R55" s="2359"/>
      <c r="S55" s="2359"/>
      <c r="T55" s="2359"/>
      <c r="U55" s="2359"/>
      <c r="V55" s="2359"/>
      <c r="W55" s="2359"/>
      <c r="X55" s="2359"/>
      <c r="Y55" s="2359"/>
      <c r="Z55" s="2359"/>
      <c r="AA55" s="2359"/>
      <c r="AB55" s="2359"/>
      <c r="AC55" s="2359"/>
    </row>
    <row r="56" spans="1:29" ht="15.75" thickBot="1">
      <c r="A56" s="876"/>
      <c r="B56" s="885"/>
      <c r="C56" s="886" t="s">
        <v>138</v>
      </c>
      <c r="D56" s="886" t="s">
        <v>139</v>
      </c>
      <c r="E56" s="886">
        <v>100</v>
      </c>
      <c r="F56" s="886">
        <f>E56-$K10</f>
        <v>98</v>
      </c>
      <c r="G56" s="886">
        <f>F56-$K10</f>
        <v>96</v>
      </c>
      <c r="H56" s="886">
        <f>G56-$K10</f>
        <v>94</v>
      </c>
      <c r="I56" s="886">
        <f>H56-$K10</f>
        <v>92</v>
      </c>
      <c r="J56" s="886"/>
      <c r="K56" s="886"/>
      <c r="L56" s="886"/>
      <c r="M56" s="887"/>
      <c r="N56" s="2368"/>
      <c r="O56" s="2368"/>
      <c r="P56" s="2855"/>
      <c r="Q56" s="2849"/>
      <c r="R56" s="2359"/>
      <c r="S56" s="2359"/>
      <c r="T56" s="2359"/>
      <c r="U56" s="2359"/>
      <c r="V56" s="2359"/>
      <c r="W56" s="2359"/>
      <c r="X56" s="2359"/>
      <c r="Y56" s="2359"/>
      <c r="Z56" s="2359"/>
      <c r="AA56" s="2359"/>
      <c r="AB56" s="2359"/>
      <c r="AC56" s="2359"/>
    </row>
    <row r="57" spans="1:29" ht="15.75" thickTop="1">
      <c r="A57" s="876"/>
      <c r="B57" s="1002">
        <f>B11</f>
        <v>111</v>
      </c>
      <c r="C57" s="891"/>
      <c r="D57" s="891"/>
      <c r="E57" s="891"/>
      <c r="F57" s="891"/>
      <c r="G57" s="891"/>
      <c r="H57" s="891"/>
      <c r="I57" s="891"/>
      <c r="J57" s="891"/>
      <c r="K57" s="892"/>
      <c r="L57" s="893"/>
      <c r="M57" s="894"/>
      <c r="N57" s="2367"/>
      <c r="O57" s="2367"/>
      <c r="P57" s="2855"/>
      <c r="Q57" s="2849"/>
      <c r="R57" s="2359"/>
      <c r="S57" s="2359"/>
      <c r="T57" s="2359"/>
      <c r="U57" s="2359"/>
      <c r="V57" s="2359"/>
      <c r="W57" s="2359"/>
      <c r="X57" s="2359"/>
      <c r="Y57" s="2359"/>
      <c r="Z57" s="2359"/>
      <c r="AA57" s="2359"/>
      <c r="AB57" s="2359"/>
      <c r="AC57" s="2359"/>
    </row>
    <row r="58" spans="1:29" ht="15.75" thickBot="1">
      <c r="A58" s="876"/>
      <c r="B58" s="877"/>
      <c r="C58" s="902"/>
      <c r="D58" s="878"/>
      <c r="E58" s="878"/>
      <c r="F58" s="878"/>
      <c r="G58" s="878"/>
      <c r="H58" s="878"/>
      <c r="I58" s="878"/>
      <c r="J58" s="878"/>
      <c r="K58" s="878"/>
      <c r="L58" s="878"/>
      <c r="M58" s="879"/>
      <c r="N58" s="2368"/>
      <c r="O58" s="2368"/>
      <c r="P58" s="2855"/>
      <c r="Q58" s="2849"/>
      <c r="R58" s="2359"/>
      <c r="S58" s="2359"/>
      <c r="T58" s="2359"/>
      <c r="U58" s="2359"/>
      <c r="V58" s="2359"/>
      <c r="W58" s="2359"/>
      <c r="X58" s="2359"/>
      <c r="Y58" s="2359"/>
      <c r="Z58" s="2359"/>
      <c r="AA58" s="2359"/>
      <c r="AB58" s="2359"/>
      <c r="AC58" s="2359"/>
    </row>
    <row r="59" spans="1:29" s="813" customFormat="1" ht="15.75" thickTop="1">
      <c r="A59" s="895"/>
      <c r="B59" s="880">
        <f>B12</f>
        <v>111</v>
      </c>
      <c r="C59" s="891"/>
      <c r="D59" s="891"/>
      <c r="E59" s="891"/>
      <c r="F59" s="891"/>
      <c r="G59" s="896"/>
      <c r="H59" s="897"/>
      <c r="I59" s="897"/>
      <c r="J59" s="897"/>
      <c r="K59" s="897"/>
      <c r="L59" s="898"/>
      <c r="M59" s="899"/>
      <c r="N59" s="2369"/>
      <c r="O59" s="2369"/>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68"/>
      <c r="O60" s="2368"/>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69"/>
      <c r="O61" s="2369"/>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69"/>
      <c r="O62" s="2369"/>
      <c r="P62" s="2856"/>
      <c r="Q62" s="2857"/>
      <c r="R62" s="2858"/>
      <c r="S62" s="2858"/>
      <c r="T62" s="2858"/>
      <c r="U62" s="2858"/>
      <c r="V62" s="2858"/>
      <c r="W62" s="2858"/>
      <c r="X62" s="2858"/>
      <c r="Y62" s="2858"/>
      <c r="Z62" s="2858"/>
      <c r="AA62" s="2858"/>
      <c r="AB62" s="2858"/>
      <c r="AC62" s="2858"/>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7"/>
      <c r="O63" s="2367"/>
      <c r="P63" s="2861"/>
      <c r="Q63" s="2849"/>
      <c r="R63" s="2359"/>
      <c r="S63" s="2359"/>
      <c r="T63" s="2359"/>
      <c r="U63" s="2359"/>
      <c r="V63" s="2359"/>
      <c r="W63" s="2359"/>
      <c r="X63" s="2359"/>
      <c r="Y63" s="2359"/>
      <c r="Z63" s="2359"/>
      <c r="AA63" s="2359"/>
      <c r="AB63" s="2359"/>
      <c r="AC63" s="2359"/>
    </row>
    <row r="64" spans="1:29" ht="15.75" thickBot="1">
      <c r="A64" s="876"/>
      <c r="B64" s="885"/>
      <c r="C64" s="886">
        <v>100</v>
      </c>
      <c r="D64" s="886">
        <f>C64-$K14</f>
        <v>97</v>
      </c>
      <c r="E64" s="886">
        <f>D64-$K14</f>
        <v>94</v>
      </c>
      <c r="F64" s="886">
        <f>E64-$K14</f>
        <v>91</v>
      </c>
      <c r="G64" s="886">
        <f>F64-$K14</f>
        <v>88</v>
      </c>
      <c r="H64" s="886"/>
      <c r="I64" s="886"/>
      <c r="J64" s="886"/>
      <c r="K64" s="886"/>
      <c r="L64" s="886"/>
      <c r="M64" s="887"/>
      <c r="N64" s="2368"/>
      <c r="O64" s="2368"/>
      <c r="P64" s="2855"/>
      <c r="Q64" s="2849"/>
      <c r="R64" s="2359"/>
      <c r="S64" s="2359"/>
      <c r="T64" s="2359"/>
      <c r="U64" s="2359"/>
      <c r="V64" s="2359"/>
      <c r="W64" s="2359"/>
      <c r="X64" s="2359"/>
      <c r="Y64" s="2359"/>
      <c r="Z64" s="2359"/>
      <c r="AA64" s="2359"/>
      <c r="AB64" s="2359"/>
      <c r="AC64" s="2359"/>
    </row>
    <row r="65" spans="1:29" ht="15.75" thickTop="1">
      <c r="A65" s="876"/>
      <c r="B65" s="1053" t="s">
        <v>2643</v>
      </c>
      <c r="C65" s="920" t="s">
        <v>425</v>
      </c>
      <c r="D65" s="920" t="s">
        <v>426</v>
      </c>
      <c r="E65" s="920" t="s">
        <v>427</v>
      </c>
      <c r="F65" s="920" t="s">
        <v>428</v>
      </c>
      <c r="G65" s="920" t="s">
        <v>429</v>
      </c>
      <c r="H65" s="881"/>
      <c r="I65" s="881"/>
      <c r="J65" s="881"/>
      <c r="K65" s="882"/>
      <c r="L65" s="883"/>
      <c r="M65" s="884"/>
      <c r="N65" s="2367"/>
      <c r="O65" s="2367"/>
      <c r="P65" s="2855"/>
      <c r="Q65" s="2849"/>
      <c r="R65" s="2359"/>
      <c r="S65" s="2359"/>
      <c r="T65" s="2359"/>
      <c r="U65" s="2359"/>
      <c r="V65" s="2359"/>
      <c r="W65" s="2359"/>
      <c r="X65" s="2359"/>
      <c r="Y65" s="2359"/>
      <c r="Z65" s="2359"/>
      <c r="AA65" s="2359"/>
      <c r="AB65" s="2359"/>
      <c r="AC65" s="2359"/>
    </row>
    <row r="66" spans="1:29" ht="15.75" thickBot="1">
      <c r="A66" s="876"/>
      <c r="B66" s="885"/>
      <c r="C66" s="886">
        <v>100</v>
      </c>
      <c r="D66" s="886">
        <f>C66-$K16</f>
        <v>98</v>
      </c>
      <c r="E66" s="886">
        <f>D66-$K16</f>
        <v>96</v>
      </c>
      <c r="F66" s="886">
        <f>E66-$K16</f>
        <v>94</v>
      </c>
      <c r="G66" s="886">
        <f>F66-$K16</f>
        <v>92</v>
      </c>
      <c r="H66" s="886"/>
      <c r="I66" s="886"/>
      <c r="J66" s="886"/>
      <c r="K66" s="886"/>
      <c r="L66" s="886"/>
      <c r="M66" s="887"/>
      <c r="N66" s="2368"/>
      <c r="O66" s="2368"/>
      <c r="P66" s="2855"/>
      <c r="Q66" s="2849"/>
      <c r="R66" s="2359"/>
      <c r="S66" s="2359"/>
      <c r="T66" s="2359"/>
      <c r="U66" s="2359"/>
      <c r="V66" s="2359"/>
      <c r="W66" s="2359"/>
      <c r="X66" s="2359"/>
      <c r="Y66" s="2359"/>
      <c r="Z66" s="2359"/>
      <c r="AA66" s="2359"/>
      <c r="AB66" s="2359"/>
      <c r="AC66" s="2359"/>
    </row>
    <row r="67" spans="1:29" ht="15.75" thickTop="1">
      <c r="A67" s="876"/>
      <c r="B67" s="1055" t="s">
        <v>2673</v>
      </c>
      <c r="C67" s="213" t="s">
        <v>2663</v>
      </c>
      <c r="D67" s="213" t="s">
        <v>2664</v>
      </c>
      <c r="E67" s="213" t="s">
        <v>2665</v>
      </c>
      <c r="F67" s="213" t="s">
        <v>2666</v>
      </c>
      <c r="G67" s="213" t="s">
        <v>2667</v>
      </c>
      <c r="H67" s="881"/>
      <c r="I67" s="881"/>
      <c r="J67" s="881"/>
      <c r="K67" s="881"/>
      <c r="L67" s="881"/>
      <c r="M67" s="2762"/>
      <c r="N67" s="2368"/>
      <c r="O67" s="2368"/>
      <c r="P67" s="2855"/>
      <c r="Q67" s="2849"/>
      <c r="R67" s="2359"/>
      <c r="S67" s="2359"/>
      <c r="T67" s="2359"/>
      <c r="U67" s="2359"/>
      <c r="V67" s="2359"/>
      <c r="W67" s="2359"/>
      <c r="X67" s="2359"/>
      <c r="Y67" s="2359"/>
      <c r="Z67" s="2359"/>
      <c r="AA67" s="2359"/>
      <c r="AB67" s="2359"/>
      <c r="AC67" s="2359"/>
    </row>
    <row r="68" spans="1:29" ht="15.75" thickBot="1">
      <c r="A68" s="876"/>
      <c r="B68" s="888"/>
      <c r="C68" s="886">
        <v>100</v>
      </c>
      <c r="D68" s="886">
        <f>C68-$K18</f>
        <v>98</v>
      </c>
      <c r="E68" s="886">
        <f>D68-$K18</f>
        <v>96</v>
      </c>
      <c r="F68" s="886">
        <f>E68-$K18</f>
        <v>94</v>
      </c>
      <c r="G68" s="886">
        <f>F68-$K18</f>
        <v>92</v>
      </c>
      <c r="H68" s="1002"/>
      <c r="I68" s="1002"/>
      <c r="J68" s="1002"/>
      <c r="K68" s="1002"/>
      <c r="L68" s="1002"/>
      <c r="M68" s="792"/>
      <c r="N68" s="2368"/>
      <c r="O68" s="2368"/>
      <c r="P68" s="2855"/>
      <c r="Q68" s="2849"/>
      <c r="R68" s="2359"/>
      <c r="S68" s="2359"/>
      <c r="T68" s="2359"/>
      <c r="U68" s="2359"/>
      <c r="V68" s="2359"/>
      <c r="W68" s="2359"/>
      <c r="X68" s="2359"/>
      <c r="Y68" s="2359"/>
      <c r="Z68" s="2359"/>
      <c r="AA68" s="2359"/>
      <c r="AB68" s="2359"/>
      <c r="AC68" s="2359"/>
    </row>
    <row r="69" spans="1:29" ht="15.75" thickTop="1">
      <c r="A69" s="876"/>
      <c r="B69" s="880" t="s">
        <v>432</v>
      </c>
      <c r="C69" s="920" t="s">
        <v>425</v>
      </c>
      <c r="D69" s="920" t="s">
        <v>426</v>
      </c>
      <c r="E69" s="920" t="s">
        <v>427</v>
      </c>
      <c r="F69" s="920" t="s">
        <v>428</v>
      </c>
      <c r="G69" s="920" t="s">
        <v>429</v>
      </c>
      <c r="H69" s="881"/>
      <c r="I69" s="881"/>
      <c r="J69" s="881"/>
      <c r="K69" s="882"/>
      <c r="L69" s="883"/>
      <c r="M69" s="884"/>
      <c r="N69" s="2367"/>
      <c r="O69" s="2367"/>
      <c r="P69" s="2855"/>
      <c r="Q69" s="2849"/>
      <c r="R69" s="2359"/>
      <c r="S69" s="2359"/>
      <c r="T69" s="2359"/>
      <c r="U69" s="2359"/>
      <c r="V69" s="2359"/>
      <c r="W69" s="2359"/>
      <c r="X69" s="2359"/>
      <c r="Y69" s="2359"/>
      <c r="Z69" s="2359"/>
      <c r="AA69" s="2359"/>
      <c r="AB69" s="2359"/>
      <c r="AC69" s="2359"/>
    </row>
    <row r="70" spans="1:29" ht="15.75" thickBot="1">
      <c r="A70" s="876"/>
      <c r="B70" s="885"/>
      <c r="C70" s="886">
        <v>100</v>
      </c>
      <c r="D70" s="886">
        <f>C70-$K20</f>
        <v>98</v>
      </c>
      <c r="E70" s="886">
        <f>D70-$K20</f>
        <v>96</v>
      </c>
      <c r="F70" s="886">
        <f>E70-$K20</f>
        <v>94</v>
      </c>
      <c r="G70" s="886">
        <f>F70-$K20</f>
        <v>92</v>
      </c>
      <c r="H70" s="886"/>
      <c r="I70" s="886"/>
      <c r="J70" s="886"/>
      <c r="K70" s="886"/>
      <c r="L70" s="886"/>
      <c r="M70" s="887"/>
      <c r="N70" s="2368"/>
      <c r="O70" s="2368"/>
      <c r="P70" s="2855"/>
      <c r="Q70" s="2849"/>
      <c r="R70" s="2359"/>
      <c r="S70" s="2359"/>
      <c r="T70" s="2359"/>
      <c r="U70" s="2359"/>
      <c r="V70" s="2359"/>
      <c r="W70" s="2359"/>
      <c r="X70" s="2359"/>
      <c r="Y70" s="2359"/>
      <c r="Z70" s="2359"/>
      <c r="AA70" s="2359"/>
      <c r="AB70" s="2359"/>
      <c r="AC70" s="2359"/>
    </row>
    <row r="71" spans="1:29" ht="15.75" thickTop="1">
      <c r="A71" s="876"/>
      <c r="B71" s="880" t="s">
        <v>433</v>
      </c>
      <c r="C71" s="3413" t="s">
        <v>3698</v>
      </c>
      <c r="D71" s="3413" t="s">
        <v>3700</v>
      </c>
      <c r="E71" s="896"/>
      <c r="F71" s="896"/>
      <c r="G71" s="896"/>
      <c r="H71" s="925"/>
      <c r="I71" s="925"/>
      <c r="J71" s="925"/>
      <c r="K71" s="926"/>
      <c r="L71" s="927"/>
      <c r="M71" s="928"/>
      <c r="N71" s="2367"/>
      <c r="O71" s="2367"/>
      <c r="P71" s="2855"/>
      <c r="Q71" s="2849"/>
      <c r="R71" s="2359"/>
      <c r="S71" s="2359"/>
      <c r="T71" s="2359"/>
      <c r="U71" s="2359"/>
      <c r="V71" s="2359"/>
      <c r="W71" s="2359"/>
      <c r="X71" s="2359"/>
      <c r="Y71" s="2359"/>
      <c r="Z71" s="2359"/>
      <c r="AA71" s="2359"/>
      <c r="AB71" s="2359"/>
      <c r="AC71" s="2359"/>
    </row>
    <row r="72" spans="1:29" ht="15.75" thickBot="1">
      <c r="A72" s="876"/>
      <c r="B72" s="885"/>
      <c r="C72" s="886">
        <v>100</v>
      </c>
      <c r="D72" s="886">
        <f>C72-$K22</f>
        <v>99</v>
      </c>
      <c r="E72" s="886">
        <f>D72-$K22</f>
        <v>98</v>
      </c>
      <c r="F72" s="886">
        <f>E72-$K22</f>
        <v>97</v>
      </c>
      <c r="G72" s="886">
        <f>F72-$K22</f>
        <v>96</v>
      </c>
      <c r="H72" s="886"/>
      <c r="I72" s="886"/>
      <c r="J72" s="886"/>
      <c r="K72" s="886"/>
      <c r="L72" s="886"/>
      <c r="M72" s="887"/>
      <c r="N72" s="2368"/>
      <c r="O72" s="2368"/>
      <c r="P72" s="2855"/>
      <c r="Q72" s="2849"/>
      <c r="R72" s="2359"/>
      <c r="S72" s="2359"/>
      <c r="T72" s="2359"/>
      <c r="U72" s="2359"/>
      <c r="V72" s="2359"/>
      <c r="W72" s="2359"/>
      <c r="X72" s="2359"/>
      <c r="Y72" s="2359"/>
      <c r="Z72" s="2359"/>
      <c r="AA72" s="2359"/>
      <c r="AB72" s="2359"/>
      <c r="AC72" s="2359"/>
    </row>
    <row r="73" spans="1:29" s="407" customFormat="1" ht="15.75" thickTop="1">
      <c r="A73" s="921"/>
      <c r="B73" s="880">
        <f>B23</f>
        <v>111</v>
      </c>
      <c r="C73" s="891"/>
      <c r="D73" s="891"/>
      <c r="E73" s="891"/>
      <c r="F73" s="891"/>
      <c r="G73" s="896"/>
      <c r="H73" s="896"/>
      <c r="I73" s="896"/>
      <c r="J73" s="896"/>
      <c r="K73" s="896"/>
      <c r="L73" s="922"/>
      <c r="M73" s="923"/>
      <c r="N73" s="2366"/>
      <c r="O73" s="2366"/>
      <c r="P73" s="2855"/>
      <c r="Q73" s="2849"/>
      <c r="R73" s="2853"/>
      <c r="S73" s="2853"/>
      <c r="T73" s="2853"/>
      <c r="U73" s="2853"/>
      <c r="V73" s="2853"/>
      <c r="W73" s="2853"/>
      <c r="X73" s="2853"/>
      <c r="Y73" s="2853"/>
      <c r="Z73" s="2853"/>
      <c r="AA73" s="2853"/>
      <c r="AB73" s="2853"/>
      <c r="AC73" s="2853"/>
    </row>
    <row r="74" spans="1:29" s="407" customFormat="1" ht="15.75" thickBot="1">
      <c r="A74" s="921"/>
      <c r="B74" s="885"/>
      <c r="C74" s="902"/>
      <c r="D74" s="878"/>
      <c r="E74" s="878"/>
      <c r="F74" s="878"/>
      <c r="G74" s="878"/>
      <c r="H74" s="878"/>
      <c r="I74" s="878"/>
      <c r="J74" s="878"/>
      <c r="K74" s="878"/>
      <c r="L74" s="878"/>
      <c r="M74" s="879"/>
      <c r="N74" s="2368"/>
      <c r="O74" s="2368"/>
      <c r="P74" s="2855"/>
      <c r="Q74" s="2849"/>
      <c r="R74" s="2853"/>
      <c r="S74" s="2853"/>
      <c r="T74" s="2853"/>
      <c r="U74" s="2853"/>
      <c r="V74" s="2853"/>
      <c r="W74" s="2853"/>
      <c r="X74" s="2853"/>
      <c r="Y74" s="2853"/>
      <c r="Z74" s="2853"/>
      <c r="AA74" s="2853"/>
      <c r="AB74" s="2853"/>
      <c r="AC74" s="2853"/>
    </row>
    <row r="75" spans="1:29" s="407" customFormat="1" ht="15.75" thickTop="1">
      <c r="A75" s="921"/>
      <c r="B75" s="880">
        <f>B24</f>
        <v>111</v>
      </c>
      <c r="C75" s="891"/>
      <c r="D75" s="891"/>
      <c r="E75" s="891"/>
      <c r="F75" s="891"/>
      <c r="G75" s="896"/>
      <c r="H75" s="896"/>
      <c r="I75" s="896"/>
      <c r="J75" s="896"/>
      <c r="K75" s="896"/>
      <c r="L75" s="896"/>
      <c r="M75" s="923"/>
      <c r="N75" s="2366"/>
      <c r="O75" s="2366"/>
      <c r="P75" s="2855"/>
      <c r="Q75" s="2849"/>
      <c r="R75" s="2853"/>
      <c r="S75" s="2853"/>
      <c r="T75" s="2853"/>
      <c r="U75" s="2853"/>
      <c r="V75" s="2853"/>
      <c r="W75" s="2853"/>
      <c r="X75" s="2853"/>
      <c r="Y75" s="2853"/>
      <c r="Z75" s="2853"/>
      <c r="AA75" s="2853"/>
      <c r="AB75" s="2853"/>
      <c r="AC75" s="2853"/>
    </row>
    <row r="76" spans="1:29" s="407" customFormat="1" ht="15.75" thickBot="1">
      <c r="A76" s="921"/>
      <c r="B76" s="885"/>
      <c r="C76" s="902"/>
      <c r="D76" s="878"/>
      <c r="E76" s="878"/>
      <c r="F76" s="878"/>
      <c r="G76" s="878"/>
      <c r="H76" s="878"/>
      <c r="I76" s="878"/>
      <c r="J76" s="878"/>
      <c r="K76" s="878"/>
      <c r="L76" s="878"/>
      <c r="M76" s="879"/>
      <c r="N76" s="2368"/>
      <c r="O76" s="2368"/>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69"/>
      <c r="O77" s="2369"/>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69"/>
      <c r="O78" s="2369"/>
      <c r="P78" s="2856"/>
      <c r="Q78" s="2857"/>
      <c r="R78" s="2858"/>
      <c r="S78" s="2858"/>
      <c r="T78" s="2858"/>
      <c r="U78" s="2858"/>
      <c r="V78" s="2858"/>
      <c r="W78" s="2858"/>
      <c r="X78" s="2858"/>
      <c r="Y78" s="2858"/>
      <c r="Z78" s="2858"/>
      <c r="AA78" s="2858"/>
      <c r="AB78" s="2858"/>
      <c r="AC78" s="2858"/>
    </row>
    <row r="79" spans="1:29" ht="27.75" thickTop="1">
      <c r="A79" s="869" t="s">
        <v>408</v>
      </c>
      <c r="B79" s="870" t="s">
        <v>467</v>
      </c>
      <c r="C79" s="871" t="str">
        <f>C26</f>
        <v>商业</v>
      </c>
      <c r="D79" s="3414" t="s">
        <v>3702</v>
      </c>
      <c r="E79" s="872"/>
      <c r="F79" s="872"/>
      <c r="G79" s="872"/>
      <c r="H79" s="872"/>
      <c r="I79" s="872"/>
      <c r="J79" s="872"/>
      <c r="K79" s="873"/>
      <c r="L79" s="874"/>
      <c r="M79" s="875"/>
      <c r="N79" s="2367"/>
      <c r="O79" s="2367"/>
      <c r="P79" s="2855"/>
      <c r="Q79" s="2849"/>
      <c r="R79" s="2359"/>
      <c r="S79" s="2359"/>
      <c r="T79" s="2359"/>
      <c r="U79" s="2359"/>
      <c r="V79" s="2359"/>
      <c r="W79" s="2359"/>
      <c r="X79" s="2359"/>
      <c r="Y79" s="2359"/>
      <c r="Z79" s="2359"/>
      <c r="AA79" s="2359"/>
      <c r="AB79" s="2359"/>
      <c r="AC79" s="2359"/>
    </row>
    <row r="80" spans="1:29" ht="15.75" thickBot="1">
      <c r="A80" s="876"/>
      <c r="B80" s="885"/>
      <c r="C80" s="886">
        <v>100</v>
      </c>
      <c r="D80" s="886">
        <f t="shared" ref="D80:M80" si="17">C80-$K26</f>
        <v>98</v>
      </c>
      <c r="E80" s="886">
        <f t="shared" si="17"/>
        <v>96</v>
      </c>
      <c r="F80" s="886">
        <f t="shared" si="17"/>
        <v>94</v>
      </c>
      <c r="G80" s="886">
        <f t="shared" si="17"/>
        <v>92</v>
      </c>
      <c r="H80" s="886">
        <f t="shared" si="17"/>
        <v>90</v>
      </c>
      <c r="I80" s="886">
        <f t="shared" si="17"/>
        <v>88</v>
      </c>
      <c r="J80" s="886">
        <f t="shared" si="17"/>
        <v>86</v>
      </c>
      <c r="K80" s="886">
        <f t="shared" si="17"/>
        <v>84</v>
      </c>
      <c r="L80" s="886">
        <f t="shared" si="17"/>
        <v>82</v>
      </c>
      <c r="M80" s="887">
        <f t="shared" si="17"/>
        <v>80</v>
      </c>
      <c r="N80" s="2368"/>
      <c r="O80" s="2368"/>
      <c r="P80" s="2855"/>
      <c r="Q80" s="2849"/>
      <c r="R80" s="2359"/>
      <c r="S80" s="2359"/>
      <c r="T80" s="2359"/>
      <c r="U80" s="2359"/>
      <c r="V80" s="2359"/>
      <c r="W80" s="2359"/>
      <c r="X80" s="2359"/>
      <c r="Y80" s="2359"/>
      <c r="Z80" s="2359"/>
      <c r="AA80" s="2359"/>
      <c r="AB80" s="2359"/>
      <c r="AC80" s="2359"/>
    </row>
    <row r="81" spans="1:29" ht="15.75" thickTop="1">
      <c r="A81" s="876"/>
      <c r="B81" s="880" t="s">
        <v>468</v>
      </c>
      <c r="C81" s="1003"/>
      <c r="D81" s="1003"/>
      <c r="E81" s="1003"/>
      <c r="F81" s="1003"/>
      <c r="G81" s="1003"/>
      <c r="H81" s="1003"/>
      <c r="I81" s="1003"/>
      <c r="J81" s="1003"/>
      <c r="K81" s="1004"/>
      <c r="L81" s="1005"/>
      <c r="M81" s="1006"/>
      <c r="N81" s="2366"/>
      <c r="O81" s="2366"/>
      <c r="P81" s="2855"/>
      <c r="Q81" s="2849"/>
      <c r="R81" s="2359"/>
      <c r="S81" s="2359"/>
      <c r="T81" s="2359"/>
      <c r="U81" s="2359"/>
      <c r="V81" s="2359"/>
      <c r="W81" s="2359"/>
      <c r="X81" s="2359"/>
      <c r="Y81" s="2359"/>
      <c r="Z81" s="2359"/>
      <c r="AA81" s="2359"/>
      <c r="AB81" s="2359"/>
      <c r="AC81" s="2359"/>
    </row>
    <row r="82" spans="1:29" s="813" customFormat="1" ht="15.75" thickBot="1">
      <c r="A82" s="895"/>
      <c r="B82" s="885"/>
      <c r="C82" s="902"/>
      <c r="D82" s="878"/>
      <c r="E82" s="878"/>
      <c r="F82" s="878"/>
      <c r="G82" s="878"/>
      <c r="H82" s="878"/>
      <c r="I82" s="878"/>
      <c r="J82" s="878"/>
      <c r="K82" s="878"/>
      <c r="L82" s="878"/>
      <c r="M82" s="879"/>
      <c r="N82" s="2368"/>
      <c r="O82" s="2368"/>
      <c r="P82" s="2856"/>
      <c r="Q82" s="2857"/>
      <c r="R82" s="2858"/>
      <c r="S82" s="2858"/>
      <c r="T82" s="2858"/>
      <c r="U82" s="2858"/>
      <c r="V82" s="2858"/>
      <c r="W82" s="2858"/>
      <c r="X82" s="2858"/>
      <c r="Y82" s="2858"/>
      <c r="Z82" s="2858"/>
      <c r="AA82" s="2858"/>
      <c r="AB82" s="2858"/>
      <c r="AC82" s="2858"/>
    </row>
    <row r="83" spans="1:29" ht="15" thickTop="1">
      <c r="A83" s="941"/>
      <c r="B83" s="880" t="s">
        <v>434</v>
      </c>
      <c r="C83" s="3413" t="s">
        <v>3703</v>
      </c>
      <c r="D83" s="3413" t="s">
        <v>3705</v>
      </c>
      <c r="E83" s="3415" t="s">
        <v>3706</v>
      </c>
      <c r="F83" s="3415" t="s">
        <v>3707</v>
      </c>
      <c r="G83" s="925"/>
      <c r="H83" s="925"/>
      <c r="I83" s="925"/>
      <c r="J83" s="925"/>
      <c r="K83" s="926"/>
      <c r="L83" s="927"/>
      <c r="M83" s="928"/>
      <c r="N83" s="2367"/>
      <c r="O83" s="2367"/>
      <c r="P83" s="2855"/>
      <c r="Q83" s="2849"/>
      <c r="R83" s="2359"/>
      <c r="S83" s="2359"/>
      <c r="T83" s="2359"/>
      <c r="U83" s="2359"/>
      <c r="V83" s="2359"/>
      <c r="W83" s="2359"/>
      <c r="X83" s="2359"/>
      <c r="Y83" s="2359"/>
      <c r="Z83" s="2359"/>
      <c r="AA83" s="2359"/>
      <c r="AB83" s="2359"/>
      <c r="AC83" s="2359"/>
    </row>
    <row r="84" spans="1:29" ht="15.75" thickBot="1">
      <c r="A84" s="876"/>
      <c r="B84" s="885"/>
      <c r="C84" s="886">
        <v>100</v>
      </c>
      <c r="D84" s="886">
        <f t="shared" ref="D84:M84" si="18">C84-$K28</f>
        <v>98</v>
      </c>
      <c r="E84" s="886">
        <f t="shared" si="18"/>
        <v>96</v>
      </c>
      <c r="F84" s="886">
        <f t="shared" si="18"/>
        <v>94</v>
      </c>
      <c r="G84" s="886">
        <f t="shared" si="18"/>
        <v>92</v>
      </c>
      <c r="H84" s="886">
        <f t="shared" si="18"/>
        <v>90</v>
      </c>
      <c r="I84" s="886">
        <f t="shared" si="18"/>
        <v>88</v>
      </c>
      <c r="J84" s="886">
        <f t="shared" si="18"/>
        <v>86</v>
      </c>
      <c r="K84" s="886">
        <f t="shared" si="18"/>
        <v>84</v>
      </c>
      <c r="L84" s="886">
        <f t="shared" si="18"/>
        <v>82</v>
      </c>
      <c r="M84" s="887">
        <f t="shared" si="18"/>
        <v>80</v>
      </c>
      <c r="N84" s="2368"/>
      <c r="O84" s="2368"/>
      <c r="P84" s="2855"/>
      <c r="Q84" s="2849"/>
      <c r="R84" s="2359"/>
      <c r="S84" s="2359"/>
      <c r="T84" s="2359"/>
      <c r="U84" s="2359"/>
      <c r="V84" s="2359"/>
      <c r="W84" s="2359"/>
      <c r="X84" s="2359"/>
      <c r="Y84" s="2359"/>
      <c r="Z84" s="2359"/>
      <c r="AA84" s="2359"/>
      <c r="AB84" s="2359"/>
      <c r="AC84" s="2359"/>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7"/>
      <c r="O85" s="2367"/>
      <c r="P85" s="2855"/>
      <c r="Q85" s="2849"/>
      <c r="R85" s="2359"/>
      <c r="S85" s="2359"/>
      <c r="T85" s="2359"/>
      <c r="U85" s="2359"/>
      <c r="V85" s="2359"/>
      <c r="W85" s="2359"/>
      <c r="X85" s="2359"/>
      <c r="Y85" s="2359"/>
      <c r="Z85" s="2359"/>
      <c r="AA85" s="2359"/>
      <c r="AB85" s="2359"/>
      <c r="AC85" s="2359"/>
    </row>
    <row r="86" spans="1:29">
      <c r="A86" s="941"/>
      <c r="B86" s="888"/>
      <c r="C86" s="945">
        <v>0.5</v>
      </c>
      <c r="D86" s="945">
        <v>0.6</v>
      </c>
      <c r="E86" s="945">
        <v>0.7</v>
      </c>
      <c r="F86" s="945">
        <v>0.8</v>
      </c>
      <c r="G86" s="945">
        <v>0.9</v>
      </c>
      <c r="H86" s="945">
        <v>1.0001</v>
      </c>
      <c r="I86" s="965"/>
      <c r="J86" s="965"/>
      <c r="K86" s="966"/>
      <c r="L86" s="967"/>
      <c r="M86" s="968"/>
      <c r="N86" s="2367"/>
      <c r="O86" s="2367"/>
      <c r="P86" s="2855"/>
      <c r="Q86" s="2849"/>
      <c r="R86" s="2359"/>
      <c r="S86" s="2359"/>
      <c r="T86" s="2359"/>
      <c r="U86" s="2359"/>
      <c r="V86" s="2359"/>
      <c r="W86" s="2359"/>
      <c r="X86" s="2359"/>
      <c r="Y86" s="2359"/>
      <c r="Z86" s="2359"/>
      <c r="AA86" s="2359"/>
      <c r="AB86" s="2359"/>
      <c r="AC86" s="2359"/>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8"/>
      <c r="O87" s="2368"/>
      <c r="P87" s="2855"/>
      <c r="Q87" s="2849"/>
      <c r="R87" s="2359"/>
      <c r="S87" s="2359"/>
      <c r="T87" s="2359"/>
      <c r="U87" s="2359"/>
      <c r="V87" s="2359"/>
      <c r="W87" s="2359"/>
      <c r="X87" s="2359"/>
      <c r="Y87" s="2359"/>
      <c r="Z87" s="2359"/>
      <c r="AA87" s="2359"/>
      <c r="AB87" s="2359"/>
      <c r="AC87" s="2359"/>
    </row>
    <row r="88" spans="1:29" ht="15" thickTop="1">
      <c r="A88" s="941"/>
      <c r="B88" s="888" t="s">
        <v>470</v>
      </c>
      <c r="C88" s="3414" t="s">
        <v>3709</v>
      </c>
      <c r="D88" s="3414" t="s">
        <v>3710</v>
      </c>
      <c r="E88" s="872"/>
      <c r="F88" s="872"/>
      <c r="G88" s="872"/>
      <c r="H88" s="872"/>
      <c r="I88" s="872"/>
      <c r="J88" s="872"/>
      <c r="K88" s="873"/>
      <c r="L88" s="874"/>
      <c r="M88" s="875"/>
      <c r="N88" s="2367"/>
      <c r="O88" s="2367"/>
      <c r="P88" s="2855"/>
      <c r="Q88" s="2849"/>
      <c r="R88" s="2359"/>
      <c r="S88" s="2359"/>
      <c r="T88" s="2359"/>
      <c r="U88" s="2359"/>
      <c r="V88" s="2359"/>
      <c r="W88" s="2359"/>
      <c r="X88" s="2359"/>
      <c r="Y88" s="2359"/>
      <c r="Z88" s="2359"/>
      <c r="AA88" s="2359"/>
      <c r="AB88" s="2359"/>
      <c r="AC88" s="2359"/>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8"/>
      <c r="O89" s="2368"/>
      <c r="P89" s="2855"/>
      <c r="Q89" s="2849"/>
      <c r="R89" s="2359"/>
      <c r="S89" s="2359"/>
      <c r="T89" s="2359"/>
      <c r="U89" s="2359"/>
      <c r="V89" s="2359"/>
      <c r="W89" s="2359"/>
      <c r="X89" s="2359"/>
      <c r="Y89" s="2359"/>
      <c r="Z89" s="2359"/>
      <c r="AA89" s="2359"/>
      <c r="AB89" s="2359"/>
      <c r="AC89" s="2359"/>
    </row>
    <row r="90" spans="1:29" s="813" customFormat="1" ht="15" thickTop="1">
      <c r="A90" s="935"/>
      <c r="B90" s="880" t="s">
        <v>471</v>
      </c>
      <c r="C90" s="920" t="str">
        <f>C91&amp;"(含)"&amp;"-"&amp;D91</f>
        <v>0(含)-20</v>
      </c>
      <c r="D90" s="920" t="str">
        <f t="shared" ref="D90:L90" si="21">D91&amp;"(含)"&amp;"-"&amp;E91</f>
        <v>20(含)-40</v>
      </c>
      <c r="E90" s="920" t="str">
        <f t="shared" si="21"/>
        <v>40(含)-60</v>
      </c>
      <c r="F90" s="920" t="str">
        <f t="shared" si="21"/>
        <v>60(含)-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9"/>
      <c r="O90" s="2369"/>
      <c r="P90" s="2856"/>
      <c r="Q90" s="2857"/>
      <c r="R90" s="2858"/>
      <c r="S90" s="2858"/>
      <c r="T90" s="2858"/>
      <c r="U90" s="2858"/>
      <c r="V90" s="2858"/>
      <c r="W90" s="2858"/>
      <c r="X90" s="2858"/>
      <c r="Y90" s="2858"/>
      <c r="Z90" s="2858"/>
      <c r="AA90" s="2858"/>
      <c r="AB90" s="2858"/>
      <c r="AC90" s="2858"/>
    </row>
    <row r="91" spans="1:29" s="813" customFormat="1">
      <c r="A91" s="935"/>
      <c r="B91" s="888"/>
      <c r="C91" s="937">
        <v>0</v>
      </c>
      <c r="D91" s="937">
        <v>20</v>
      </c>
      <c r="E91" s="937">
        <v>40</v>
      </c>
      <c r="F91" s="937">
        <v>60</v>
      </c>
      <c r="G91" s="937"/>
      <c r="H91" s="937"/>
      <c r="I91" s="937"/>
      <c r="J91" s="938"/>
      <c r="K91" s="938"/>
      <c r="L91" s="939"/>
      <c r="M91" s="940"/>
      <c r="N91" s="2369"/>
      <c r="O91" s="2369"/>
      <c r="P91" s="2856"/>
      <c r="Q91" s="2857"/>
      <c r="R91" s="2858"/>
      <c r="S91" s="2858"/>
      <c r="T91" s="2858"/>
      <c r="U91" s="2858"/>
      <c r="V91" s="2858"/>
      <c r="W91" s="2858"/>
      <c r="X91" s="2858"/>
      <c r="Y91" s="2858"/>
      <c r="Z91" s="2858"/>
      <c r="AA91" s="2858"/>
      <c r="AB91" s="2858"/>
      <c r="AC91" s="2858"/>
    </row>
    <row r="92" spans="1:29" s="813" customFormat="1" ht="15.75" thickBot="1">
      <c r="A92" s="895"/>
      <c r="B92" s="885"/>
      <c r="C92" s="902">
        <v>100</v>
      </c>
      <c r="D92" s="878">
        <v>103</v>
      </c>
      <c r="E92" s="878">
        <v>106</v>
      </c>
      <c r="F92" s="878">
        <v>109</v>
      </c>
      <c r="G92" s="878"/>
      <c r="H92" s="878"/>
      <c r="I92" s="878"/>
      <c r="J92" s="878"/>
      <c r="K92" s="878"/>
      <c r="L92" s="878"/>
      <c r="M92" s="879"/>
      <c r="N92" s="2369"/>
      <c r="O92" s="2369"/>
      <c r="P92" s="2856"/>
      <c r="Q92" s="2857"/>
      <c r="R92" s="2858"/>
      <c r="S92" s="2858"/>
      <c r="T92" s="2858"/>
      <c r="U92" s="2858"/>
      <c r="V92" s="2858"/>
      <c r="W92" s="2858"/>
      <c r="X92" s="2858"/>
      <c r="Y92" s="2858"/>
      <c r="Z92" s="2858"/>
      <c r="AA92" s="2858"/>
      <c r="AB92" s="2858"/>
      <c r="AC92" s="2858"/>
    </row>
    <row r="93" spans="1:29" ht="15" thickTop="1">
      <c r="A93" s="941"/>
      <c r="B93" s="880" t="s">
        <v>472</v>
      </c>
      <c r="C93" s="896"/>
      <c r="D93" s="896"/>
      <c r="E93" s="925"/>
      <c r="F93" s="925"/>
      <c r="G93" s="925"/>
      <c r="H93" s="925"/>
      <c r="I93" s="925"/>
      <c r="J93" s="925"/>
      <c r="K93" s="926"/>
      <c r="L93" s="927"/>
      <c r="M93" s="928"/>
      <c r="N93" s="2367"/>
      <c r="O93" s="2367"/>
      <c r="P93" s="2855"/>
      <c r="Q93" s="2849"/>
      <c r="R93" s="2359"/>
      <c r="S93" s="2359"/>
      <c r="T93" s="2359"/>
      <c r="U93" s="2359"/>
      <c r="V93" s="2359"/>
      <c r="W93" s="2359"/>
      <c r="X93" s="2359"/>
      <c r="Y93" s="2359"/>
      <c r="Z93" s="2359"/>
      <c r="AA93" s="2359"/>
      <c r="AB93" s="2359"/>
      <c r="AC93" s="2359"/>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8"/>
      <c r="O94" s="2368"/>
      <c r="P94" s="2855"/>
      <c r="Q94" s="2849"/>
      <c r="R94" s="2359"/>
      <c r="S94" s="2359"/>
      <c r="T94" s="2359"/>
      <c r="U94" s="2359"/>
      <c r="V94" s="2359"/>
      <c r="W94" s="2359"/>
      <c r="X94" s="2359"/>
      <c r="Y94" s="2359"/>
      <c r="Z94" s="2359"/>
      <c r="AA94" s="2359"/>
      <c r="AB94" s="2359"/>
      <c r="AC94" s="2359"/>
    </row>
    <row r="95" spans="1:29" ht="15" thickTop="1">
      <c r="A95" s="941"/>
      <c r="B95" s="880" t="s">
        <v>473</v>
      </c>
      <c r="C95" s="3414" t="s">
        <v>3711</v>
      </c>
      <c r="D95" s="3414" t="s">
        <v>3712</v>
      </c>
      <c r="E95" s="872"/>
      <c r="F95" s="872"/>
      <c r="G95" s="872"/>
      <c r="H95" s="872"/>
      <c r="I95" s="872"/>
      <c r="J95" s="872"/>
      <c r="K95" s="873"/>
      <c r="L95" s="874"/>
      <c r="M95" s="875"/>
      <c r="N95" s="2367"/>
      <c r="O95" s="2367"/>
      <c r="P95" s="2855"/>
      <c r="Q95" s="2849"/>
      <c r="R95" s="2359"/>
      <c r="S95" s="2359"/>
      <c r="T95" s="2359"/>
      <c r="U95" s="2359"/>
      <c r="V95" s="2359"/>
      <c r="W95" s="2359"/>
      <c r="X95" s="2359"/>
      <c r="Y95" s="2359"/>
      <c r="Z95" s="2359"/>
      <c r="AA95" s="2359"/>
      <c r="AB95" s="2359"/>
      <c r="AC95" s="2359"/>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8"/>
      <c r="O96" s="2368"/>
      <c r="P96" s="2855"/>
      <c r="Q96" s="2849"/>
      <c r="R96" s="2359"/>
      <c r="S96" s="2359"/>
      <c r="T96" s="2359"/>
      <c r="U96" s="2359"/>
      <c r="V96" s="2359"/>
      <c r="W96" s="2359"/>
      <c r="X96" s="2359"/>
      <c r="Y96" s="2359"/>
      <c r="Z96" s="2359"/>
      <c r="AA96" s="2359"/>
      <c r="AB96" s="2359"/>
      <c r="AC96" s="2359"/>
    </row>
    <row r="97" spans="1:29" ht="15" thickTop="1">
      <c r="A97" s="941"/>
      <c r="B97" s="978">
        <f>B34</f>
        <v>111</v>
      </c>
      <c r="C97" s="891"/>
      <c r="D97" s="891"/>
      <c r="E97" s="891"/>
      <c r="F97" s="891"/>
      <c r="G97" s="896"/>
      <c r="H97" s="897"/>
      <c r="I97" s="897"/>
      <c r="J97" s="897"/>
      <c r="K97" s="897"/>
      <c r="L97" s="898"/>
      <c r="M97" s="899"/>
      <c r="N97" s="2368"/>
      <c r="O97" s="2368"/>
      <c r="P97" s="2862"/>
      <c r="Q97" s="2863"/>
      <c r="R97" s="2359"/>
      <c r="S97" s="2359"/>
      <c r="T97" s="2359"/>
      <c r="U97" s="2359"/>
      <c r="V97" s="2359"/>
      <c r="W97" s="2359"/>
      <c r="X97" s="2359"/>
      <c r="Y97" s="2359"/>
      <c r="Z97" s="2359"/>
      <c r="AA97" s="2359"/>
      <c r="AB97" s="2359"/>
      <c r="AC97" s="2359"/>
    </row>
    <row r="98" spans="1:29" ht="15.75" thickBot="1">
      <c r="A98" s="876"/>
      <c r="B98" s="885"/>
      <c r="C98" s="902"/>
      <c r="D98" s="878"/>
      <c r="E98" s="878"/>
      <c r="F98" s="878"/>
      <c r="G98" s="902"/>
      <c r="H98" s="904"/>
      <c r="I98" s="904"/>
      <c r="J98" s="904"/>
      <c r="K98" s="904"/>
      <c r="L98" s="904"/>
      <c r="M98" s="905"/>
      <c r="N98" s="2368"/>
      <c r="O98" s="2368"/>
      <c r="P98" s="2855"/>
      <c r="Q98" s="2849"/>
      <c r="R98" s="2359"/>
      <c r="S98" s="2359"/>
      <c r="T98" s="2359"/>
      <c r="U98" s="2359"/>
      <c r="V98" s="2359"/>
      <c r="W98" s="2359"/>
      <c r="X98" s="2359"/>
      <c r="Y98" s="2359"/>
      <c r="Z98" s="2359"/>
      <c r="AA98" s="2359"/>
      <c r="AB98" s="2359"/>
      <c r="AC98" s="2359"/>
    </row>
    <row r="99" spans="1:29" s="813" customFormat="1" ht="15" thickTop="1">
      <c r="A99" s="935"/>
      <c r="B99" s="880">
        <f>B35</f>
        <v>111</v>
      </c>
      <c r="C99" s="891"/>
      <c r="D99" s="891"/>
      <c r="E99" s="891"/>
      <c r="F99" s="891"/>
      <c r="G99" s="896"/>
      <c r="H99" s="897"/>
      <c r="I99" s="897"/>
      <c r="J99" s="897"/>
      <c r="K99" s="897"/>
      <c r="L99" s="898"/>
      <c r="M99" s="899"/>
      <c r="N99" s="2369"/>
      <c r="O99" s="2369"/>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69"/>
      <c r="O100" s="2369"/>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67"/>
      <c r="O101" s="2367"/>
      <c r="P101" s="2855"/>
      <c r="Q101" s="2849"/>
      <c r="R101" s="2359"/>
      <c r="S101" s="2359"/>
      <c r="T101" s="2359"/>
      <c r="U101" s="2359"/>
      <c r="V101" s="2359"/>
      <c r="W101" s="2359"/>
      <c r="X101" s="2359"/>
      <c r="Y101" s="2359"/>
      <c r="Z101" s="2359"/>
      <c r="AA101" s="2359"/>
      <c r="AB101" s="2359"/>
      <c r="AC101" s="2359"/>
    </row>
    <row r="102" spans="1:29" ht="15.75" thickBot="1">
      <c r="A102" s="876"/>
      <c r="B102" s="885"/>
      <c r="C102" s="902"/>
      <c r="D102" s="902"/>
      <c r="E102" s="902"/>
      <c r="F102" s="902"/>
      <c r="G102" s="902"/>
      <c r="H102" s="904"/>
      <c r="I102" s="904"/>
      <c r="J102" s="904"/>
      <c r="K102" s="904"/>
      <c r="L102" s="904"/>
      <c r="M102" s="905"/>
      <c r="N102" s="2368"/>
      <c r="O102" s="2368"/>
      <c r="P102" s="2855"/>
      <c r="Q102" s="2849"/>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163" priority="14" stopIfTrue="1" operator="containsText" text="超过">
      <formula>NOT(ISERROR(SEARCH("超过",F42)))</formula>
    </cfRule>
  </conditionalFormatting>
  <conditionalFormatting sqref="J44">
    <cfRule type="containsText" dxfId="162" priority="13" stopIfTrue="1" operator="containsText" text="超过">
      <formula>NOT(ISERROR(SEARCH("超过",J44)))</formula>
    </cfRule>
  </conditionalFormatting>
  <conditionalFormatting sqref="H44">
    <cfRule type="containsText" dxfId="161" priority="12" stopIfTrue="1" operator="containsText" text="超过">
      <formula>NOT(ISERROR(SEARCH("超过",H44)))</formula>
    </cfRule>
  </conditionalFormatting>
  <conditionalFormatting sqref="F44">
    <cfRule type="containsText" dxfId="160" priority="11" stopIfTrue="1" operator="containsText" text="超过">
      <formula>NOT(ISERROR(SEARCH("超过",F44)))</formula>
    </cfRule>
  </conditionalFormatting>
  <conditionalFormatting sqref="F43 H43 J43">
    <cfRule type="containsText" dxfId="159" priority="10" stopIfTrue="1" operator="containsText" text="超过">
      <formula>NOT(ISERROR(SEARCH("超过",F43)))</formula>
    </cfRule>
  </conditionalFormatting>
  <conditionalFormatting sqref="E42">
    <cfRule type="expression" dxfId="158" priority="9" stopIfTrue="1">
      <formula>$F$42="超过30%"</formula>
    </cfRule>
  </conditionalFormatting>
  <conditionalFormatting sqref="G44">
    <cfRule type="expression" dxfId="157" priority="8" stopIfTrue="1">
      <formula>$H$54+$H$44="超过30%"</formula>
    </cfRule>
  </conditionalFormatting>
  <conditionalFormatting sqref="E43">
    <cfRule type="expression" dxfId="156" priority="7" stopIfTrue="1">
      <formula>$F$43="超过20%"</formula>
    </cfRule>
  </conditionalFormatting>
  <conditionalFormatting sqref="E44">
    <cfRule type="expression" dxfId="155" priority="6" stopIfTrue="1">
      <formula>$F$44="超过30%"</formula>
    </cfRule>
  </conditionalFormatting>
  <conditionalFormatting sqref="G42">
    <cfRule type="expression" dxfId="154" priority="5" stopIfTrue="1">
      <formula>$H$52+$H$42="超过30%"</formula>
    </cfRule>
  </conditionalFormatting>
  <conditionalFormatting sqref="G43">
    <cfRule type="expression" dxfId="153" priority="4" stopIfTrue="1">
      <formula>$H$43="超过20%"</formula>
    </cfRule>
  </conditionalFormatting>
  <conditionalFormatting sqref="I42">
    <cfRule type="expression" dxfId="152" priority="3" stopIfTrue="1">
      <formula>$J$52+$J$42="超过30%"</formula>
    </cfRule>
  </conditionalFormatting>
  <conditionalFormatting sqref="I43">
    <cfRule type="expression" dxfId="151" priority="2" stopIfTrue="1">
      <formula>$J$53+$J$43="超过20%"</formula>
    </cfRule>
  </conditionalFormatting>
  <conditionalFormatting sqref="I44">
    <cfRule type="expression" dxfId="1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M15" sqref="M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t="s">
        <v>3666</v>
      </c>
      <c r="E1" s="3107"/>
      <c r="F1" s="3106" t="s">
        <v>2702</v>
      </c>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4">
        <f>IF(C2="——",ROUND(C49*D3/10000,0),ROUND(C49*D3/10000,0)-D2)</f>
        <v>0</v>
      </c>
      <c r="C2" s="3098" t="s">
        <v>531</v>
      </c>
      <c r="D2" s="2721">
        <f ca="1">SUMIF(INDIRECT("'"&amp;F2&amp;"'"&amp;"!A:A"),"承租人权益价值",INDIRECT("'"&amp;F2&amp;"'"&amp;"!c:c"))</f>
        <v>0</v>
      </c>
      <c r="E2" s="3099" t="s">
        <v>867</v>
      </c>
      <c r="F2" s="3100" t="s">
        <v>3687</v>
      </c>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f>IF(C2="——",C49,ROUND(B2*10000/D3,0))</f>
        <v>68758</v>
      </c>
      <c r="C3" s="142" t="s">
        <v>168</v>
      </c>
      <c r="D3" s="742">
        <f>IF(D1="",'数据-汇总表'!E3,SUMIF('数据-汇总表'!$C19:$C33,D1,'数据-汇总表'!$E19:$E33))</f>
        <v>0</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78" t="s">
        <v>54</v>
      </c>
      <c r="D4" s="3679"/>
      <c r="E4" s="3680" t="s">
        <v>55</v>
      </c>
      <c r="F4" s="3681"/>
      <c r="G4" s="3678" t="s">
        <v>56</v>
      </c>
      <c r="H4" s="3679"/>
      <c r="I4" s="3678" t="s">
        <v>57</v>
      </c>
      <c r="J4" s="3679"/>
      <c r="K4" s="187" t="s">
        <v>58</v>
      </c>
      <c r="L4" s="2292"/>
      <c r="M4" s="2293"/>
      <c r="N4" s="2293"/>
      <c r="O4" s="2293"/>
      <c r="P4" s="3682" t="s">
        <v>53</v>
      </c>
      <c r="Q4" s="3683"/>
      <c r="R4" s="3668" t="s">
        <v>55</v>
      </c>
      <c r="S4" s="3669"/>
      <c r="T4" s="3668" t="s">
        <v>56</v>
      </c>
      <c r="U4" s="3669"/>
      <c r="V4" s="3664" t="s">
        <v>57</v>
      </c>
      <c r="W4" s="3664"/>
      <c r="X4" s="3333"/>
      <c r="Y4" s="3668" t="s">
        <v>53</v>
      </c>
      <c r="Z4" s="3669"/>
      <c r="AA4" s="3674" t="s">
        <v>55</v>
      </c>
      <c r="AB4" s="3664" t="s">
        <v>56</v>
      </c>
      <c r="AC4" s="3674" t="s">
        <v>57</v>
      </c>
    </row>
    <row r="5" spans="1:29">
      <c r="A5" s="146"/>
      <c r="B5" s="147"/>
      <c r="C5" s="3688" t="s">
        <v>59</v>
      </c>
      <c r="D5" s="3689"/>
      <c r="E5" s="3690" t="s">
        <v>60</v>
      </c>
      <c r="F5" s="3691"/>
      <c r="G5" s="3688" t="s">
        <v>61</v>
      </c>
      <c r="H5" s="3689"/>
      <c r="I5" s="3688" t="s">
        <v>62</v>
      </c>
      <c r="J5" s="3689"/>
      <c r="K5" s="187"/>
      <c r="L5" s="2292"/>
      <c r="M5" s="2293"/>
      <c r="N5" s="2293"/>
      <c r="O5" s="2293"/>
      <c r="P5" s="3684"/>
      <c r="Q5" s="3685"/>
      <c r="R5" s="3670"/>
      <c r="S5" s="3671"/>
      <c r="T5" s="3670"/>
      <c r="U5" s="3671"/>
      <c r="V5" s="3664"/>
      <c r="W5" s="3664"/>
      <c r="X5" s="3333"/>
      <c r="Y5" s="3670"/>
      <c r="Z5" s="3671"/>
      <c r="AA5" s="3675"/>
      <c r="AB5" s="3664"/>
      <c r="AC5" s="3675"/>
    </row>
    <row r="6" spans="1:29" ht="14.25" thickBot="1">
      <c r="A6" s="148"/>
      <c r="B6" s="149"/>
      <c r="C6" s="3692" t="s">
        <v>63</v>
      </c>
      <c r="D6" s="3693"/>
      <c r="E6" s="3694" t="s">
        <v>63</v>
      </c>
      <c r="F6" s="3695"/>
      <c r="G6" s="3692" t="s">
        <v>63</v>
      </c>
      <c r="H6" s="3693"/>
      <c r="I6" s="3692" t="s">
        <v>63</v>
      </c>
      <c r="J6" s="3693"/>
      <c r="K6" s="187" t="s">
        <v>117</v>
      </c>
      <c r="L6" s="2292"/>
      <c r="M6" s="2293"/>
      <c r="N6" s="2293"/>
      <c r="O6" s="2293"/>
      <c r="P6" s="3686"/>
      <c r="Q6" s="3687"/>
      <c r="R6" s="3670"/>
      <c r="S6" s="3671"/>
      <c r="T6" s="3672"/>
      <c r="U6" s="3673"/>
      <c r="V6" s="3664"/>
      <c r="W6" s="3664"/>
      <c r="X6" s="3333"/>
      <c r="Y6" s="3672"/>
      <c r="Z6" s="3673"/>
      <c r="AA6" s="3676"/>
      <c r="AB6" s="3664"/>
      <c r="AC6" s="3676"/>
    </row>
    <row r="7" spans="1:29" s="40" customFormat="1" ht="15" thickBot="1">
      <c r="A7" s="1013" t="s">
        <v>64</v>
      </c>
      <c r="B7" s="1014"/>
      <c r="C7" s="1015">
        <f>'数据-取费表'!B2</f>
        <v>42935</v>
      </c>
      <c r="D7" s="754">
        <v>100</v>
      </c>
      <c r="E7" s="1016">
        <v>42917</v>
      </c>
      <c r="F7" s="756">
        <f>SUMIF(58:58,YEAR(E7)&amp;"-"&amp;MONTH(E7),59:59)</f>
        <v>100</v>
      </c>
      <c r="G7" s="1016">
        <v>42917</v>
      </c>
      <c r="H7" s="754">
        <f>SUMIF(58:58,YEAR(G7)&amp;"-"&amp;MONTH(G7),59:59)</f>
        <v>100</v>
      </c>
      <c r="I7" s="1016">
        <v>42917</v>
      </c>
      <c r="J7" s="754">
        <f>SUMIF(58:58,YEAR(I7)&amp;"-"&amp;MONTH(I7),59:59)</f>
        <v>100</v>
      </c>
      <c r="K7" s="1018"/>
      <c r="L7" s="2294"/>
      <c r="M7" s="2256"/>
      <c r="N7" s="2256"/>
      <c r="O7" s="2256"/>
      <c r="P7" s="3665" t="s">
        <v>64</v>
      </c>
      <c r="Q7" s="3677"/>
      <c r="R7" s="1341" t="s">
        <v>65</v>
      </c>
      <c r="S7" s="1342">
        <f t="shared" ref="S7:S15" si="0">F7</f>
        <v>100</v>
      </c>
      <c r="T7" s="1341" t="s">
        <v>65</v>
      </c>
      <c r="U7" s="1342">
        <f t="shared" ref="U7:U15" si="1">H7</f>
        <v>100</v>
      </c>
      <c r="V7" s="1341" t="s">
        <v>65</v>
      </c>
      <c r="W7" s="1342">
        <f t="shared" ref="W7:W15" si="2">J7</f>
        <v>100</v>
      </c>
      <c r="X7" s="287"/>
      <c r="Y7" s="3665" t="s">
        <v>64</v>
      </c>
      <c r="Z7" s="3666"/>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4"/>
      <c r="M8" s="2256"/>
      <c r="N8" s="2256"/>
      <c r="O8" s="2256"/>
      <c r="P8" s="3665" t="s">
        <v>66</v>
      </c>
      <c r="Q8" s="3666"/>
      <c r="R8" s="1341" t="s">
        <v>65</v>
      </c>
      <c r="S8" s="1342">
        <f t="shared" si="0"/>
        <v>100</v>
      </c>
      <c r="T8" s="1341" t="s">
        <v>65</v>
      </c>
      <c r="U8" s="1342">
        <f t="shared" si="1"/>
        <v>100</v>
      </c>
      <c r="V8" s="1341" t="s">
        <v>65</v>
      </c>
      <c r="W8" s="1342">
        <f t="shared" si="2"/>
        <v>100</v>
      </c>
      <c r="X8" s="287"/>
      <c r="Y8" s="3665" t="s">
        <v>66</v>
      </c>
      <c r="Z8" s="3666"/>
      <c r="AA8" s="1343">
        <f t="shared" ref="AA8:AA46" si="3">D8/F8</f>
        <v>1</v>
      </c>
      <c r="AB8" s="1343">
        <f t="shared" ref="AB8:AB46" si="4">D8/H8</f>
        <v>1</v>
      </c>
      <c r="AC8" s="1343">
        <f t="shared" ref="AC8:AC46" si="5">D8/J8</f>
        <v>1</v>
      </c>
    </row>
    <row r="9" spans="1:29" s="40" customFormat="1" ht="14.25">
      <c r="A9" s="1020" t="s">
        <v>67</v>
      </c>
      <c r="B9" s="62" t="s">
        <v>68</v>
      </c>
      <c r="C9" s="1345" t="s">
        <v>3649</v>
      </c>
      <c r="D9" s="425">
        <v>100</v>
      </c>
      <c r="E9" s="1346" t="s">
        <v>3563</v>
      </c>
      <c r="F9" s="760">
        <f>SUMIF(63:63,E9,64:64)-SUMIF(63:63,C9,64:64)+100</f>
        <v>100</v>
      </c>
      <c r="G9" s="1346" t="s">
        <v>3563</v>
      </c>
      <c r="H9" s="425">
        <f>SUMIF(63:63,G9,64:64)-SUMIF(63:63,C9,64:64)+100</f>
        <v>100</v>
      </c>
      <c r="I9" s="1346" t="s">
        <v>3563</v>
      </c>
      <c r="J9" s="425">
        <f>SUMIF(63:63,I9,64:64)-SUMIF(63:63,C9,64:64)+100</f>
        <v>100</v>
      </c>
      <c r="K9" s="1018"/>
      <c r="L9" s="2294"/>
      <c r="M9" s="2256"/>
      <c r="N9" s="2256"/>
      <c r="O9" s="2256"/>
      <c r="P9" s="3667" t="s">
        <v>67</v>
      </c>
      <c r="Q9" s="3326" t="str">
        <f t="shared" ref="Q9:Q15" si="6">B9</f>
        <v>用途</v>
      </c>
      <c r="R9" s="1341" t="s">
        <v>65</v>
      </c>
      <c r="S9" s="1342">
        <f t="shared" si="0"/>
        <v>100</v>
      </c>
      <c r="T9" s="1341" t="s">
        <v>65</v>
      </c>
      <c r="U9" s="1342">
        <f t="shared" si="1"/>
        <v>100</v>
      </c>
      <c r="V9" s="1341" t="s">
        <v>65</v>
      </c>
      <c r="W9" s="1342">
        <f t="shared" si="2"/>
        <v>100</v>
      </c>
      <c r="X9" s="287"/>
      <c r="Y9" s="3482" t="s">
        <v>67</v>
      </c>
      <c r="Z9" s="3327" t="str">
        <f t="shared" ref="Z9:Z15" si="7">Q9</f>
        <v>用途</v>
      </c>
      <c r="AA9" s="1343">
        <f t="shared" si="3"/>
        <v>1</v>
      </c>
      <c r="AB9" s="1343">
        <f t="shared" si="4"/>
        <v>1</v>
      </c>
      <c r="AC9" s="1343">
        <f t="shared" si="5"/>
        <v>1</v>
      </c>
    </row>
    <row r="10" spans="1:29" s="92" customFormat="1" ht="27">
      <c r="A10" s="150"/>
      <c r="B10" s="3331" t="s">
        <v>106</v>
      </c>
      <c r="C10" s="1348" t="s">
        <v>3582</v>
      </c>
      <c r="D10" s="426">
        <v>100</v>
      </c>
      <c r="E10" s="1349" t="s">
        <v>3582</v>
      </c>
      <c r="F10" s="767">
        <f>SUMIF(65:65,E10,66:66)-SUMIF(65:65,C10,66:66)+100</f>
        <v>100</v>
      </c>
      <c r="G10" s="1348" t="s">
        <v>3582</v>
      </c>
      <c r="H10" s="426">
        <f>SUMIF(65:65,G10,66:66)-SUMIF(65:65,C10,66:66)+100</f>
        <v>100</v>
      </c>
      <c r="I10" s="1348" t="s">
        <v>3582</v>
      </c>
      <c r="J10" s="426">
        <f>SUMIF(65:65,I10,66:66)-SUMIF(65:65,C10,66:66)+100</f>
        <v>100</v>
      </c>
      <c r="K10" s="954">
        <v>2</v>
      </c>
      <c r="L10" s="2295"/>
      <c r="M10" s="2296"/>
      <c r="N10" s="2296"/>
      <c r="O10" s="2296"/>
      <c r="P10" s="3667"/>
      <c r="Q10" s="3326" t="str">
        <f t="shared" si="6"/>
        <v>土地使用年限（年）</v>
      </c>
      <c r="R10" s="1341" t="s">
        <v>65</v>
      </c>
      <c r="S10" s="1342">
        <f t="shared" si="0"/>
        <v>100</v>
      </c>
      <c r="T10" s="1341" t="s">
        <v>65</v>
      </c>
      <c r="U10" s="1342">
        <f t="shared" si="1"/>
        <v>100</v>
      </c>
      <c r="V10" s="1341" t="s">
        <v>65</v>
      </c>
      <c r="W10" s="1342">
        <f t="shared" si="2"/>
        <v>100</v>
      </c>
      <c r="X10" s="287"/>
      <c r="Y10" s="3482"/>
      <c r="Z10" s="3327" t="str">
        <f t="shared" si="7"/>
        <v>土地使用年限（年）</v>
      </c>
      <c r="AA10" s="1343">
        <f t="shared" si="3"/>
        <v>1</v>
      </c>
      <c r="AB10" s="1343">
        <f t="shared" si="4"/>
        <v>1</v>
      </c>
      <c r="AC10" s="1343">
        <f t="shared" si="5"/>
        <v>1</v>
      </c>
    </row>
    <row r="11" spans="1:29" ht="15">
      <c r="A11" s="151"/>
      <c r="B11" s="3331" t="s">
        <v>93</v>
      </c>
      <c r="C11" s="771">
        <v>2.95</v>
      </c>
      <c r="D11" s="426">
        <v>100</v>
      </c>
      <c r="E11" s="771">
        <v>2.95</v>
      </c>
      <c r="F11" s="767">
        <f>LOOKUP(E11,68:68,69:69)-LOOKUP(C11,68:68,69:69)+100</f>
        <v>100</v>
      </c>
      <c r="G11" s="771">
        <v>2.95</v>
      </c>
      <c r="H11" s="426">
        <f>LOOKUP(G11,68:68,69:69)-LOOKUP(C11,68:68,69:69)+100</f>
        <v>100</v>
      </c>
      <c r="I11" s="771">
        <v>2.95</v>
      </c>
      <c r="J11" s="426">
        <f>LOOKUP(I11,68:68,69:69)-LOOKUP(C11,68:68,69:69)+100</f>
        <v>100</v>
      </c>
      <c r="K11" s="954">
        <v>2</v>
      </c>
      <c r="L11" s="2297"/>
      <c r="M11" s="2293"/>
      <c r="N11" s="2293"/>
      <c r="O11" s="2293"/>
      <c r="P11" s="3667"/>
      <c r="Q11" s="3326" t="str">
        <f t="shared" si="6"/>
        <v>容积率</v>
      </c>
      <c r="R11" s="1341" t="s">
        <v>65</v>
      </c>
      <c r="S11" s="1342">
        <f t="shared" si="0"/>
        <v>100</v>
      </c>
      <c r="T11" s="1341" t="s">
        <v>65</v>
      </c>
      <c r="U11" s="1342">
        <f t="shared" si="1"/>
        <v>100</v>
      </c>
      <c r="V11" s="1341" t="s">
        <v>65</v>
      </c>
      <c r="W11" s="1342">
        <f t="shared" si="2"/>
        <v>100</v>
      </c>
      <c r="X11" s="287"/>
      <c r="Y11" s="3482"/>
      <c r="Z11" s="3327"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4"/>
      <c r="M12" s="2256"/>
      <c r="N12" s="2256"/>
      <c r="O12" s="2256"/>
      <c r="P12" s="3667"/>
      <c r="Q12" s="3326">
        <f t="shared" si="6"/>
        <v>111</v>
      </c>
      <c r="R12" s="1341" t="s">
        <v>65</v>
      </c>
      <c r="S12" s="1342">
        <f t="shared" si="0"/>
        <v>100</v>
      </c>
      <c r="T12" s="1341" t="s">
        <v>65</v>
      </c>
      <c r="U12" s="1342">
        <f t="shared" si="1"/>
        <v>100</v>
      </c>
      <c r="V12" s="1341" t="s">
        <v>65</v>
      </c>
      <c r="W12" s="1342">
        <f t="shared" si="2"/>
        <v>100</v>
      </c>
      <c r="X12" s="287"/>
      <c r="Y12" s="3482"/>
      <c r="Z12" s="332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67"/>
      <c r="Q13" s="3326">
        <f t="shared" si="6"/>
        <v>111</v>
      </c>
      <c r="R13" s="1341" t="s">
        <v>65</v>
      </c>
      <c r="S13" s="1342">
        <f t="shared" si="0"/>
        <v>100</v>
      </c>
      <c r="T13" s="1341" t="s">
        <v>65</v>
      </c>
      <c r="U13" s="1342">
        <f t="shared" si="1"/>
        <v>100</v>
      </c>
      <c r="V13" s="1341" t="s">
        <v>65</v>
      </c>
      <c r="W13" s="1342">
        <f t="shared" si="2"/>
        <v>100</v>
      </c>
      <c r="X13" s="287"/>
      <c r="Y13" s="3482"/>
      <c r="Z13" s="3327">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67"/>
      <c r="Q14" s="3326">
        <f t="shared" si="6"/>
        <v>111</v>
      </c>
      <c r="R14" s="1341" t="s">
        <v>65</v>
      </c>
      <c r="S14" s="1342">
        <f t="shared" si="0"/>
        <v>100</v>
      </c>
      <c r="T14" s="1341" t="s">
        <v>65</v>
      </c>
      <c r="U14" s="1342">
        <f t="shared" si="1"/>
        <v>100</v>
      </c>
      <c r="V14" s="1341" t="s">
        <v>65</v>
      </c>
      <c r="W14" s="1342">
        <f t="shared" si="2"/>
        <v>100</v>
      </c>
      <c r="X14" s="287"/>
      <c r="Y14" s="3482"/>
      <c r="Z14" s="3327">
        <f t="shared" si="7"/>
        <v>111</v>
      </c>
      <c r="AA14" s="1343">
        <f t="shared" si="3"/>
        <v>1</v>
      </c>
      <c r="AB14" s="1343">
        <f t="shared" si="4"/>
        <v>1</v>
      </c>
      <c r="AC14" s="1343">
        <f t="shared" si="5"/>
        <v>1</v>
      </c>
    </row>
    <row r="15" spans="1:29" ht="108">
      <c r="A15" s="155" t="s">
        <v>69</v>
      </c>
      <c r="B15" s="58" t="s">
        <v>130</v>
      </c>
      <c r="C15" s="157" t="str">
        <f>估价对象房地状况!C4</f>
        <v>估价对象位于福州东二环泰禾广场商圈，周围有泰禾广场购物中心及步行街，周边商业氛围成熟，人流量大，商业繁华度好。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v>3</v>
      </c>
      <c r="L15" s="2298"/>
      <c r="M15" s="2293"/>
      <c r="N15" s="2293"/>
      <c r="O15" s="2293"/>
      <c r="P15" s="3655" t="s">
        <v>69</v>
      </c>
      <c r="Q15" s="3336" t="str">
        <f t="shared" si="6"/>
        <v>商业繁华度</v>
      </c>
      <c r="R15" s="1351" t="s">
        <v>65</v>
      </c>
      <c r="S15" s="1352">
        <f t="shared" si="0"/>
        <v>100</v>
      </c>
      <c r="T15" s="1351" t="s">
        <v>65</v>
      </c>
      <c r="U15" s="1352">
        <f t="shared" si="1"/>
        <v>100</v>
      </c>
      <c r="V15" s="1351" t="s">
        <v>65</v>
      </c>
      <c r="W15" s="1352">
        <f t="shared" si="2"/>
        <v>100</v>
      </c>
      <c r="X15" s="3333"/>
      <c r="Y15" s="3657" t="s">
        <v>69</v>
      </c>
      <c r="Z15" s="3334" t="str">
        <f t="shared" si="7"/>
        <v>商业繁华度</v>
      </c>
      <c r="AA15" s="3337">
        <f t="shared" si="3"/>
        <v>1</v>
      </c>
      <c r="AB15" s="3337">
        <f t="shared" si="4"/>
        <v>1</v>
      </c>
      <c r="AC15" s="3337">
        <f t="shared" si="5"/>
        <v>1</v>
      </c>
    </row>
    <row r="16" spans="1:29" ht="14.25">
      <c r="A16" s="151"/>
      <c r="B16" s="156"/>
      <c r="C16" s="97" t="s">
        <v>3583</v>
      </c>
      <c r="D16" s="790"/>
      <c r="E16" s="97" t="s">
        <v>3583</v>
      </c>
      <c r="F16" s="791"/>
      <c r="G16" s="97" t="s">
        <v>3583</v>
      </c>
      <c r="H16" s="792"/>
      <c r="I16" s="97" t="s">
        <v>3583</v>
      </c>
      <c r="J16" s="790"/>
      <c r="K16" s="189"/>
      <c r="L16" s="2298"/>
      <c r="M16" s="2293"/>
      <c r="N16" s="2293"/>
      <c r="O16" s="2293"/>
      <c r="P16" s="3656"/>
      <c r="Q16" s="3336"/>
      <c r="R16" s="1351"/>
      <c r="S16" s="1352"/>
      <c r="T16" s="1351"/>
      <c r="U16" s="1352"/>
      <c r="V16" s="1351"/>
      <c r="W16" s="1352"/>
      <c r="X16" s="3333"/>
      <c r="Y16" s="3658"/>
      <c r="Z16" s="3334"/>
      <c r="AA16" s="3337">
        <v>1</v>
      </c>
      <c r="AB16" s="3337">
        <v>1</v>
      </c>
      <c r="AC16" s="3337">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3</v>
      </c>
      <c r="L17" s="2298"/>
      <c r="M17" s="2293"/>
      <c r="N17" s="2293"/>
      <c r="O17" s="2293"/>
      <c r="P17" s="3656"/>
      <c r="Q17" s="3336" t="str">
        <f>B17</f>
        <v>交通便捷度</v>
      </c>
      <c r="R17" s="1351" t="s">
        <v>65</v>
      </c>
      <c r="S17" s="1352">
        <f>F17</f>
        <v>100</v>
      </c>
      <c r="T17" s="1351" t="s">
        <v>65</v>
      </c>
      <c r="U17" s="1352">
        <f>H17</f>
        <v>100</v>
      </c>
      <c r="V17" s="1351" t="s">
        <v>65</v>
      </c>
      <c r="W17" s="1352">
        <f>J17</f>
        <v>100</v>
      </c>
      <c r="X17" s="3333"/>
      <c r="Y17" s="3658"/>
      <c r="Z17" s="3334" t="str">
        <f>Q17</f>
        <v>交通便捷度</v>
      </c>
      <c r="AA17" s="3337">
        <f t="shared" si="3"/>
        <v>1</v>
      </c>
      <c r="AB17" s="3337">
        <f t="shared" si="4"/>
        <v>1</v>
      </c>
      <c r="AC17" s="3337">
        <f t="shared" si="5"/>
        <v>1</v>
      </c>
    </row>
    <row r="18" spans="1:29" ht="14.25">
      <c r="A18" s="151"/>
      <c r="B18" s="1039"/>
      <c r="C18" s="102" t="s">
        <v>3585</v>
      </c>
      <c r="D18" s="792"/>
      <c r="E18" s="103" t="s">
        <v>3585</v>
      </c>
      <c r="F18" s="795"/>
      <c r="G18" s="104" t="s">
        <v>3585</v>
      </c>
      <c r="H18" s="790"/>
      <c r="I18" s="103" t="s">
        <v>3585</v>
      </c>
      <c r="J18" s="790"/>
      <c r="K18" s="189"/>
      <c r="L18" s="2298"/>
      <c r="M18" s="2293"/>
      <c r="N18" s="2293"/>
      <c r="O18" s="2293"/>
      <c r="P18" s="3656"/>
      <c r="Q18" s="3336"/>
      <c r="R18" s="1351"/>
      <c r="S18" s="1352"/>
      <c r="T18" s="1351"/>
      <c r="U18" s="1352"/>
      <c r="V18" s="1351"/>
      <c r="W18" s="1352"/>
      <c r="X18" s="3333"/>
      <c r="Y18" s="3658"/>
      <c r="Z18" s="3334"/>
      <c r="AA18" s="3337">
        <v>1</v>
      </c>
      <c r="AB18" s="3337">
        <v>1</v>
      </c>
      <c r="AC18" s="3337">
        <v>1</v>
      </c>
    </row>
    <row r="19" spans="1:29" ht="162">
      <c r="A19" s="151"/>
      <c r="B19" s="1355" t="s">
        <v>2659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5"/>
      <c r="F19" s="800">
        <f>SUMIF(80:80,E20,81:81)-SUMIF(80:80,C20,81:81)+100</f>
        <v>100</v>
      </c>
      <c r="G19" s="106"/>
      <c r="H19" s="792">
        <f>SUMIF(80:80,G20,81:81)-SUMIF(80:80,C20,81:81)+100</f>
        <v>100</v>
      </c>
      <c r="I19" s="105"/>
      <c r="J19" s="792">
        <f>SUMIF(80:80,I20,81:81)-SUMIF(80:80,C20,81:81)+100</f>
        <v>100</v>
      </c>
      <c r="K19" s="956">
        <v>2</v>
      </c>
      <c r="L19" s="2298"/>
      <c r="M19" s="2293"/>
      <c r="N19" s="2293"/>
      <c r="O19" s="2293"/>
      <c r="P19" s="3656"/>
      <c r="Q19" s="3336" t="str">
        <f>B19</f>
        <v>公共配套设施</v>
      </c>
      <c r="R19" s="1351" t="s">
        <v>65</v>
      </c>
      <c r="S19" s="1352">
        <f>F19</f>
        <v>100</v>
      </c>
      <c r="T19" s="1351" t="s">
        <v>65</v>
      </c>
      <c r="U19" s="1352">
        <f>H19</f>
        <v>100</v>
      </c>
      <c r="V19" s="1351" t="s">
        <v>65</v>
      </c>
      <c r="W19" s="1352">
        <f>J19</f>
        <v>100</v>
      </c>
      <c r="X19" s="3333"/>
      <c r="Y19" s="3658"/>
      <c r="Z19" s="3334" t="str">
        <f>Q19</f>
        <v>公共配套设施</v>
      </c>
      <c r="AA19" s="3337">
        <f t="shared" si="3"/>
        <v>1</v>
      </c>
      <c r="AB19" s="3337">
        <f t="shared" si="4"/>
        <v>1</v>
      </c>
      <c r="AC19" s="3337">
        <f t="shared" si="5"/>
        <v>1</v>
      </c>
    </row>
    <row r="20" spans="1:29" ht="14.25">
      <c r="A20" s="151"/>
      <c r="B20" s="1039"/>
      <c r="C20" s="97" t="s">
        <v>3583</v>
      </c>
      <c r="D20" s="790"/>
      <c r="E20" s="98" t="s">
        <v>3583</v>
      </c>
      <c r="F20" s="791"/>
      <c r="G20" s="99" t="s">
        <v>3583</v>
      </c>
      <c r="H20" s="790"/>
      <c r="I20" s="98" t="s">
        <v>3583</v>
      </c>
      <c r="J20" s="790"/>
      <c r="K20" s="189"/>
      <c r="L20" s="2298"/>
      <c r="M20" s="2293"/>
      <c r="N20" s="2293"/>
      <c r="O20" s="2293"/>
      <c r="P20" s="3656"/>
      <c r="Q20" s="3336"/>
      <c r="R20" s="1351"/>
      <c r="S20" s="1352"/>
      <c r="T20" s="1351"/>
      <c r="U20" s="1352"/>
      <c r="V20" s="1351"/>
      <c r="W20" s="1352"/>
      <c r="X20" s="3333"/>
      <c r="Y20" s="3658"/>
      <c r="Z20" s="3334"/>
      <c r="AA20" s="3337">
        <v>1</v>
      </c>
      <c r="AB20" s="3337">
        <v>1</v>
      </c>
      <c r="AC20" s="3337">
        <v>1</v>
      </c>
    </row>
    <row r="21" spans="1:29" ht="27">
      <c r="A21" s="151"/>
      <c r="B21" s="1411" t="s">
        <v>2660</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298"/>
      <c r="M21" s="2293"/>
      <c r="N21" s="2293"/>
      <c r="O21" s="2293"/>
      <c r="P21" s="3656"/>
      <c r="Q21" s="3336" t="str">
        <f>B21</f>
        <v>基础设施水平</v>
      </c>
      <c r="R21" s="1351" t="s">
        <v>65</v>
      </c>
      <c r="S21" s="1352">
        <f>F21</f>
        <v>100</v>
      </c>
      <c r="T21" s="1351" t="s">
        <v>65</v>
      </c>
      <c r="U21" s="1352">
        <f>H21</f>
        <v>100</v>
      </c>
      <c r="V21" s="1351" t="s">
        <v>65</v>
      </c>
      <c r="W21" s="1352">
        <f>J21</f>
        <v>100</v>
      </c>
      <c r="X21" s="3333"/>
      <c r="Y21" s="3658"/>
      <c r="Z21" s="3334" t="str">
        <f>Q21</f>
        <v>基础设施水平</v>
      </c>
      <c r="AA21" s="3337">
        <f t="shared" ref="AA21" si="8">D21/F21</f>
        <v>1</v>
      </c>
      <c r="AB21" s="3337">
        <f t="shared" ref="AB21" si="9">D21/H21</f>
        <v>1</v>
      </c>
      <c r="AC21" s="3337">
        <f t="shared" ref="AC21" si="10">D21/J21</f>
        <v>1</v>
      </c>
    </row>
    <row r="22" spans="1:29" ht="14.25">
      <c r="A22" s="151"/>
      <c r="B22" s="1411"/>
      <c r="C22" s="102" t="s">
        <v>3612</v>
      </c>
      <c r="D22" s="790"/>
      <c r="E22" s="97" t="s">
        <v>3612</v>
      </c>
      <c r="F22" s="791"/>
      <c r="G22" s="97" t="s">
        <v>3612</v>
      </c>
      <c r="H22" s="790"/>
      <c r="I22" s="97" t="s">
        <v>3612</v>
      </c>
      <c r="J22" s="790"/>
      <c r="K22" s="2763"/>
      <c r="L22" s="2298"/>
      <c r="M22" s="2293"/>
      <c r="N22" s="2293"/>
      <c r="O22" s="2293"/>
      <c r="P22" s="3656"/>
      <c r="Q22" s="3336"/>
      <c r="R22" s="1351"/>
      <c r="S22" s="1352"/>
      <c r="T22" s="1351"/>
      <c r="U22" s="1352"/>
      <c r="V22" s="1351"/>
      <c r="W22" s="1352"/>
      <c r="X22" s="3333"/>
      <c r="Y22" s="3658"/>
      <c r="Z22" s="3334"/>
      <c r="AA22" s="3337">
        <v>1</v>
      </c>
      <c r="AB22" s="3337">
        <v>1</v>
      </c>
      <c r="AC22" s="3337">
        <v>1</v>
      </c>
    </row>
    <row r="23" spans="1:29" ht="67.5">
      <c r="A23" s="151"/>
      <c r="B23" s="1355" t="s">
        <v>73</v>
      </c>
      <c r="C23" s="190" t="str">
        <f>估价对象房地状况!C9</f>
        <v>估价对象周边有牛岗山公园、金鸡山公园；综合评价环境状况一般。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298"/>
      <c r="M23" s="2293"/>
      <c r="N23" s="2293"/>
      <c r="O23" s="2293"/>
      <c r="P23" s="3656"/>
      <c r="Q23" s="3336" t="str">
        <f>B23</f>
        <v>自然及人文环境</v>
      </c>
      <c r="R23" s="1351" t="s">
        <v>65</v>
      </c>
      <c r="S23" s="1352">
        <f>F23</f>
        <v>100</v>
      </c>
      <c r="T23" s="1351" t="s">
        <v>65</v>
      </c>
      <c r="U23" s="1352">
        <f>H23</f>
        <v>100</v>
      </c>
      <c r="V23" s="1351" t="s">
        <v>65</v>
      </c>
      <c r="W23" s="1352">
        <f>J23</f>
        <v>100</v>
      </c>
      <c r="X23" s="3333"/>
      <c r="Y23" s="3658"/>
      <c r="Z23" s="3334" t="str">
        <f>Q23</f>
        <v>自然及人文环境</v>
      </c>
      <c r="AA23" s="3337">
        <f t="shared" si="3"/>
        <v>1</v>
      </c>
      <c r="AB23" s="3337">
        <f t="shared" si="4"/>
        <v>1</v>
      </c>
      <c r="AC23" s="3337">
        <f t="shared" si="5"/>
        <v>1</v>
      </c>
    </row>
    <row r="24" spans="1:29" ht="14.25">
      <c r="A24" s="151"/>
      <c r="B24" s="1039"/>
      <c r="C24" s="97" t="s">
        <v>3669</v>
      </c>
      <c r="D24" s="790"/>
      <c r="E24" s="98" t="s">
        <v>3669</v>
      </c>
      <c r="F24" s="791"/>
      <c r="G24" s="99" t="s">
        <v>3669</v>
      </c>
      <c r="H24" s="790"/>
      <c r="I24" s="98" t="s">
        <v>3669</v>
      </c>
      <c r="J24" s="790"/>
      <c r="K24" s="189"/>
      <c r="L24" s="2298"/>
      <c r="M24" s="2293"/>
      <c r="N24" s="2293"/>
      <c r="O24" s="2293"/>
      <c r="P24" s="3656"/>
      <c r="Q24" s="3336"/>
      <c r="R24" s="1351"/>
      <c r="S24" s="1352"/>
      <c r="T24" s="1351"/>
      <c r="U24" s="1352"/>
      <c r="V24" s="1351"/>
      <c r="W24" s="1352"/>
      <c r="X24" s="3333"/>
      <c r="Y24" s="3658"/>
      <c r="Z24" s="3334"/>
      <c r="AA24" s="3337">
        <v>1</v>
      </c>
      <c r="AB24" s="3337">
        <v>1</v>
      </c>
      <c r="AC24" s="3337">
        <v>1</v>
      </c>
    </row>
    <row r="25" spans="1:29" ht="15">
      <c r="A25" s="151"/>
      <c r="B25" s="3331" t="s">
        <v>131</v>
      </c>
      <c r="C25" s="182" t="s">
        <v>3597</v>
      </c>
      <c r="D25" s="777">
        <v>100</v>
      </c>
      <c r="E25" s="182" t="s">
        <v>3595</v>
      </c>
      <c r="F25" s="803">
        <f>SUMIF(86:86,E25,87:87)-SUMIF(86:86,C25,87:87)+100</f>
        <v>99</v>
      </c>
      <c r="G25" s="182" t="s">
        <v>3595</v>
      </c>
      <c r="H25" s="777">
        <f>SUMIF(86:86,G25,87:87)-SUMIF(86:86,C25,87:87)+100</f>
        <v>99</v>
      </c>
      <c r="I25" s="182" t="s">
        <v>3595</v>
      </c>
      <c r="J25" s="777">
        <f>SUMIF(86:86,I25,87:87)-SUMIF(86:86,C25,87:87)+100</f>
        <v>99</v>
      </c>
      <c r="K25" s="954">
        <v>1</v>
      </c>
      <c r="L25" s="2298"/>
      <c r="M25" s="2293"/>
      <c r="N25" s="2293"/>
      <c r="O25" s="2293"/>
      <c r="P25" s="3656"/>
      <c r="Q25" s="3336" t="str">
        <f t="shared" ref="Q25:Q46" si="11">B25</f>
        <v>临街状况</v>
      </c>
      <c r="R25" s="1351" t="s">
        <v>65</v>
      </c>
      <c r="S25" s="1352">
        <f>F25</f>
        <v>99</v>
      </c>
      <c r="T25" s="1351" t="s">
        <v>65</v>
      </c>
      <c r="U25" s="1352">
        <f>H25</f>
        <v>99</v>
      </c>
      <c r="V25" s="1351" t="s">
        <v>65</v>
      </c>
      <c r="W25" s="1352">
        <f>J25</f>
        <v>99</v>
      </c>
      <c r="X25" s="3333"/>
      <c r="Y25" s="3658"/>
      <c r="Z25" s="3334" t="str">
        <f>Q25</f>
        <v>临街状况</v>
      </c>
      <c r="AA25" s="3337">
        <f t="shared" si="3"/>
        <v>1.0101010101010102</v>
      </c>
      <c r="AB25" s="3337">
        <f t="shared" si="4"/>
        <v>1.0101010101010102</v>
      </c>
      <c r="AC25" s="3337">
        <f t="shared" si="5"/>
        <v>1.0101010101010102</v>
      </c>
    </row>
    <row r="26" spans="1:29" ht="14.25">
      <c r="A26" s="151"/>
      <c r="B26" s="1356" t="s">
        <v>1023</v>
      </c>
      <c r="C26" s="93" t="s">
        <v>3672</v>
      </c>
      <c r="D26" s="777">
        <v>100</v>
      </c>
      <c r="E26" s="93" t="s">
        <v>3673</v>
      </c>
      <c r="F26" s="803">
        <f>SUMIF(88:88,E26,89:89)-SUMIF(88:88,C26,89:89)+100</f>
        <v>90</v>
      </c>
      <c r="G26" s="93" t="s">
        <v>3674</v>
      </c>
      <c r="H26" s="777">
        <f>SUMIF(88:88,G26,89:89)-SUMIF(88:88,C26,89:89)+100</f>
        <v>90</v>
      </c>
      <c r="I26" s="93" t="s">
        <v>3658</v>
      </c>
      <c r="J26" s="777">
        <f>SUMIF(88:88,I26,89:89)-SUMIF(88:88,C26,89:89)+100</f>
        <v>95</v>
      </c>
      <c r="K26" s="188"/>
      <c r="L26" s="2298"/>
      <c r="M26" s="2293"/>
      <c r="N26" s="2293"/>
      <c r="O26" s="2293"/>
      <c r="P26" s="3656"/>
      <c r="Q26" s="3336" t="str">
        <f t="shared" si="11"/>
        <v>平面位置/可视性</v>
      </c>
      <c r="R26" s="1351" t="s">
        <v>65</v>
      </c>
      <c r="S26" s="1352">
        <f>F26</f>
        <v>90</v>
      </c>
      <c r="T26" s="1351" t="s">
        <v>65</v>
      </c>
      <c r="U26" s="1352">
        <f>H26</f>
        <v>90</v>
      </c>
      <c r="V26" s="1351" t="s">
        <v>65</v>
      </c>
      <c r="W26" s="1352">
        <f>J26</f>
        <v>95</v>
      </c>
      <c r="X26" s="3333"/>
      <c r="Y26" s="3658"/>
      <c r="Z26" s="3334" t="str">
        <f>Q26</f>
        <v>平面位置/可视性</v>
      </c>
      <c r="AA26" s="3337">
        <f t="shared" si="3"/>
        <v>1.1111111111111112</v>
      </c>
      <c r="AB26" s="3337">
        <f t="shared" si="4"/>
        <v>1.1111111111111112</v>
      </c>
      <c r="AC26" s="3337">
        <f t="shared" si="5"/>
        <v>1.0526315789473684</v>
      </c>
    </row>
    <row r="27" spans="1:29" s="40" customFormat="1" ht="15">
      <c r="A27" s="1029"/>
      <c r="B27" s="1355" t="s">
        <v>1024</v>
      </c>
      <c r="C27" s="1386" t="s">
        <v>3669</v>
      </c>
      <c r="D27" s="804">
        <v>100</v>
      </c>
      <c r="E27" s="1386" t="s">
        <v>3669</v>
      </c>
      <c r="F27" s="806">
        <f>SUMIF(90:90,E27,91:91)-SUMIF(90:90,C27,91:91)+100</f>
        <v>100</v>
      </c>
      <c r="G27" s="1386" t="s">
        <v>3669</v>
      </c>
      <c r="H27" s="804">
        <f>SUMIF(90:90,G27,91:91)-SUMIF(90:90,C27,91:91)+100</f>
        <v>100</v>
      </c>
      <c r="I27" s="1386" t="s">
        <v>3669</v>
      </c>
      <c r="J27" s="804">
        <f>SUMIF(90:90,I27,91:91)-SUMIF(90:90,C27,91:91)+100</f>
        <v>100</v>
      </c>
      <c r="K27" s="954">
        <v>5</v>
      </c>
      <c r="L27" s="2294"/>
      <c r="M27" s="2256"/>
      <c r="N27" s="2256"/>
      <c r="O27" s="2256"/>
      <c r="P27" s="3656"/>
      <c r="Q27" s="3326" t="str">
        <f t="shared" si="11"/>
        <v>人流量</v>
      </c>
      <c r="R27" s="1341" t="s">
        <v>65</v>
      </c>
      <c r="S27" s="1342">
        <f>F27</f>
        <v>100</v>
      </c>
      <c r="T27" s="1341" t="s">
        <v>65</v>
      </c>
      <c r="U27" s="1342">
        <f>H27</f>
        <v>100</v>
      </c>
      <c r="V27" s="1341" t="s">
        <v>65</v>
      </c>
      <c r="W27" s="1342">
        <f>J27</f>
        <v>100</v>
      </c>
      <c r="X27" s="287"/>
      <c r="Y27" s="3658"/>
      <c r="Z27" s="3327" t="str">
        <f>Q27</f>
        <v>人流量</v>
      </c>
      <c r="AA27" s="3337">
        <f>D27/F27</f>
        <v>1</v>
      </c>
      <c r="AB27" s="3337">
        <f>D27/H27</f>
        <v>1</v>
      </c>
      <c r="AC27" s="3337">
        <f>D27/J27</f>
        <v>1</v>
      </c>
    </row>
    <row r="28" spans="1:29" ht="14.25">
      <c r="A28" s="151"/>
      <c r="B28" s="3331" t="s">
        <v>132</v>
      </c>
      <c r="C28" s="182" t="s">
        <v>3648</v>
      </c>
      <c r="D28" s="777">
        <v>100</v>
      </c>
      <c r="E28" s="182">
        <v>1</v>
      </c>
      <c r="F28" s="803">
        <f>SUMIF(92:92,E28,93:93)-SUMIF(92:92,C28,93:93)+100</f>
        <v>120</v>
      </c>
      <c r="G28" s="182">
        <v>1</v>
      </c>
      <c r="H28" s="777">
        <f>SUMIF(92:92,G28,93:93)-SUMIF(92:92,C28,93:93)+100</f>
        <v>120</v>
      </c>
      <c r="I28" s="182">
        <v>1</v>
      </c>
      <c r="J28" s="777">
        <f>SUMIF(92:92,I28,93:93)-SUMIF(92:92,C28,93:93)+100</f>
        <v>120</v>
      </c>
      <c r="K28" s="188"/>
      <c r="L28" s="2298"/>
      <c r="M28" s="2293"/>
      <c r="N28" s="2293"/>
      <c r="O28" s="2293"/>
      <c r="P28" s="3656"/>
      <c r="Q28" s="3336" t="str">
        <f t="shared" si="11"/>
        <v>楼层</v>
      </c>
      <c r="R28" s="1351" t="s">
        <v>65</v>
      </c>
      <c r="S28" s="1352">
        <f t="shared" ref="S28:S46" si="12">F28</f>
        <v>120</v>
      </c>
      <c r="T28" s="1351" t="s">
        <v>65</v>
      </c>
      <c r="U28" s="1352">
        <f t="shared" ref="U28:U46" si="13">H28</f>
        <v>120</v>
      </c>
      <c r="V28" s="1351" t="s">
        <v>65</v>
      </c>
      <c r="W28" s="1352">
        <f t="shared" ref="W28:W46" si="14">J28</f>
        <v>120</v>
      </c>
      <c r="X28" s="3333"/>
      <c r="Y28" s="3658"/>
      <c r="Z28" s="3334" t="str">
        <f t="shared" ref="Z28:Z46" si="15">Q28</f>
        <v>楼层</v>
      </c>
      <c r="AA28" s="3337">
        <f t="shared" si="3"/>
        <v>0.83333333333333337</v>
      </c>
      <c r="AB28" s="3337">
        <f t="shared" si="4"/>
        <v>0.83333333333333337</v>
      </c>
      <c r="AC28" s="3337">
        <f t="shared" si="5"/>
        <v>0.83333333333333337</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56"/>
      <c r="Q29" s="3336">
        <f t="shared" si="11"/>
        <v>111</v>
      </c>
      <c r="R29" s="1351" t="s">
        <v>65</v>
      </c>
      <c r="S29" s="1352">
        <f t="shared" si="12"/>
        <v>100</v>
      </c>
      <c r="T29" s="1351" t="s">
        <v>65</v>
      </c>
      <c r="U29" s="1352">
        <f t="shared" si="13"/>
        <v>100</v>
      </c>
      <c r="V29" s="1351" t="s">
        <v>65</v>
      </c>
      <c r="W29" s="1352">
        <f t="shared" si="14"/>
        <v>100</v>
      </c>
      <c r="X29" s="3333"/>
      <c r="Y29" s="3658"/>
      <c r="Z29" s="3334">
        <f t="shared" si="15"/>
        <v>111</v>
      </c>
      <c r="AA29" s="3337">
        <f t="shared" si="3"/>
        <v>1</v>
      </c>
      <c r="AB29" s="3337">
        <f t="shared" si="4"/>
        <v>1</v>
      </c>
      <c r="AC29" s="3337">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56"/>
      <c r="Q30" s="3336">
        <f t="shared" si="11"/>
        <v>111</v>
      </c>
      <c r="R30" s="1351" t="s">
        <v>65</v>
      </c>
      <c r="S30" s="1352">
        <f t="shared" si="12"/>
        <v>100</v>
      </c>
      <c r="T30" s="1351" t="s">
        <v>65</v>
      </c>
      <c r="U30" s="1352">
        <f t="shared" si="13"/>
        <v>100</v>
      </c>
      <c r="V30" s="1351" t="s">
        <v>65</v>
      </c>
      <c r="W30" s="1352">
        <f t="shared" si="14"/>
        <v>100</v>
      </c>
      <c r="X30" s="3333"/>
      <c r="Y30" s="3658"/>
      <c r="Z30" s="3334">
        <f t="shared" si="15"/>
        <v>111</v>
      </c>
      <c r="AA30" s="3337">
        <f t="shared" si="3"/>
        <v>1</v>
      </c>
      <c r="AB30" s="3337">
        <f t="shared" si="4"/>
        <v>1</v>
      </c>
      <c r="AC30" s="3337">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56"/>
      <c r="Q31" s="3336">
        <f t="shared" si="11"/>
        <v>111</v>
      </c>
      <c r="R31" s="1351" t="s">
        <v>65</v>
      </c>
      <c r="S31" s="1352">
        <f t="shared" si="12"/>
        <v>100</v>
      </c>
      <c r="T31" s="1351" t="s">
        <v>65</v>
      </c>
      <c r="U31" s="1352">
        <f t="shared" si="13"/>
        <v>100</v>
      </c>
      <c r="V31" s="1351" t="s">
        <v>65</v>
      </c>
      <c r="W31" s="1352">
        <f t="shared" si="14"/>
        <v>100</v>
      </c>
      <c r="X31" s="3333"/>
      <c r="Y31" s="3658"/>
      <c r="Z31" s="3334">
        <f t="shared" si="15"/>
        <v>111</v>
      </c>
      <c r="AA31" s="3337">
        <f t="shared" si="3"/>
        <v>1</v>
      </c>
      <c r="AB31" s="3337">
        <f t="shared" si="4"/>
        <v>1</v>
      </c>
      <c r="AC31" s="3337">
        <f t="shared" si="5"/>
        <v>1</v>
      </c>
    </row>
    <row r="32" spans="1:29" ht="15">
      <c r="A32" s="155" t="s">
        <v>70</v>
      </c>
      <c r="B32" s="62" t="s">
        <v>1026</v>
      </c>
      <c r="C32" s="110" t="s">
        <v>3686</v>
      </c>
      <c r="D32" s="809">
        <v>100</v>
      </c>
      <c r="E32" s="110" t="s">
        <v>3686</v>
      </c>
      <c r="F32" s="803">
        <f>SUMIF(100:100,E32,101:101)-SUMIF(100:100,C32,101:101)+100</f>
        <v>100</v>
      </c>
      <c r="G32" s="110" t="s">
        <v>3686</v>
      </c>
      <c r="H32" s="777">
        <f>SUMIF(100:100,G32,101:101)-SUMIF(100:100,C32,101:101)+100</f>
        <v>100</v>
      </c>
      <c r="I32" s="110" t="s">
        <v>3686</v>
      </c>
      <c r="J32" s="809">
        <f>SUMIF(100:100,I32,101:101)-SUMIF(100:100,C32,101:101)+100</f>
        <v>100</v>
      </c>
      <c r="K32" s="954">
        <v>3</v>
      </c>
      <c r="L32" s="2298"/>
      <c r="M32" s="2293"/>
      <c r="N32" s="2293"/>
      <c r="O32" s="2293"/>
      <c r="P32" s="3659" t="s">
        <v>70</v>
      </c>
      <c r="Q32" s="3336" t="str">
        <f t="shared" si="11"/>
        <v>商业类型</v>
      </c>
      <c r="R32" s="1351" t="s">
        <v>65</v>
      </c>
      <c r="S32" s="1352">
        <f t="shared" si="12"/>
        <v>100</v>
      </c>
      <c r="T32" s="1351" t="s">
        <v>65</v>
      </c>
      <c r="U32" s="1352">
        <f t="shared" si="13"/>
        <v>100</v>
      </c>
      <c r="V32" s="1351" t="s">
        <v>65</v>
      </c>
      <c r="W32" s="1352">
        <f t="shared" si="14"/>
        <v>100</v>
      </c>
      <c r="X32" s="3333"/>
      <c r="Y32" s="3662" t="s">
        <v>70</v>
      </c>
      <c r="Z32" s="3334" t="str">
        <f t="shared" si="15"/>
        <v>商业类型</v>
      </c>
      <c r="AA32" s="3337">
        <f t="shared" si="3"/>
        <v>1</v>
      </c>
      <c r="AB32" s="3337">
        <f t="shared" si="4"/>
        <v>1</v>
      </c>
      <c r="AC32" s="3337">
        <f t="shared" si="5"/>
        <v>1</v>
      </c>
    </row>
    <row r="33" spans="1:29" s="1038" customFormat="1" ht="14.25">
      <c r="A33" s="1042"/>
      <c r="B33" s="3331" t="s">
        <v>76</v>
      </c>
      <c r="C33" s="811">
        <f>面积!E108</f>
        <v>134.66</v>
      </c>
      <c r="D33" s="426">
        <v>100</v>
      </c>
      <c r="E33" s="772">
        <v>188</v>
      </c>
      <c r="F33" s="767">
        <f>LOOKUP(E33,103:103,104:104)-LOOKUP(C33,103:103,104:104)+100</f>
        <v>100</v>
      </c>
      <c r="G33" s="771">
        <v>120</v>
      </c>
      <c r="H33" s="426">
        <f>LOOKUP(G33,103:103,104:104)-LOOKUP(C33,103:103,104:104)+100</f>
        <v>100</v>
      </c>
      <c r="I33" s="771">
        <v>500</v>
      </c>
      <c r="J33" s="426">
        <f>LOOKUP(I33,103:103,104:104)-LOOKUP(C33,103:103,104:104)+100</f>
        <v>94</v>
      </c>
      <c r="K33" s="188"/>
      <c r="L33" s="2297"/>
      <c r="M33" s="2299"/>
      <c r="N33" s="2299"/>
      <c r="O33" s="2299"/>
      <c r="P33" s="3660"/>
      <c r="Q33" s="1358" t="str">
        <f t="shared" si="11"/>
        <v>项目建筑规模</v>
      </c>
      <c r="R33" s="1359" t="s">
        <v>65</v>
      </c>
      <c r="S33" s="1360">
        <f t="shared" si="12"/>
        <v>100</v>
      </c>
      <c r="T33" s="1359" t="s">
        <v>65</v>
      </c>
      <c r="U33" s="1360">
        <f t="shared" si="13"/>
        <v>100</v>
      </c>
      <c r="V33" s="1359" t="s">
        <v>65</v>
      </c>
      <c r="W33" s="1360">
        <f t="shared" si="14"/>
        <v>94</v>
      </c>
      <c r="X33" s="1361"/>
      <c r="Y33" s="3662"/>
      <c r="Z33" s="1362" t="str">
        <f t="shared" si="15"/>
        <v>项目建筑规模</v>
      </c>
      <c r="AA33" s="3337">
        <f t="shared" si="3"/>
        <v>1</v>
      </c>
      <c r="AB33" s="3337">
        <f t="shared" si="4"/>
        <v>1</v>
      </c>
      <c r="AC33" s="3337">
        <f t="shared" si="5"/>
        <v>1.0638297872340425</v>
      </c>
    </row>
    <row r="34" spans="1:29" ht="15">
      <c r="A34" s="161"/>
      <c r="B34" s="3331"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v>2</v>
      </c>
      <c r="L34" s="2298"/>
      <c r="M34" s="2293"/>
      <c r="N34" s="2293"/>
      <c r="O34" s="2293"/>
      <c r="P34" s="3660"/>
      <c r="Q34" s="3336" t="str">
        <f t="shared" si="11"/>
        <v>建筑结构</v>
      </c>
      <c r="R34" s="1351" t="s">
        <v>65</v>
      </c>
      <c r="S34" s="1352">
        <f t="shared" si="12"/>
        <v>100</v>
      </c>
      <c r="T34" s="1351" t="s">
        <v>65</v>
      </c>
      <c r="U34" s="1352">
        <f t="shared" si="13"/>
        <v>100</v>
      </c>
      <c r="V34" s="1351" t="s">
        <v>65</v>
      </c>
      <c r="W34" s="1352">
        <f t="shared" si="14"/>
        <v>100</v>
      </c>
      <c r="X34" s="3333"/>
      <c r="Y34" s="3662"/>
      <c r="Z34" s="3334" t="str">
        <f t="shared" si="15"/>
        <v>建筑结构</v>
      </c>
      <c r="AA34" s="3337">
        <f t="shared" si="3"/>
        <v>1</v>
      </c>
      <c r="AB34" s="3337">
        <f t="shared" si="4"/>
        <v>1</v>
      </c>
      <c r="AC34" s="3337">
        <f t="shared" si="5"/>
        <v>1</v>
      </c>
    </row>
    <row r="35" spans="1:29" ht="15">
      <c r="A35" s="161"/>
      <c r="B35" s="3331" t="s">
        <v>133</v>
      </c>
      <c r="C35" s="109" t="s">
        <v>3607</v>
      </c>
      <c r="D35" s="777">
        <v>100</v>
      </c>
      <c r="E35" s="109" t="s">
        <v>3607</v>
      </c>
      <c r="F35" s="803">
        <f>SUMIF(107:107,E35,108:108)-SUMIF(107:107,C35,108:108)+100</f>
        <v>100</v>
      </c>
      <c r="G35" s="109" t="s">
        <v>3607</v>
      </c>
      <c r="H35" s="777">
        <f>SUMIF(107:107,G35,108:108)-SUMIF(107:107,C35,108:108)+100</f>
        <v>100</v>
      </c>
      <c r="I35" s="109" t="s">
        <v>3607</v>
      </c>
      <c r="J35" s="777">
        <f>SUMIF(107:107,I35,108:108)-SUMIF(107:107,C35,108:108)+100</f>
        <v>100</v>
      </c>
      <c r="K35" s="954">
        <v>3</v>
      </c>
      <c r="L35" s="2298"/>
      <c r="M35" s="2293"/>
      <c r="N35" s="2293"/>
      <c r="O35" s="2293"/>
      <c r="P35" s="3660"/>
      <c r="Q35" s="3336" t="str">
        <f t="shared" si="11"/>
        <v>公共部分装修</v>
      </c>
      <c r="R35" s="1351" t="s">
        <v>65</v>
      </c>
      <c r="S35" s="1352">
        <f t="shared" si="12"/>
        <v>100</v>
      </c>
      <c r="T35" s="1351" t="s">
        <v>65</v>
      </c>
      <c r="U35" s="1352">
        <f t="shared" si="13"/>
        <v>100</v>
      </c>
      <c r="V35" s="1351" t="s">
        <v>65</v>
      </c>
      <c r="W35" s="1352">
        <f t="shared" si="14"/>
        <v>100</v>
      </c>
      <c r="X35" s="3333"/>
      <c r="Y35" s="3662"/>
      <c r="Z35" s="3334" t="str">
        <f t="shared" si="15"/>
        <v>公共部分装修</v>
      </c>
      <c r="AA35" s="3337">
        <f t="shared" si="3"/>
        <v>1</v>
      </c>
      <c r="AB35" s="3337">
        <f t="shared" si="4"/>
        <v>1</v>
      </c>
      <c r="AC35" s="3337">
        <f t="shared" si="5"/>
        <v>1</v>
      </c>
    </row>
    <row r="36" spans="1:29" ht="15">
      <c r="A36" s="161"/>
      <c r="B36" s="3331" t="s">
        <v>134</v>
      </c>
      <c r="C36" s="816">
        <v>0.97</v>
      </c>
      <c r="D36" s="777">
        <v>100</v>
      </c>
      <c r="E36" s="816">
        <v>0.97</v>
      </c>
      <c r="F36" s="803">
        <f>LOOKUP(E36,110:110,111:111)-LOOKUP(C36,110:110,111:111)+100</f>
        <v>100</v>
      </c>
      <c r="G36" s="816">
        <v>0.97</v>
      </c>
      <c r="H36" s="803">
        <f>LOOKUP(G36,110:110,111:111)-LOOKUP(C36,110:110,111:111)+100</f>
        <v>100</v>
      </c>
      <c r="I36" s="816">
        <v>0.97</v>
      </c>
      <c r="J36" s="777">
        <f>LOOKUP(I36,110:110,111:111)-LOOKUP(C36,110:110,111:111)+100</f>
        <v>100</v>
      </c>
      <c r="K36" s="954">
        <v>2</v>
      </c>
      <c r="L36" s="2298"/>
      <c r="M36" s="2293"/>
      <c r="N36" s="2293"/>
      <c r="O36" s="2293"/>
      <c r="P36" s="3660"/>
      <c r="Q36" s="3336" t="str">
        <f t="shared" si="11"/>
        <v>成新度</v>
      </c>
      <c r="R36" s="1351" t="s">
        <v>65</v>
      </c>
      <c r="S36" s="1352">
        <f t="shared" si="12"/>
        <v>100</v>
      </c>
      <c r="T36" s="1351" t="s">
        <v>65</v>
      </c>
      <c r="U36" s="1352">
        <f t="shared" si="13"/>
        <v>100</v>
      </c>
      <c r="V36" s="1351" t="s">
        <v>65</v>
      </c>
      <c r="W36" s="1352">
        <f t="shared" si="14"/>
        <v>100</v>
      </c>
      <c r="X36" s="3333"/>
      <c r="Y36" s="3662"/>
      <c r="Z36" s="3334" t="str">
        <f t="shared" si="15"/>
        <v>成新度</v>
      </c>
      <c r="AA36" s="3337">
        <f t="shared" si="3"/>
        <v>1</v>
      </c>
      <c r="AB36" s="3337">
        <f t="shared" si="4"/>
        <v>1</v>
      </c>
      <c r="AC36" s="3337">
        <f t="shared" si="5"/>
        <v>1</v>
      </c>
    </row>
    <row r="37" spans="1:29" s="40" customFormat="1" ht="15">
      <c r="A37" s="1040"/>
      <c r="B37" s="3331" t="s">
        <v>2661</v>
      </c>
      <c r="C37" s="109" t="s">
        <v>3612</v>
      </c>
      <c r="D37" s="426">
        <v>100</v>
      </c>
      <c r="E37" s="109" t="s">
        <v>3612</v>
      </c>
      <c r="F37" s="803">
        <f>SUMIF(112:112,E37,113:113)-SUMIF(112:112,C37,113:113)+100</f>
        <v>100</v>
      </c>
      <c r="G37" s="109" t="s">
        <v>3612</v>
      </c>
      <c r="H37" s="777">
        <f>SUMIF(112:112,G37,113:113)-SUMIF(112:112,C37,113:113)+100</f>
        <v>100</v>
      </c>
      <c r="I37" s="109" t="s">
        <v>3612</v>
      </c>
      <c r="J37" s="777">
        <f>SUMIF(112:112,I37,113:113)-SUMIF(112:112,C37,113:113)+100</f>
        <v>100</v>
      </c>
      <c r="K37" s="954">
        <v>2</v>
      </c>
      <c r="L37" s="2294"/>
      <c r="M37" s="2256"/>
      <c r="N37" s="2256"/>
      <c r="O37" s="2256"/>
      <c r="P37" s="3660"/>
      <c r="Q37" s="3326" t="str">
        <f t="shared" si="11"/>
        <v>市政基础设施</v>
      </c>
      <c r="R37" s="1341" t="s">
        <v>65</v>
      </c>
      <c r="S37" s="1342">
        <f t="shared" si="12"/>
        <v>100</v>
      </c>
      <c r="T37" s="1341" t="s">
        <v>65</v>
      </c>
      <c r="U37" s="1342">
        <f t="shared" si="13"/>
        <v>100</v>
      </c>
      <c r="V37" s="1341" t="s">
        <v>65</v>
      </c>
      <c r="W37" s="1342">
        <f t="shared" si="14"/>
        <v>100</v>
      </c>
      <c r="X37" s="287"/>
      <c r="Y37" s="3662"/>
      <c r="Z37" s="3327" t="str">
        <f t="shared" si="15"/>
        <v>市政基础设施</v>
      </c>
      <c r="AA37" s="1343">
        <f t="shared" si="3"/>
        <v>1</v>
      </c>
      <c r="AB37" s="1343">
        <f t="shared" si="4"/>
        <v>1</v>
      </c>
      <c r="AC37" s="1343">
        <f t="shared" si="5"/>
        <v>1</v>
      </c>
    </row>
    <row r="38" spans="1:29" ht="15">
      <c r="A38" s="161"/>
      <c r="B38" s="3331" t="s">
        <v>135</v>
      </c>
      <c r="C38" s="109" t="s">
        <v>3616</v>
      </c>
      <c r="D38" s="777">
        <v>100</v>
      </c>
      <c r="E38" s="109" t="s">
        <v>3616</v>
      </c>
      <c r="F38" s="803">
        <f>SUMIF(114:114,E38,115:115)-SUMIF(114:114,C38,115:115)+100</f>
        <v>100</v>
      </c>
      <c r="G38" s="109" t="s">
        <v>3616</v>
      </c>
      <c r="H38" s="777">
        <f>SUMIF(114:114,G38,115:115)-SUMIF(114:114,C38,115:115)+100</f>
        <v>100</v>
      </c>
      <c r="I38" s="109" t="s">
        <v>3616</v>
      </c>
      <c r="J38" s="777">
        <f>SUMIF(114:114,I38,115:115)-SUMIF(114:114,C38,115:115)+100</f>
        <v>100</v>
      </c>
      <c r="K38" s="954">
        <v>3</v>
      </c>
      <c r="L38" s="2298"/>
      <c r="M38" s="2293"/>
      <c r="N38" s="2293"/>
      <c r="O38" s="2293"/>
      <c r="P38" s="3660" t="s">
        <v>70</v>
      </c>
      <c r="Q38" s="3336" t="str">
        <f t="shared" si="11"/>
        <v>业态</v>
      </c>
      <c r="R38" s="1351" t="s">
        <v>65</v>
      </c>
      <c r="S38" s="1352">
        <f t="shared" si="12"/>
        <v>100</v>
      </c>
      <c r="T38" s="1351" t="s">
        <v>65</v>
      </c>
      <c r="U38" s="1352">
        <f t="shared" si="13"/>
        <v>100</v>
      </c>
      <c r="V38" s="1351" t="s">
        <v>65</v>
      </c>
      <c r="W38" s="1352">
        <f t="shared" si="14"/>
        <v>100</v>
      </c>
      <c r="X38" s="3333"/>
      <c r="Y38" s="3662" t="s">
        <v>70</v>
      </c>
      <c r="Z38" s="3334" t="str">
        <f t="shared" si="15"/>
        <v>业态</v>
      </c>
      <c r="AA38" s="3337">
        <f t="shared" si="3"/>
        <v>1</v>
      </c>
      <c r="AB38" s="3337">
        <f t="shared" si="4"/>
        <v>1</v>
      </c>
      <c r="AC38" s="3337">
        <f t="shared" si="5"/>
        <v>1</v>
      </c>
    </row>
    <row r="39" spans="1:29" ht="15">
      <c r="A39" s="161"/>
      <c r="B39" s="3331"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v>3</v>
      </c>
      <c r="L39" s="2298"/>
      <c r="M39" s="2293"/>
      <c r="N39" s="2293"/>
      <c r="O39" s="2293"/>
      <c r="P39" s="3660"/>
      <c r="Q39" s="3336" t="str">
        <f t="shared" si="11"/>
        <v>层高</v>
      </c>
      <c r="R39" s="1351" t="s">
        <v>65</v>
      </c>
      <c r="S39" s="1352">
        <f t="shared" si="12"/>
        <v>100</v>
      </c>
      <c r="T39" s="1351" t="s">
        <v>65</v>
      </c>
      <c r="U39" s="1352">
        <f t="shared" si="13"/>
        <v>100</v>
      </c>
      <c r="V39" s="1351" t="s">
        <v>65</v>
      </c>
      <c r="W39" s="1352">
        <f t="shared" si="14"/>
        <v>100</v>
      </c>
      <c r="X39" s="3333"/>
      <c r="Y39" s="3662"/>
      <c r="Z39" s="3334" t="str">
        <f t="shared" si="15"/>
        <v>层高</v>
      </c>
      <c r="AA39" s="3337">
        <f t="shared" si="3"/>
        <v>1</v>
      </c>
      <c r="AB39" s="3337">
        <f t="shared" si="4"/>
        <v>1</v>
      </c>
      <c r="AC39" s="3337">
        <f t="shared" si="5"/>
        <v>1</v>
      </c>
    </row>
    <row r="40" spans="1:29" ht="14.25">
      <c r="A40" s="161"/>
      <c r="B40" s="3331" t="s">
        <v>1032</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8"/>
      <c r="M40" s="2293"/>
      <c r="N40" s="2293"/>
      <c r="O40" s="2293"/>
      <c r="P40" s="3660"/>
      <c r="Q40" s="3336" t="str">
        <f t="shared" si="11"/>
        <v>单套建筑面积</v>
      </c>
      <c r="R40" s="1351" t="s">
        <v>65</v>
      </c>
      <c r="S40" s="1352">
        <f t="shared" si="12"/>
        <v>100</v>
      </c>
      <c r="T40" s="1351" t="s">
        <v>65</v>
      </c>
      <c r="U40" s="1352">
        <f t="shared" si="13"/>
        <v>100</v>
      </c>
      <c r="V40" s="1351" t="s">
        <v>65</v>
      </c>
      <c r="W40" s="1352">
        <f t="shared" si="14"/>
        <v>100</v>
      </c>
      <c r="X40" s="3333"/>
      <c r="Y40" s="3662"/>
      <c r="Z40" s="3334" t="str">
        <f t="shared" si="15"/>
        <v>单套建筑面积</v>
      </c>
      <c r="AA40" s="3337">
        <f t="shared" si="3"/>
        <v>1</v>
      </c>
      <c r="AB40" s="3337">
        <f t="shared" si="4"/>
        <v>1</v>
      </c>
      <c r="AC40" s="3337">
        <f t="shared" si="5"/>
        <v>1</v>
      </c>
    </row>
    <row r="41" spans="1:29" s="1038" customFormat="1" ht="15">
      <c r="A41" s="1042"/>
      <c r="B41" s="3335"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7"/>
      <c r="M41" s="2299"/>
      <c r="N41" s="2299"/>
      <c r="O41" s="2299"/>
      <c r="P41" s="3660"/>
      <c r="Q41" s="1358" t="str">
        <f t="shared" si="11"/>
        <v>进深比</v>
      </c>
      <c r="R41" s="1359" t="s">
        <v>65</v>
      </c>
      <c r="S41" s="1360">
        <f t="shared" si="12"/>
        <v>100</v>
      </c>
      <c r="T41" s="1359" t="s">
        <v>65</v>
      </c>
      <c r="U41" s="1360">
        <f t="shared" si="13"/>
        <v>100</v>
      </c>
      <c r="V41" s="1359" t="s">
        <v>65</v>
      </c>
      <c r="W41" s="1360">
        <f t="shared" si="14"/>
        <v>100</v>
      </c>
      <c r="X41" s="1361"/>
      <c r="Y41" s="3662"/>
      <c r="Z41" s="1362" t="str">
        <f t="shared" si="15"/>
        <v>进深比</v>
      </c>
      <c r="AA41" s="3337">
        <f t="shared" si="3"/>
        <v>1</v>
      </c>
      <c r="AB41" s="3337">
        <f t="shared" si="4"/>
        <v>1</v>
      </c>
      <c r="AC41" s="3337">
        <f t="shared" si="5"/>
        <v>1</v>
      </c>
    </row>
    <row r="42" spans="1:29" ht="15">
      <c r="A42" s="161"/>
      <c r="B42" s="3331" t="s">
        <v>1034</v>
      </c>
      <c r="C42" s="109" t="s">
        <v>3607</v>
      </c>
      <c r="D42" s="777">
        <v>100</v>
      </c>
      <c r="E42" s="109" t="s">
        <v>3607</v>
      </c>
      <c r="F42" s="803">
        <f>SUMIF(122:122,E42,123:123)-SUMIF(122:122,C42,123:123)+100</f>
        <v>100</v>
      </c>
      <c r="G42" s="109" t="s">
        <v>3607</v>
      </c>
      <c r="H42" s="777">
        <f>SUMIF(122:122,G42,123:123)-SUMIF(122:122,C42,123:123)+100</f>
        <v>100</v>
      </c>
      <c r="I42" s="109" t="s">
        <v>3607</v>
      </c>
      <c r="J42" s="777">
        <f>SUMIF(122:122,I42,123:123)-SUMIF(122:122,C42,123:123)+100</f>
        <v>100</v>
      </c>
      <c r="K42" s="954">
        <v>3</v>
      </c>
      <c r="L42" s="2298"/>
      <c r="M42" s="2293"/>
      <c r="N42" s="2293"/>
      <c r="O42" s="2293"/>
      <c r="P42" s="3660"/>
      <c r="Q42" s="3336" t="str">
        <f t="shared" si="11"/>
        <v>内部装修</v>
      </c>
      <c r="R42" s="1351" t="s">
        <v>65</v>
      </c>
      <c r="S42" s="1352">
        <f t="shared" si="12"/>
        <v>100</v>
      </c>
      <c r="T42" s="1351" t="s">
        <v>65</v>
      </c>
      <c r="U42" s="1352">
        <f t="shared" si="13"/>
        <v>100</v>
      </c>
      <c r="V42" s="1351" t="s">
        <v>65</v>
      </c>
      <c r="W42" s="1352">
        <f t="shared" si="14"/>
        <v>100</v>
      </c>
      <c r="X42" s="3333"/>
      <c r="Y42" s="3662"/>
      <c r="Z42" s="3334" t="str">
        <f t="shared" si="15"/>
        <v>内部装修</v>
      </c>
      <c r="AA42" s="3337">
        <f t="shared" si="3"/>
        <v>1</v>
      </c>
      <c r="AB42" s="3337">
        <f t="shared" si="4"/>
        <v>1</v>
      </c>
      <c r="AC42" s="3337">
        <f t="shared" si="5"/>
        <v>1</v>
      </c>
    </row>
    <row r="43" spans="1:29" ht="27">
      <c r="A43" s="161"/>
      <c r="B43" s="3331" t="s">
        <v>84</v>
      </c>
      <c r="C43" s="109" t="s">
        <v>3585</v>
      </c>
      <c r="D43" s="777">
        <v>100</v>
      </c>
      <c r="E43" s="109" t="s">
        <v>3585</v>
      </c>
      <c r="F43" s="803">
        <f>SUMIF(124:124,E43,125:125)-SUMIF(124:124,C43,125:125)+100</f>
        <v>100</v>
      </c>
      <c r="G43" s="109" t="s">
        <v>3585</v>
      </c>
      <c r="H43" s="777">
        <f>SUMIF(124:124,G43,125:125)-SUMIF(124:124,C43,125:125)+100</f>
        <v>100</v>
      </c>
      <c r="I43" s="109" t="s">
        <v>3585</v>
      </c>
      <c r="J43" s="777">
        <f>SUMIF(124:124,I43,125:125)-SUMIF(124:124,C43,125:125)+100</f>
        <v>100</v>
      </c>
      <c r="K43" s="954">
        <v>2</v>
      </c>
      <c r="L43" s="2298"/>
      <c r="M43" s="2293"/>
      <c r="N43" s="2293"/>
      <c r="O43" s="2293"/>
      <c r="P43" s="3660"/>
      <c r="Q43" s="3336" t="str">
        <f t="shared" si="11"/>
        <v>内部装修维护情况</v>
      </c>
      <c r="R43" s="1351" t="s">
        <v>65</v>
      </c>
      <c r="S43" s="1352">
        <f t="shared" si="12"/>
        <v>100</v>
      </c>
      <c r="T43" s="1351" t="s">
        <v>65</v>
      </c>
      <c r="U43" s="1352">
        <f t="shared" si="13"/>
        <v>100</v>
      </c>
      <c r="V43" s="1351" t="s">
        <v>65</v>
      </c>
      <c r="W43" s="1352">
        <f t="shared" si="14"/>
        <v>100</v>
      </c>
      <c r="X43" s="3333"/>
      <c r="Y43" s="3662"/>
      <c r="Z43" s="3334" t="str">
        <f t="shared" si="15"/>
        <v>内部装修维护情况</v>
      </c>
      <c r="AA43" s="3337">
        <f t="shared" si="3"/>
        <v>1</v>
      </c>
      <c r="AB43" s="3337">
        <f t="shared" si="4"/>
        <v>1</v>
      </c>
      <c r="AC43" s="3337">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60"/>
      <c r="Q44" s="3326">
        <f t="shared" si="11"/>
        <v>111</v>
      </c>
      <c r="R44" s="1341" t="s">
        <v>65</v>
      </c>
      <c r="S44" s="1342">
        <f t="shared" si="12"/>
        <v>100</v>
      </c>
      <c r="T44" s="1341" t="s">
        <v>65</v>
      </c>
      <c r="U44" s="1342">
        <f t="shared" si="13"/>
        <v>100</v>
      </c>
      <c r="V44" s="1341" t="s">
        <v>65</v>
      </c>
      <c r="W44" s="1342">
        <f t="shared" si="14"/>
        <v>100</v>
      </c>
      <c r="X44" s="287"/>
      <c r="Y44" s="3662"/>
      <c r="Z44" s="3327">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60"/>
      <c r="Q45" s="3336">
        <f t="shared" si="11"/>
        <v>111</v>
      </c>
      <c r="R45" s="1351" t="s">
        <v>65</v>
      </c>
      <c r="S45" s="1352">
        <f t="shared" si="12"/>
        <v>100</v>
      </c>
      <c r="T45" s="1351" t="s">
        <v>65</v>
      </c>
      <c r="U45" s="1352">
        <f t="shared" si="13"/>
        <v>100</v>
      </c>
      <c r="V45" s="1351" t="s">
        <v>65</v>
      </c>
      <c r="W45" s="1352">
        <f t="shared" si="14"/>
        <v>100</v>
      </c>
      <c r="X45" s="3333"/>
      <c r="Y45" s="3662"/>
      <c r="Z45" s="3334">
        <f t="shared" si="15"/>
        <v>111</v>
      </c>
      <c r="AA45" s="3337">
        <f t="shared" si="3"/>
        <v>1</v>
      </c>
      <c r="AB45" s="3337">
        <f t="shared" si="4"/>
        <v>1</v>
      </c>
      <c r="AC45" s="3337">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61"/>
      <c r="Q46" s="3336">
        <f t="shared" si="11"/>
        <v>111</v>
      </c>
      <c r="R46" s="1351" t="s">
        <v>65</v>
      </c>
      <c r="S46" s="1352">
        <f t="shared" si="12"/>
        <v>100</v>
      </c>
      <c r="T46" s="1351" t="s">
        <v>65</v>
      </c>
      <c r="U46" s="1352">
        <f t="shared" si="13"/>
        <v>100</v>
      </c>
      <c r="V46" s="1351" t="s">
        <v>65</v>
      </c>
      <c r="W46" s="1352">
        <f t="shared" si="14"/>
        <v>100</v>
      </c>
      <c r="X46" s="3333"/>
      <c r="Y46" s="3663"/>
      <c r="Z46" s="3334">
        <f t="shared" si="15"/>
        <v>111</v>
      </c>
      <c r="AA46" s="3337">
        <f t="shared" si="3"/>
        <v>1</v>
      </c>
      <c r="AB46" s="3337">
        <f t="shared" si="4"/>
        <v>1</v>
      </c>
      <c r="AC46" s="3337">
        <f t="shared" si="5"/>
        <v>1</v>
      </c>
    </row>
    <row r="47" spans="1:29" ht="15">
      <c r="A47" s="163" t="s">
        <v>1035</v>
      </c>
      <c r="B47" s="164"/>
      <c r="C47" s="2833" t="s">
        <v>23</v>
      </c>
      <c r="D47" s="2834"/>
      <c r="E47" s="2835">
        <f>售价案例!$Q$6</f>
        <v>80000</v>
      </c>
      <c r="F47" s="2836"/>
      <c r="G47" s="2837">
        <f>售价案例!$Q$7</f>
        <v>70000</v>
      </c>
      <c r="H47" s="2838"/>
      <c r="I47" s="2835">
        <f>售价案例!$Q$11</f>
        <v>70000</v>
      </c>
      <c r="J47" s="2838"/>
      <c r="K47" s="1392"/>
      <c r="L47" s="2300"/>
      <c r="M47" s="2301"/>
      <c r="N47" s="2293"/>
      <c r="O47" s="2301"/>
      <c r="P47" s="3650" t="str">
        <f>A47</f>
        <v>成交单价（元/平方米）</v>
      </c>
      <c r="Q47" s="3650"/>
      <c r="R47" s="3664">
        <f>E47</f>
        <v>80000</v>
      </c>
      <c r="S47" s="3664"/>
      <c r="T47" s="3664">
        <f>G47</f>
        <v>70000</v>
      </c>
      <c r="U47" s="3664"/>
      <c r="V47" s="3664">
        <f>I47</f>
        <v>70000</v>
      </c>
      <c r="W47" s="3664"/>
      <c r="X47" s="1364"/>
      <c r="Y47" s="1365"/>
      <c r="Z47" s="1364"/>
      <c r="AA47" s="1364"/>
      <c r="AB47" s="1364"/>
      <c r="AC47" s="1364"/>
    </row>
    <row r="48" spans="1:29" ht="15.75" thickBot="1">
      <c r="A48" s="165" t="s">
        <v>1036</v>
      </c>
      <c r="B48" s="166"/>
      <c r="C48" s="2839">
        <f>R49</f>
        <v>68758</v>
      </c>
      <c r="D48" s="2840"/>
      <c r="E48" s="2841">
        <f>R48</f>
        <v>74822</v>
      </c>
      <c r="F48" s="2841"/>
      <c r="G48" s="2839">
        <f>T48</f>
        <v>65470</v>
      </c>
      <c r="H48" s="2840"/>
      <c r="I48" s="2841">
        <f>V48</f>
        <v>65983</v>
      </c>
      <c r="J48" s="2840"/>
      <c r="K48" s="1393"/>
      <c r="L48" s="2300"/>
      <c r="M48" s="2301"/>
      <c r="N48" s="2293"/>
      <c r="O48" s="2301"/>
      <c r="P48" s="3650" t="str">
        <f>A48</f>
        <v>比较价值（元/平方米）</v>
      </c>
      <c r="Q48" s="3650"/>
      <c r="R48" s="3651">
        <f>IF(F1="售价",ROUND(PRODUCT(R47,AA7:AA46),0),ROUND(PRODUCT(R47,AA7:AA46),1))</f>
        <v>74822</v>
      </c>
      <c r="S48" s="3651"/>
      <c r="T48" s="3651">
        <f>IF(F1="售价",ROUND(PRODUCT(T47,AB7:AB46),0),ROUND(PRODUCT(T47,AB7:AB46),1))</f>
        <v>65470</v>
      </c>
      <c r="U48" s="3651"/>
      <c r="V48" s="3651">
        <f>IF(F1="售价",ROUND(PRODUCT(V47,AC7:AC46),0),ROUND(PRODUCT(V47,AC7:AC46),1))</f>
        <v>65983</v>
      </c>
      <c r="W48" s="3651"/>
      <c r="X48" s="1364"/>
      <c r="Y48" s="1364"/>
      <c r="Z48" s="1364"/>
      <c r="AA48" s="1364"/>
      <c r="AB48" s="1364"/>
      <c r="AC48" s="1364"/>
    </row>
    <row r="49" spans="1:29" ht="15.75" thickBot="1">
      <c r="A49" s="115" t="s">
        <v>3025</v>
      </c>
      <c r="B49" s="116"/>
      <c r="C49" s="2843">
        <f>R49</f>
        <v>68758</v>
      </c>
      <c r="D49" s="2843"/>
      <c r="E49" s="2843"/>
      <c r="F49" s="2843"/>
      <c r="G49" s="2843"/>
      <c r="H49" s="2843"/>
      <c r="I49" s="2843"/>
      <c r="J49" s="2843"/>
      <c r="K49" s="1394"/>
      <c r="L49" s="2300"/>
      <c r="M49" s="2301"/>
      <c r="N49" s="2293"/>
      <c r="O49" s="2301"/>
      <c r="P49" s="3652" t="str">
        <f>A49</f>
        <v>估价对象XX用房的比较价值（楼面单价，元/平方米）</v>
      </c>
      <c r="Q49" s="3653"/>
      <c r="R49" s="3654">
        <f>IF(F1="售价",ROUND(AVERAGE(R48:V48),0),ROUND(AVERAGE(R48:V48),1))</f>
        <v>68758</v>
      </c>
      <c r="S49" s="3654"/>
      <c r="T49" s="3654"/>
      <c r="U49" s="3654"/>
      <c r="V49" s="3654"/>
      <c r="W49" s="3654"/>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4"/>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4"/>
      <c r="Q51" s="1364"/>
      <c r="R51" s="1364"/>
      <c r="S51" s="1364"/>
      <c r="T51" s="1364"/>
      <c r="U51" s="1364"/>
      <c r="V51" s="1364"/>
      <c r="W51" s="1364"/>
      <c r="X51" s="1364"/>
      <c r="Y51" s="1364"/>
      <c r="Z51" s="1364"/>
      <c r="AA51" s="1364"/>
      <c r="AB51" s="1364"/>
      <c r="AC51" s="1364"/>
    </row>
    <row r="52" spans="1:29" ht="13.5" customHeight="1">
      <c r="A52" s="2301"/>
      <c r="B52" s="2301"/>
      <c r="C52" s="839" t="s">
        <v>412</v>
      </c>
      <c r="D52" s="840"/>
      <c r="E52" s="841">
        <f>IF(E47&lt;E48,E48/E47-1,E47/E48-1)</f>
        <v>6.9204244740851628E-2</v>
      </c>
      <c r="F52" s="842" t="str">
        <f>IF(OR(E52&gt;=0.3,E52&lt;=-0.3),"超过30%","")</f>
        <v/>
      </c>
      <c r="G52" s="841">
        <f>IF(G47&lt;G48,G48/G47-1,G47/G48-1)</f>
        <v>6.9191996334198924E-2</v>
      </c>
      <c r="H52" s="842" t="str">
        <f>IF(OR(G52&gt;=0.3,G52&lt;=-0.3),"超过30%","")</f>
        <v/>
      </c>
      <c r="I52" s="841">
        <f>IF(I47&lt;I48,I48/I47-1,I47/I48-1)</f>
        <v>6.0879317399936239E-2</v>
      </c>
      <c r="J52" s="842" t="str">
        <f>IF(OR(I52&gt;=0.3,I52&lt;=-0.3),"超过30%","")</f>
        <v/>
      </c>
      <c r="K52" s="2302"/>
      <c r="L52" s="2303"/>
      <c r="M52" s="2301"/>
      <c r="N52" s="2301"/>
      <c r="O52" s="2301"/>
      <c r="P52" s="214"/>
      <c r="Q52" s="1364"/>
      <c r="R52" s="1364"/>
      <c r="S52" s="1364"/>
      <c r="T52" s="1364"/>
      <c r="U52" s="1364"/>
      <c r="V52" s="1364"/>
      <c r="W52" s="1364"/>
      <c r="X52" s="1364"/>
      <c r="Y52" s="1364"/>
      <c r="Z52" s="1364"/>
      <c r="AA52" s="1364"/>
      <c r="AB52" s="1364"/>
      <c r="AC52" s="1364"/>
    </row>
    <row r="53" spans="1:29" ht="13.5" customHeight="1">
      <c r="A53" s="2301"/>
      <c r="B53" s="2301"/>
      <c r="C53" s="839" t="s">
        <v>413</v>
      </c>
      <c r="D53" s="843"/>
      <c r="E53" s="841">
        <f>IF(E48&lt;G48,G48/E48-1,E48/G48-1)</f>
        <v>0.14284405071024886</v>
      </c>
      <c r="F53" s="842" t="str">
        <f>IF(OR(E53&gt;=0.2,E53&lt;=-0.2),"超过20%","")</f>
        <v/>
      </c>
      <c r="G53" s="841">
        <f>IF(G48&lt;I48,I48/G48-1,G48/I48-1)</f>
        <v>7.835649915991949E-3</v>
      </c>
      <c r="H53" s="842" t="str">
        <f>IF(OR(G53&gt;=0.2,G53&lt;=-0.2),"超过20%","")</f>
        <v/>
      </c>
      <c r="I53" s="841">
        <f>IF(I48&lt;E48,E48/I48-1,I48/E48-1)</f>
        <v>0.1339587469499719</v>
      </c>
      <c r="J53" s="842" t="str">
        <f>IF(OR(I53&gt;=0.2,I53&lt;=-0.2),"超过20%","")</f>
        <v/>
      </c>
      <c r="K53" s="2302"/>
      <c r="L53" s="2303"/>
      <c r="M53" s="2301"/>
      <c r="N53" s="2301"/>
      <c r="O53" s="2301"/>
      <c r="P53" s="214"/>
      <c r="Q53" s="1364"/>
      <c r="R53" s="1364"/>
      <c r="S53" s="1364"/>
      <c r="T53" s="1364"/>
      <c r="U53" s="1364"/>
      <c r="V53" s="1364"/>
      <c r="W53" s="1364"/>
      <c r="X53" s="1364"/>
      <c r="Y53" s="1364"/>
      <c r="Z53" s="1364"/>
      <c r="AA53" s="1364"/>
      <c r="AB53" s="1364"/>
      <c r="AC53" s="1364"/>
    </row>
    <row r="54" spans="1:29" s="119" customFormat="1" ht="13.5" customHeight="1">
      <c r="A54" s="2306"/>
      <c r="B54" s="2306"/>
      <c r="C54" s="839" t="s">
        <v>1007</v>
      </c>
      <c r="D54" s="843"/>
      <c r="E54" s="841">
        <f>IF(E47&lt;G47,G47/E47-1,E47/G47-1)</f>
        <v>0.14285714285714279</v>
      </c>
      <c r="F54" s="842" t="str">
        <f>IF(OR(E54&gt;=0.3,E54&lt;=-0.3),"超过30%","")</f>
        <v/>
      </c>
      <c r="G54" s="841">
        <f>IF(G47&lt;I47,I47/G47-1,G47/I47-1)</f>
        <v>0</v>
      </c>
      <c r="H54" s="842" t="str">
        <f>IF(OR(G54&gt;=0.3,G54&lt;=-0.3),"超过30%","")</f>
        <v/>
      </c>
      <c r="I54" s="841">
        <f>IF(I47&lt;E47,E47/I47-1,I47/E47-1)</f>
        <v>0.14285714285714279</v>
      </c>
      <c r="J54" s="842" t="str">
        <f>IF(OR(I54&gt;=0.3,I54&lt;=-0.3),"超过30%","")</f>
        <v/>
      </c>
      <c r="K54" s="2304"/>
      <c r="L54" s="2305"/>
      <c r="M54" s="2306"/>
      <c r="N54" s="2306"/>
      <c r="O54" s="2306"/>
      <c r="P54" s="1395"/>
      <c r="Q54" s="1369"/>
      <c r="R54" s="1369"/>
      <c r="S54" s="1369"/>
      <c r="T54" s="1369"/>
      <c r="U54" s="1369"/>
      <c r="V54" s="1369"/>
      <c r="W54" s="1369"/>
      <c r="X54" s="1369"/>
      <c r="Y54" s="1369"/>
      <c r="Z54" s="1369"/>
      <c r="AA54" s="1369"/>
      <c r="AB54" s="1369"/>
      <c r="AC54" s="1369"/>
    </row>
    <row r="55" spans="1:29" s="119"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2799</v>
      </c>
      <c r="B58" s="848"/>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4"/>
      <c r="B59" s="1045"/>
      <c r="C59" s="3040">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422</v>
      </c>
      <c r="F65" s="881" t="s">
        <v>423</v>
      </c>
      <c r="G65" s="881" t="s">
        <v>1012</v>
      </c>
      <c r="H65" s="881" t="s">
        <v>439</v>
      </c>
      <c r="I65" s="881" t="s">
        <v>1014</v>
      </c>
      <c r="J65" s="881"/>
      <c r="K65" s="882"/>
      <c r="L65" s="883"/>
      <c r="M65" s="884"/>
      <c r="N65" s="1388"/>
      <c r="O65" s="1388"/>
      <c r="P65" s="1378"/>
      <c r="Q65" s="121"/>
    </row>
    <row r="66" spans="1:17" ht="15" thickBot="1">
      <c r="A66" s="173"/>
      <c r="B66" s="1054"/>
      <c r="C66" s="886" t="s">
        <v>138</v>
      </c>
      <c r="D66" s="886" t="s">
        <v>138</v>
      </c>
      <c r="E66" s="886" t="s">
        <v>138</v>
      </c>
      <c r="F66" s="886">
        <v>100</v>
      </c>
      <c r="G66" s="886">
        <f>F66-$K10</f>
        <v>98</v>
      </c>
      <c r="H66" s="886">
        <f>G66-$K10</f>
        <v>96</v>
      </c>
      <c r="I66" s="886">
        <f>H66-$K10</f>
        <v>94</v>
      </c>
      <c r="J66" s="886"/>
      <c r="K66" s="886"/>
      <c r="L66" s="886"/>
      <c r="M66" s="887"/>
      <c r="N66" s="1389"/>
      <c r="O66" s="1389"/>
      <c r="P66" s="1378"/>
      <c r="Q66" s="121"/>
    </row>
    <row r="67" spans="1:17" ht="15" thickTop="1">
      <c r="A67" s="173"/>
      <c r="B67" s="1055" t="s">
        <v>93</v>
      </c>
      <c r="C67" s="889" t="str">
        <f>C68&amp;"（含）"&amp;"-"&amp;D68</f>
        <v>0（含）-3</v>
      </c>
      <c r="D67" s="889" t="str">
        <f t="shared" ref="D67:L67" si="17">D68&amp;"（含）"&amp;"-"&amp;E68</f>
        <v>3（含）-6</v>
      </c>
      <c r="E67" s="889" t="str">
        <f t="shared" si="17"/>
        <v>6（含）-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3</v>
      </c>
      <c r="E68" s="891">
        <v>6</v>
      </c>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1046</v>
      </c>
      <c r="C76" s="915" t="s">
        <v>1015</v>
      </c>
      <c r="D76" s="915" t="s">
        <v>426</v>
      </c>
      <c r="E76" s="915" t="s">
        <v>427</v>
      </c>
      <c r="F76" s="915" t="s">
        <v>1018</v>
      </c>
      <c r="G76" s="915" t="s">
        <v>429</v>
      </c>
      <c r="H76" s="871"/>
      <c r="I76" s="871"/>
      <c r="J76" s="871"/>
      <c r="K76" s="916"/>
      <c r="L76" s="917"/>
      <c r="M76" s="918"/>
      <c r="N76" s="1388"/>
      <c r="O76" s="1388"/>
      <c r="P76" s="1382"/>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9"/>
      <c r="O77" s="1389"/>
      <c r="P77" s="1378"/>
      <c r="Q77" s="121"/>
    </row>
    <row r="78" spans="1:17" ht="15" thickTop="1">
      <c r="A78" s="173"/>
      <c r="B78" s="1053" t="s">
        <v>1052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2643</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2662</v>
      </c>
      <c r="C82" s="213" t="s">
        <v>2663</v>
      </c>
      <c r="D82" s="213" t="s">
        <v>2664</v>
      </c>
      <c r="E82" s="213" t="s">
        <v>2665</v>
      </c>
      <c r="F82" s="213" t="s">
        <v>2666</v>
      </c>
      <c r="G82" s="213" t="s">
        <v>2667</v>
      </c>
      <c r="H82" s="881"/>
      <c r="I82" s="881"/>
      <c r="J82" s="881"/>
      <c r="K82" s="881"/>
      <c r="L82" s="881"/>
      <c r="M82" s="2762"/>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1053</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1054</v>
      </c>
      <c r="C86" s="139" t="s">
        <v>3594</v>
      </c>
      <c r="D86" s="139" t="s">
        <v>3598</v>
      </c>
      <c r="E86" s="139" t="s">
        <v>3596</v>
      </c>
      <c r="F86" s="139" t="s">
        <v>3599</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99</v>
      </c>
      <c r="E87" s="886">
        <f t="shared" si="20"/>
        <v>98</v>
      </c>
      <c r="F87" s="886">
        <f t="shared" si="20"/>
        <v>97</v>
      </c>
      <c r="G87" s="886">
        <f t="shared" si="20"/>
        <v>96</v>
      </c>
      <c r="H87" s="886">
        <f t="shared" si="20"/>
        <v>95</v>
      </c>
      <c r="I87" s="886">
        <f t="shared" si="20"/>
        <v>94</v>
      </c>
      <c r="J87" s="886">
        <f t="shared" si="20"/>
        <v>93</v>
      </c>
      <c r="K87" s="886">
        <f t="shared" si="20"/>
        <v>92</v>
      </c>
      <c r="L87" s="886">
        <f t="shared" si="20"/>
        <v>91</v>
      </c>
      <c r="M87" s="886">
        <f t="shared" si="20"/>
        <v>90</v>
      </c>
      <c r="N87" s="1389"/>
      <c r="O87" s="1389"/>
      <c r="P87" s="1378"/>
      <c r="Q87" s="121"/>
    </row>
    <row r="88" spans="1:17" s="40" customFormat="1" ht="14.25" thickTop="1">
      <c r="A88" s="1071"/>
      <c r="B88" s="1053" t="str">
        <f>B26</f>
        <v>平面位置/可视性</v>
      </c>
      <c r="C88" s="139" t="s">
        <v>3650</v>
      </c>
      <c r="D88" s="139" t="s">
        <v>3651</v>
      </c>
      <c r="E88" s="139" t="s">
        <v>3652</v>
      </c>
      <c r="F88" s="1385" t="s">
        <v>3653</v>
      </c>
      <c r="G88" s="139" t="s">
        <v>3654</v>
      </c>
      <c r="H88" s="139"/>
      <c r="I88" s="139"/>
      <c r="J88" s="139"/>
      <c r="K88" s="139"/>
      <c r="L88" s="139"/>
      <c r="M88" s="1384"/>
      <c r="N88" s="1387"/>
      <c r="O88" s="1387"/>
      <c r="P88" s="1378"/>
      <c r="Q88" s="121"/>
    </row>
    <row r="89" spans="1:17" s="40" customFormat="1" ht="15" thickBot="1">
      <c r="A89" s="1071"/>
      <c r="B89" s="1054"/>
      <c r="C89" s="902">
        <v>100</v>
      </c>
      <c r="D89" s="878">
        <v>95</v>
      </c>
      <c r="E89" s="878">
        <v>90</v>
      </c>
      <c r="F89" s="878">
        <v>85</v>
      </c>
      <c r="G89" s="878">
        <v>80</v>
      </c>
      <c r="H89" s="878"/>
      <c r="I89" s="878"/>
      <c r="J89" s="878"/>
      <c r="K89" s="878"/>
      <c r="L89" s="878"/>
      <c r="M89" s="878"/>
      <c r="N89" s="1389"/>
      <c r="O89" s="1389"/>
      <c r="P89" s="1378"/>
      <c r="Q89" s="121"/>
    </row>
    <row r="90" spans="1:17" s="1038" customFormat="1" ht="14.25" thickTop="1">
      <c r="A90" s="1057"/>
      <c r="B90" s="1053" t="str">
        <f>B27</f>
        <v>人流量</v>
      </c>
      <c r="C90" s="139" t="s">
        <v>3590</v>
      </c>
      <c r="D90" s="139" t="s">
        <v>3591</v>
      </c>
      <c r="E90" s="139" t="s">
        <v>3589</v>
      </c>
      <c r="F90" s="139" t="s">
        <v>3592</v>
      </c>
      <c r="G90" s="139" t="s">
        <v>3593</v>
      </c>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2465">
        <v>1</v>
      </c>
      <c r="D92" s="2466" t="s">
        <v>3644</v>
      </c>
      <c r="E92" s="2466">
        <v>2</v>
      </c>
      <c r="F92" s="2466">
        <v>-1</v>
      </c>
      <c r="G92" s="2466" t="s">
        <v>3645</v>
      </c>
      <c r="H92" s="2466" t="s">
        <v>3646</v>
      </c>
      <c r="I92" s="2466" t="s">
        <v>3647</v>
      </c>
      <c r="J92" s="139"/>
      <c r="K92" s="139"/>
      <c r="L92" s="1383"/>
      <c r="M92" s="1384"/>
      <c r="N92" s="1388"/>
      <c r="O92" s="1388"/>
      <c r="P92" s="1378"/>
      <c r="Q92" s="121"/>
    </row>
    <row r="93" spans="1:17" ht="15" thickBot="1">
      <c r="A93" s="173"/>
      <c r="B93" s="1054"/>
      <c r="C93" s="878">
        <v>100</v>
      </c>
      <c r="D93" s="878">
        <v>80</v>
      </c>
      <c r="E93" s="878">
        <v>60</v>
      </c>
      <c r="F93" s="878">
        <v>95</v>
      </c>
      <c r="G93" s="878">
        <v>70</v>
      </c>
      <c r="H93" s="878">
        <v>50</v>
      </c>
      <c r="I93" s="878">
        <v>50</v>
      </c>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1056</v>
      </c>
      <c r="C100" s="122" t="s">
        <v>3600</v>
      </c>
      <c r="D100" s="122" t="s">
        <v>3602</v>
      </c>
      <c r="E100" s="122" t="s">
        <v>3603</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97</v>
      </c>
      <c r="E101" s="886">
        <f t="shared" si="22"/>
        <v>94</v>
      </c>
      <c r="F101" s="886">
        <f t="shared" si="22"/>
        <v>91</v>
      </c>
      <c r="G101" s="886">
        <f t="shared" si="22"/>
        <v>88</v>
      </c>
      <c r="H101" s="886">
        <f t="shared" si="22"/>
        <v>85</v>
      </c>
      <c r="I101" s="886">
        <f t="shared" si="22"/>
        <v>82</v>
      </c>
      <c r="J101" s="886">
        <f t="shared" si="22"/>
        <v>79</v>
      </c>
      <c r="K101" s="886">
        <f t="shared" si="22"/>
        <v>76</v>
      </c>
      <c r="L101" s="886">
        <f t="shared" si="22"/>
        <v>73</v>
      </c>
      <c r="M101" s="887">
        <f t="shared" si="22"/>
        <v>70</v>
      </c>
      <c r="N101" s="1389"/>
      <c r="O101" s="1389"/>
      <c r="P101" s="1378"/>
      <c r="Q101" s="121"/>
    </row>
    <row r="102" spans="1:17" ht="15" thickTop="1">
      <c r="A102" s="173"/>
      <c r="B102" s="1053" t="s">
        <v>96</v>
      </c>
      <c r="C102" s="920" t="str">
        <f>C103&amp;"(含)"&amp;"-"&amp;D103</f>
        <v>0(含)-50</v>
      </c>
      <c r="D102" s="920" t="str">
        <f t="shared" ref="D102:L102" si="23">D103&amp;"(含)"&amp;"-"&amp;E103</f>
        <v>50(含)-100</v>
      </c>
      <c r="E102" s="920" t="str">
        <f t="shared" si="23"/>
        <v>100(含)-200</v>
      </c>
      <c r="F102" s="920" t="str">
        <f t="shared" si="23"/>
        <v>200(含)-500</v>
      </c>
      <c r="G102" s="920" t="str">
        <f t="shared" si="23"/>
        <v>500(含)-1000</v>
      </c>
      <c r="H102" s="920" t="str">
        <f t="shared" si="23"/>
        <v>1000(含)-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500</v>
      </c>
      <c r="H103" s="937">
        <v>1000</v>
      </c>
      <c r="I103" s="937"/>
      <c r="J103" s="938"/>
      <c r="K103" s="938"/>
      <c r="L103" s="939"/>
      <c r="M103" s="940"/>
      <c r="N103" s="1390"/>
      <c r="O103" s="1390"/>
      <c r="P103" s="1379"/>
      <c r="Q103" s="1062"/>
    </row>
    <row r="104" spans="1:17" s="1038" customFormat="1" ht="15" thickBot="1">
      <c r="A104" s="1057"/>
      <c r="B104" s="1054"/>
      <c r="C104" s="902">
        <v>100</v>
      </c>
      <c r="D104" s="878">
        <v>97</v>
      </c>
      <c r="E104" s="878">
        <v>94</v>
      </c>
      <c r="F104" s="878">
        <v>91</v>
      </c>
      <c r="G104" s="878">
        <v>88</v>
      </c>
      <c r="H104" s="878">
        <v>85</v>
      </c>
      <c r="I104" s="878"/>
      <c r="J104" s="878"/>
      <c r="K104" s="878"/>
      <c r="L104" s="878"/>
      <c r="M104" s="879"/>
      <c r="N104" s="1389"/>
      <c r="O104" s="1389"/>
      <c r="P104" s="1379"/>
      <c r="Q104" s="1062"/>
    </row>
    <row r="105" spans="1:17" ht="14.25" thickTop="1">
      <c r="A105" s="175"/>
      <c r="B105" s="1053" t="s">
        <v>95</v>
      </c>
      <c r="C105" s="139" t="s">
        <v>3604</v>
      </c>
      <c r="D105" s="139" t="s">
        <v>3605</v>
      </c>
      <c r="E105" s="131" t="s">
        <v>3606</v>
      </c>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124</v>
      </c>
      <c r="C107" s="139" t="s">
        <v>3608</v>
      </c>
      <c r="D107" s="139" t="s">
        <v>3621</v>
      </c>
      <c r="E107" s="139" t="s">
        <v>3622</v>
      </c>
      <c r="F107" s="131" t="s">
        <v>3609</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97</v>
      </c>
      <c r="E108" s="886">
        <f t="shared" si="25"/>
        <v>94</v>
      </c>
      <c r="F108" s="886">
        <f t="shared" si="25"/>
        <v>91</v>
      </c>
      <c r="G108" s="886">
        <f t="shared" si="25"/>
        <v>88</v>
      </c>
      <c r="H108" s="886">
        <f t="shared" si="25"/>
        <v>85</v>
      </c>
      <c r="I108" s="886">
        <f t="shared" si="25"/>
        <v>82</v>
      </c>
      <c r="J108" s="886">
        <f t="shared" si="25"/>
        <v>79</v>
      </c>
      <c r="K108" s="886">
        <f t="shared" si="25"/>
        <v>76</v>
      </c>
      <c r="L108" s="886">
        <f t="shared" si="25"/>
        <v>73</v>
      </c>
      <c r="M108" s="887">
        <f t="shared" si="25"/>
        <v>70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9"/>
      <c r="O111" s="1389"/>
      <c r="P111" s="1378"/>
      <c r="Q111" s="121"/>
    </row>
    <row r="112" spans="1:17" s="1038" customFormat="1" ht="14.25" thickTop="1">
      <c r="A112" s="1072"/>
      <c r="B112" s="1053" t="s">
        <v>2645</v>
      </c>
      <c r="C112" s="139" t="s">
        <v>3610</v>
      </c>
      <c r="D112" s="139" t="s">
        <v>3611</v>
      </c>
      <c r="E112" s="139" t="s">
        <v>3613</v>
      </c>
      <c r="F112" s="139" t="s">
        <v>3614</v>
      </c>
      <c r="G112" s="139" t="s">
        <v>3615</v>
      </c>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1061</v>
      </c>
      <c r="C114" s="139" t="s">
        <v>3617</v>
      </c>
      <c r="D114" s="139" t="s">
        <v>3618</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97</v>
      </c>
      <c r="E115" s="886">
        <f t="shared" si="28"/>
        <v>94</v>
      </c>
      <c r="F115" s="886">
        <f t="shared" si="28"/>
        <v>91</v>
      </c>
      <c r="G115" s="886">
        <f t="shared" si="28"/>
        <v>88</v>
      </c>
      <c r="H115" s="886">
        <f t="shared" si="28"/>
        <v>85</v>
      </c>
      <c r="I115" s="886">
        <f t="shared" si="28"/>
        <v>82</v>
      </c>
      <c r="J115" s="886">
        <f t="shared" si="28"/>
        <v>79</v>
      </c>
      <c r="K115" s="886">
        <f t="shared" si="28"/>
        <v>76</v>
      </c>
      <c r="L115" s="886">
        <f t="shared" si="28"/>
        <v>73</v>
      </c>
      <c r="M115" s="887">
        <f t="shared" si="28"/>
        <v>70</v>
      </c>
      <c r="N115" s="1389"/>
      <c r="O115" s="1389"/>
      <c r="P115" s="1378"/>
      <c r="Q115" s="121"/>
    </row>
    <row r="116" spans="1:17" ht="14.25" thickTop="1">
      <c r="A116" s="175"/>
      <c r="B116" s="1053" t="s">
        <v>1062</v>
      </c>
      <c r="C116" s="139" t="s">
        <v>3619</v>
      </c>
      <c r="D116" s="139" t="s">
        <v>3620</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97</v>
      </c>
      <c r="E117" s="886">
        <f>D117-$K39</f>
        <v>94</v>
      </c>
      <c r="F117" s="886">
        <f>E117-$K39</f>
        <v>91</v>
      </c>
      <c r="G117" s="886">
        <f>F117-$K39</f>
        <v>88</v>
      </c>
      <c r="H117" s="886"/>
      <c r="I117" s="886"/>
      <c r="J117" s="886"/>
      <c r="K117" s="886"/>
      <c r="L117" s="886"/>
      <c r="M117" s="887"/>
      <c r="N117" s="1389"/>
      <c r="O117" s="1389"/>
      <c r="P117" s="1378"/>
      <c r="Q117" s="121"/>
    </row>
    <row r="118" spans="1:17" ht="15" thickTop="1">
      <c r="A118" s="175"/>
      <c r="B118" s="1053" t="s">
        <v>1063</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126</v>
      </c>
      <c r="C122" s="139" t="s">
        <v>3608</v>
      </c>
      <c r="D122" s="139" t="s">
        <v>3623</v>
      </c>
      <c r="E122" s="139" t="s">
        <v>3624</v>
      </c>
      <c r="F122" s="131" t="s">
        <v>3609</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97</v>
      </c>
      <c r="E123" s="886">
        <f t="shared" si="30"/>
        <v>94</v>
      </c>
      <c r="F123" s="886">
        <f t="shared" si="30"/>
        <v>91</v>
      </c>
      <c r="G123" s="886">
        <f t="shared" si="30"/>
        <v>88</v>
      </c>
      <c r="H123" s="886">
        <f t="shared" si="30"/>
        <v>85</v>
      </c>
      <c r="I123" s="886">
        <f t="shared" si="30"/>
        <v>82</v>
      </c>
      <c r="J123" s="886">
        <f t="shared" si="30"/>
        <v>79</v>
      </c>
      <c r="K123" s="886">
        <f t="shared" si="30"/>
        <v>76</v>
      </c>
      <c r="L123" s="886">
        <f t="shared" si="30"/>
        <v>73</v>
      </c>
      <c r="M123" s="887">
        <f t="shared" si="30"/>
        <v>70</v>
      </c>
      <c r="N123" s="1389"/>
      <c r="O123" s="1389"/>
      <c r="P123" s="1378"/>
      <c r="Q123" s="121"/>
    </row>
    <row r="124" spans="1:17" ht="27.75" thickTop="1">
      <c r="A124" s="175"/>
      <c r="B124" s="1053" t="s">
        <v>94</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49" priority="16" stopIfTrue="1" operator="containsText" text="超过">
      <formula>NOT(ISERROR(SEARCH("超过",F52)))</formula>
    </cfRule>
  </conditionalFormatting>
  <conditionalFormatting sqref="H54">
    <cfRule type="containsText" dxfId="148" priority="15" stopIfTrue="1" operator="containsText" text="超过">
      <formula>NOT(ISERROR(SEARCH("超过",H54)))</formula>
    </cfRule>
  </conditionalFormatting>
  <conditionalFormatting sqref="F54">
    <cfRule type="containsText" dxfId="147" priority="14" stopIfTrue="1" operator="containsText" text="超过">
      <formula>NOT(ISERROR(SEARCH("超过",F54)))</formula>
    </cfRule>
  </conditionalFormatting>
  <conditionalFormatting sqref="F53 H53">
    <cfRule type="containsText" dxfId="146" priority="13" stopIfTrue="1" operator="containsText" text="超过">
      <formula>NOT(ISERROR(SEARCH("超过",F53)))</formula>
    </cfRule>
  </conditionalFormatting>
  <conditionalFormatting sqref="E52">
    <cfRule type="expression" dxfId="145" priority="12"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4">
    <cfRule type="expression" dxfId="142" priority="9" stopIfTrue="1">
      <formula>$H$54="超过30%"</formula>
    </cfRule>
  </conditionalFormatting>
  <conditionalFormatting sqref="G52">
    <cfRule type="expression" dxfId="141" priority="8" stopIfTrue="1">
      <formula>$H$52="超过30%"</formula>
    </cfRule>
  </conditionalFormatting>
  <conditionalFormatting sqref="G53">
    <cfRule type="expression" dxfId="140" priority="7" stopIfTrue="1">
      <formula>$H$53="超过20%"</formula>
    </cfRule>
  </conditionalFormatting>
  <conditionalFormatting sqref="J52">
    <cfRule type="containsText" dxfId="139" priority="6" stopIfTrue="1" operator="containsText" text="超过">
      <formula>NOT(ISERROR(SEARCH("超过",J52)))</formula>
    </cfRule>
  </conditionalFormatting>
  <conditionalFormatting sqref="J54">
    <cfRule type="containsText" dxfId="138" priority="5" stopIfTrue="1" operator="containsText" text="超过">
      <formula>NOT(ISERROR(SEARCH("超过",J54)))</formula>
    </cfRule>
  </conditionalFormatting>
  <conditionalFormatting sqref="J53">
    <cfRule type="containsText" dxfId="137" priority="4" stopIfTrue="1" operator="containsText" text="超过">
      <formula>NOT(ISERROR(SEARCH("超过",J53)))</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B2" sqref="B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3694</v>
      </c>
      <c r="D1" s="1273"/>
      <c r="E1" s="2582" t="s">
        <v>2451</v>
      </c>
      <c r="F1" s="2583">
        <f ca="1">J53</f>
        <v>44.71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818</v>
      </c>
      <c r="B2" s="1406">
        <f ca="1">C40+J29+L46</f>
        <v>12463</v>
      </c>
      <c r="C2" s="1299" t="s">
        <v>1102</v>
      </c>
      <c r="D2" s="1275"/>
      <c r="E2" s="2572"/>
      <c r="F2" s="1276"/>
      <c r="G2" s="2284"/>
      <c r="H2" s="1274"/>
      <c r="I2" s="1274"/>
      <c r="J2" s="1274"/>
      <c r="K2" s="1298"/>
      <c r="L2" s="1274"/>
      <c r="M2" s="1274"/>
    </row>
    <row r="3" spans="1:37" ht="18" customHeight="1" thickBot="1">
      <c r="A3" s="675" t="s">
        <v>819</v>
      </c>
      <c r="B3" s="1407">
        <f ca="1">IF(ISERROR(B2*10000/F43),0,ROUND(B2*10000/F43,0))</f>
        <v>3981</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f ca="1">C6+C10+C12</f>
        <v>767</v>
      </c>
      <c r="D5" s="2633" t="s">
        <v>2543</v>
      </c>
      <c r="E5" s="2624"/>
      <c r="F5" s="2625"/>
      <c r="G5" s="2285"/>
      <c r="H5" s="681">
        <v>1</v>
      </c>
      <c r="I5" s="682" t="s">
        <v>2541</v>
      </c>
      <c r="J5" s="2623">
        <f ca="1">J6+J10+J12</f>
        <v>0</v>
      </c>
      <c r="K5" s="2626" t="s">
        <v>2543</v>
      </c>
      <c r="L5" s="2624"/>
      <c r="M5" s="2625"/>
    </row>
    <row r="6" spans="1:37" ht="18" customHeight="1">
      <c r="A6" s="2619" t="s">
        <v>2548</v>
      </c>
      <c r="B6" s="3698" t="s">
        <v>2542</v>
      </c>
      <c r="C6" s="2628">
        <f ca="1">ROUND(F6*F8*F7*(1-F9)/10000,0)</f>
        <v>767</v>
      </c>
      <c r="D6" s="2622" t="s">
        <v>2544</v>
      </c>
      <c r="E6" s="684" t="s">
        <v>915</v>
      </c>
      <c r="F6" s="685">
        <f ca="1">INDIRECT("'数据-取费表'!u"&amp;$G$1)</f>
        <v>1000</v>
      </c>
      <c r="G6" s="2285"/>
      <c r="H6" s="2619" t="s">
        <v>2551</v>
      </c>
      <c r="I6" s="3698" t="s">
        <v>2542</v>
      </c>
      <c r="J6" s="683">
        <f ca="1">ROUND(M6*M8*M7*(1-M9)/10000,0)</f>
        <v>0</v>
      </c>
      <c r="K6" s="2622" t="s">
        <v>2544</v>
      </c>
      <c r="L6" s="684" t="s">
        <v>915</v>
      </c>
      <c r="M6" s="685">
        <f ca="1">INDIRECT("'数据-取费表'!z"&amp;$G$1)</f>
        <v>0</v>
      </c>
    </row>
    <row r="7" spans="1:37" ht="18" customHeight="1">
      <c r="A7" s="2627"/>
      <c r="B7" s="3699"/>
      <c r="C7" s="2629"/>
      <c r="D7" s="2058"/>
      <c r="E7" s="2630" t="s">
        <v>916</v>
      </c>
      <c r="F7" s="685">
        <f ca="1">IF(INDIRECT("'数据-取费表'!ah"&amp;$G$1)="",INDIRECT("'数据-取费表'!k"&amp;$G$1),INDIRECT("'数据-取费表'!ah"&amp;$G$1))</f>
        <v>710</v>
      </c>
      <c r="G7" s="2285"/>
      <c r="H7" s="686"/>
      <c r="I7" s="3699"/>
      <c r="J7" s="688"/>
      <c r="K7" s="689"/>
      <c r="L7" s="684" t="s">
        <v>916</v>
      </c>
      <c r="M7" s="685">
        <f ca="1">F7</f>
        <v>710</v>
      </c>
    </row>
    <row r="8" spans="1:37" ht="18" customHeight="1">
      <c r="A8" s="686"/>
      <c r="B8" s="3699"/>
      <c r="C8" s="688"/>
      <c r="D8" s="689"/>
      <c r="E8" s="684" t="s">
        <v>917</v>
      </c>
      <c r="F8" s="685">
        <f ca="1">INDIRECT("'数据-取费表'!ai"&amp;$G$1)</f>
        <v>12</v>
      </c>
      <c r="G8" s="2285"/>
      <c r="H8" s="686"/>
      <c r="I8" s="3699"/>
      <c r="J8" s="688"/>
      <c r="K8" s="689"/>
      <c r="L8" s="684" t="s">
        <v>917</v>
      </c>
      <c r="M8" s="685">
        <f ca="1">INDIRECT("'数据-取费表'!ai"&amp;$G$1)</f>
        <v>12</v>
      </c>
    </row>
    <row r="9" spans="1:37" ht="18" customHeight="1">
      <c r="A9" s="686"/>
      <c r="B9" s="3700"/>
      <c r="C9" s="688"/>
      <c r="D9" s="689"/>
      <c r="E9" s="684" t="s">
        <v>918</v>
      </c>
      <c r="F9" s="694">
        <f ca="1">INDIRECT("'数据-取费表'!w"&amp;$G$1)</f>
        <v>0.1</v>
      </c>
      <c r="G9" s="2285"/>
      <c r="H9" s="686"/>
      <c r="I9" s="3700"/>
      <c r="J9" s="688"/>
      <c r="K9" s="689"/>
      <c r="L9" s="695" t="s">
        <v>918</v>
      </c>
      <c r="M9" s="696">
        <f ca="1">INDIRECT("'数据-取费表'!ab"&amp;$G$1)</f>
        <v>0</v>
      </c>
    </row>
    <row r="10" spans="1:37" ht="18" customHeight="1">
      <c r="A10" s="2619" t="s">
        <v>2549</v>
      </c>
      <c r="B10" s="2620" t="s">
        <v>2537</v>
      </c>
      <c r="C10" s="698">
        <f ca="1">ROUND(IF(F10="押一",F6*F8*F7/12*F11,IF(F10="押二",F6*F8*F7/12*2*F11,IF(F10="押三",F6*F8*F7/12*3*F11,C11*F11)))/10000,0)</f>
        <v>0</v>
      </c>
      <c r="D10" s="2631" t="s">
        <v>2545</v>
      </c>
      <c r="E10" s="2094" t="s">
        <v>2539</v>
      </c>
      <c r="F10" s="2828" t="s">
        <v>2700</v>
      </c>
      <c r="G10" s="2285"/>
      <c r="H10" s="2619" t="s">
        <v>2552</v>
      </c>
      <c r="I10" s="2620" t="s">
        <v>2537</v>
      </c>
      <c r="J10" s="683">
        <f ca="1">ROUND(IF(M10="押一",M6*M8*M7/12*M11,IF(M10="押二",M6*M8*M7/12*2*M11,IF(M10="押三",M6*M8*M7/12*3*M11,J11*M11)))/10000,0)</f>
        <v>0</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2553</v>
      </c>
      <c r="I12" s="2668" t="s">
        <v>2538</v>
      </c>
      <c r="J12" s="2669"/>
      <c r="K12" s="2686"/>
      <c r="L12" s="2671"/>
      <c r="M12" s="2687"/>
    </row>
    <row r="13" spans="1:37" ht="18" customHeight="1" thickTop="1">
      <c r="A13" s="2663">
        <v>2</v>
      </c>
      <c r="B13" s="2664" t="s">
        <v>919</v>
      </c>
      <c r="C13" s="692">
        <f ca="1">ROUND(C29*F13,0)</f>
        <v>7609</v>
      </c>
      <c r="D13" s="2665" t="s">
        <v>920</v>
      </c>
      <c r="E13" s="2665" t="s">
        <v>921</v>
      </c>
      <c r="F13" s="2666">
        <f ca="1">INDIRECT("'数据-取费表'!y"&amp;$G$1)</f>
        <v>0.97</v>
      </c>
      <c r="G13" s="2285"/>
      <c r="H13" s="2663">
        <v>2</v>
      </c>
      <c r="I13" s="2664" t="s">
        <v>919</v>
      </c>
      <c r="J13" s="2618">
        <f ca="1">ROUND(J14*J15,0)</f>
        <v>0</v>
      </c>
      <c r="K13" s="2673" t="s">
        <v>920</v>
      </c>
      <c r="L13" s="2684"/>
      <c r="M13" s="2685"/>
    </row>
    <row r="14" spans="1:37" ht="18" customHeight="1">
      <c r="A14" s="2435" t="s">
        <v>2378</v>
      </c>
      <c r="B14" s="684" t="s">
        <v>359</v>
      </c>
      <c r="C14" s="702">
        <f ca="1">INDIRECT("'数据-取费表'!m"&amp;$G$1)+INDIRECT("'数据-取费表'!t"&amp;$G$1)</f>
        <v>5635</v>
      </c>
      <c r="D14" s="2212" t="s">
        <v>922</v>
      </c>
      <c r="E14" s="2211"/>
      <c r="F14" s="703"/>
      <c r="G14" s="2285"/>
      <c r="H14" s="2435" t="s">
        <v>2381</v>
      </c>
      <c r="I14" s="684" t="s">
        <v>923</v>
      </c>
      <c r="J14" s="313">
        <f ca="1">C29</f>
        <v>7844</v>
      </c>
      <c r="K14" s="303"/>
      <c r="L14" s="700"/>
      <c r="M14" s="701"/>
    </row>
    <row r="15" spans="1:37" s="706" customFormat="1" ht="18" customHeight="1" thickBot="1">
      <c r="A15" s="2435" t="s">
        <v>2614</v>
      </c>
      <c r="B15" s="684" t="s">
        <v>360</v>
      </c>
      <c r="C15" s="313">
        <f ca="1">ROUND(C14*F15,0)</f>
        <v>169</v>
      </c>
      <c r="D15" s="704" t="s">
        <v>924</v>
      </c>
      <c r="E15" s="704" t="s">
        <v>925</v>
      </c>
      <c r="F15" s="705">
        <f>'数据-取费表'!B33</f>
        <v>0.03</v>
      </c>
      <c r="G15" s="2286"/>
      <c r="H15" s="2675" t="s">
        <v>2388</v>
      </c>
      <c r="I15" s="2676" t="s">
        <v>921</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f ca="1">ROUND(INDIRECT("'数据-取费表'!m"&amp;$G$1)*F16,0)</f>
        <v>0</v>
      </c>
      <c r="D16" s="684" t="s">
        <v>924</v>
      </c>
      <c r="E16" s="684" t="s">
        <v>925</v>
      </c>
      <c r="F16" s="707">
        <f ca="1">IF(INDIRECT("'数据-取费表'!c"&amp;$G$1)="住宅",'数据-取费表'!B34,0)</f>
        <v>0</v>
      </c>
      <c r="G16" s="2285"/>
      <c r="H16" s="2663" t="s">
        <v>2346</v>
      </c>
      <c r="I16" s="2664" t="s">
        <v>926</v>
      </c>
      <c r="J16" s="692">
        <f ca="1">ROUND(J17+J22+J23+J24,0)</f>
        <v>144</v>
      </c>
      <c r="K16" s="2673" t="s">
        <v>927</v>
      </c>
      <c r="L16" s="2674"/>
      <c r="M16" s="2625"/>
    </row>
    <row r="17" spans="1:37" s="706" customFormat="1" ht="18" customHeight="1">
      <c r="A17" s="2435" t="s">
        <v>2616</v>
      </c>
      <c r="B17" s="684" t="s">
        <v>362</v>
      </c>
      <c r="C17" s="313">
        <f ca="1">ROUND(F17*(F43+INDIRECT("'数据-取费表'!S"&amp;$G$1))/10000,0)</f>
        <v>626</v>
      </c>
      <c r="D17" s="684" t="s">
        <v>928</v>
      </c>
      <c r="E17" s="684" t="s">
        <v>929</v>
      </c>
      <c r="F17" s="315">
        <f>'数据-取费表'!B35</f>
        <v>200</v>
      </c>
      <c r="G17" s="2286"/>
      <c r="H17" s="2435" t="s">
        <v>2381</v>
      </c>
      <c r="I17" s="684" t="s">
        <v>363</v>
      </c>
      <c r="J17" s="313">
        <f ca="1">ROUND(IF(项目基本情况!B11="自然人",J5*M17,J18+J19+J20),1)</f>
        <v>65.900000000000006</v>
      </c>
      <c r="K17" s="2212" t="s">
        <v>930</v>
      </c>
      <c r="L17" s="2210"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f ca="1">ROUND(C14*F18,0)</f>
        <v>85</v>
      </c>
      <c r="D18" s="684" t="s">
        <v>924</v>
      </c>
      <c r="E18" s="684" t="s">
        <v>925</v>
      </c>
      <c r="F18" s="707">
        <f>'数据-取费表'!B36</f>
        <v>1.4999999999999999E-2</v>
      </c>
      <c r="G18" s="2286"/>
      <c r="H18" s="2435" t="s">
        <v>2378</v>
      </c>
      <c r="I18" s="684" t="s">
        <v>932</v>
      </c>
      <c r="J18" s="313">
        <f ca="1">ROUND(J5*M18/(1+'数据-取费表'!C42),2)</f>
        <v>0</v>
      </c>
      <c r="K18" s="2210" t="s">
        <v>933</v>
      </c>
      <c r="L18" s="684" t="s">
        <v>925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2548</v>
      </c>
      <c r="B19" s="684" t="s">
        <v>366</v>
      </c>
      <c r="C19" s="313">
        <f ca="1">SUM(C14:C18)</f>
        <v>6515</v>
      </c>
      <c r="D19" s="471" t="s">
        <v>934</v>
      </c>
      <c r="E19" s="2220"/>
      <c r="F19" s="315"/>
      <c r="G19" s="2285"/>
      <c r="H19" s="2435" t="s">
        <v>2614</v>
      </c>
      <c r="I19" s="684" t="s">
        <v>935</v>
      </c>
      <c r="J19" s="313">
        <f ca="1">IF(K19="按租金收入计税",ROUND(J5*M19,2),ROUND(C29*M19*0.7,2))</f>
        <v>65.89</v>
      </c>
      <c r="K19" s="1300" t="s">
        <v>2421</v>
      </c>
      <c r="L19" s="684" t="s">
        <v>925</v>
      </c>
      <c r="M19" s="707">
        <f>IF(K19="按租金收入计税",'数据-取费表'!B51,'数据-取费表'!B50)</f>
        <v>1.2E-2</v>
      </c>
    </row>
    <row r="20" spans="1:37" s="706" customFormat="1" ht="18" customHeight="1">
      <c r="A20" s="2435" t="s">
        <v>2618</v>
      </c>
      <c r="B20" s="684" t="s">
        <v>367</v>
      </c>
      <c r="C20" s="313">
        <f ca="1">ROUND(C19*F20,0)</f>
        <v>98</v>
      </c>
      <c r="D20" s="709" t="s">
        <v>936</v>
      </c>
      <c r="E20" s="684" t="s">
        <v>925</v>
      </c>
      <c r="F20" s="707">
        <f>'数据-取费表'!B37</f>
        <v>1.4999999999999999E-2</v>
      </c>
      <c r="G20" s="2286"/>
      <c r="H20" s="2435" t="s">
        <v>2615</v>
      </c>
      <c r="I20" s="496" t="s">
        <v>937</v>
      </c>
      <c r="J20" s="314">
        <f ca="1">ROUND(M20*M21/10000,2)</f>
        <v>0</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71</v>
      </c>
      <c r="D21" s="709" t="s">
        <v>941</v>
      </c>
      <c r="E21" s="684" t="s">
        <v>942</v>
      </c>
      <c r="F21" s="707">
        <f>'数据-取费表'!B38</f>
        <v>0.01</v>
      </c>
      <c r="G21" s="2286"/>
      <c r="H21" s="712"/>
      <c r="I21" s="693"/>
      <c r="J21" s="318"/>
      <c r="K21" s="713"/>
      <c r="L21" s="684" t="s">
        <v>943</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2220"/>
      <c r="F22" s="315"/>
      <c r="G22" s="2285"/>
      <c r="H22" s="2435" t="s">
        <v>2388</v>
      </c>
      <c r="I22" s="684" t="s">
        <v>945</v>
      </c>
      <c r="J22" s="313">
        <f ca="1">ROUND(J14*M22,1)</f>
        <v>78.400000000000006</v>
      </c>
      <c r="K22" s="2210" t="s">
        <v>946</v>
      </c>
      <c r="L22" s="684" t="s">
        <v>925</v>
      </c>
      <c r="M22" s="714">
        <f ca="1">INDIRECT("'数据-取费表'!Ak"&amp;$G$1)</f>
        <v>0.01</v>
      </c>
    </row>
    <row r="23" spans="1:37" s="706" customFormat="1" ht="18" customHeight="1">
      <c r="A23" s="2435" t="s">
        <v>2378</v>
      </c>
      <c r="B23" s="684" t="s">
        <v>2534</v>
      </c>
      <c r="C23" s="313">
        <f ca="1">IF('数据-取费表'!B22&lt;=1,ROUND(C19*F24*F23/2,0)+ROUND(C20*F24*F23/2,0),ROUND(C19*(POWER((1+F24),F23/2)-1),0)+ROUND(C20*(POWER((1+F24),F23/2)-1),0))</f>
        <v>395</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f ca="1">ROUND(J13*M23,1)</f>
        <v>0</v>
      </c>
      <c r="K23" s="2210" t="s">
        <v>948</v>
      </c>
      <c r="L23" s="684" t="s">
        <v>925</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f ca="1">ROUND(J5*M24,1)</f>
        <v>0</v>
      </c>
      <c r="K24" s="2678" t="s">
        <v>951</v>
      </c>
      <c r="L24" s="2676" t="s">
        <v>925</v>
      </c>
      <c r="M24" s="2672">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2220"/>
      <c r="F25" s="315"/>
      <c r="G25" s="2285"/>
      <c r="H25" s="2663" t="s">
        <v>2361</v>
      </c>
      <c r="I25" s="2680" t="s">
        <v>953</v>
      </c>
      <c r="J25" s="692">
        <f ca="1">J5-J16</f>
        <v>-144</v>
      </c>
      <c r="K25" s="2681" t="s">
        <v>954</v>
      </c>
      <c r="L25" s="2682"/>
      <c r="M25" s="2683"/>
    </row>
    <row r="26" spans="1:37" ht="18" customHeight="1">
      <c r="A26" s="2435" t="s">
        <v>2378</v>
      </c>
      <c r="B26" s="684" t="s">
        <v>2535</v>
      </c>
      <c r="C26" s="313">
        <f ca="1">ROUND((C19+C20)*F26,0)</f>
        <v>331</v>
      </c>
      <c r="D26" s="709" t="s">
        <v>955</v>
      </c>
      <c r="E26" s="695" t="s">
        <v>956</v>
      </c>
      <c r="F26" s="694">
        <f ca="1">INDIRECT("'数据-取费表'!q"&amp;$G$1)</f>
        <v>0.05</v>
      </c>
      <c r="G26" s="2285"/>
      <c r="H26" s="681" t="s">
        <v>2364</v>
      </c>
      <c r="I26" s="682" t="s">
        <v>957</v>
      </c>
      <c r="J26" s="683">
        <f ca="1">IF(J5&lt;&gt;0,ROUND(J25*(1-((1+M28)/(1+M26))^M27)/(M26-M28),0),0)</f>
        <v>0</v>
      </c>
      <c r="K26" s="710" t="s">
        <v>958</v>
      </c>
      <c r="L26" s="684" t="s">
        <v>964</v>
      </c>
      <c r="M26" s="694">
        <f ca="1">INDIRECT("'数据-取费表'!I"&amp;$G$1)</f>
        <v>0.05</v>
      </c>
    </row>
    <row r="27" spans="1:37" ht="18" customHeight="1">
      <c r="A27" s="2435" t="s">
        <v>2384</v>
      </c>
      <c r="B27" s="684" t="s">
        <v>375</v>
      </c>
      <c r="C27" s="313">
        <f ca="1">ROUND(F21*F26,4)</f>
        <v>5.0000000000000001E-4</v>
      </c>
      <c r="D27" s="709" t="s">
        <v>959</v>
      </c>
      <c r="E27" s="704"/>
      <c r="F27" s="705"/>
      <c r="G27" s="2285"/>
      <c r="H27" s="686"/>
      <c r="I27" s="687"/>
      <c r="J27" s="688"/>
      <c r="K27" s="718" t="s">
        <v>960</v>
      </c>
      <c r="L27" s="684" t="s">
        <v>965</v>
      </c>
      <c r="M27" s="719">
        <f ca="1">INDIRECT("'数据-取费表'!ag"&amp;$G$1)</f>
        <v>0</v>
      </c>
    </row>
    <row r="28" spans="1:37" s="706" customFormat="1" ht="18" customHeight="1">
      <c r="A28" s="2435" t="s">
        <v>2386</v>
      </c>
      <c r="B28" s="684" t="s">
        <v>376</v>
      </c>
      <c r="C28" s="313">
        <f>ROUND(F28/(1+'数据-取费表'!C42),4)</f>
        <v>5.33E-2</v>
      </c>
      <c r="D28" s="709" t="s">
        <v>966</v>
      </c>
      <c r="E28" s="684" t="s">
        <v>925</v>
      </c>
      <c r="F28" s="707">
        <f>'数据-取费表'!B41</f>
        <v>5.6000000000000001E-2</v>
      </c>
      <c r="G28" s="2286"/>
      <c r="H28" s="690"/>
      <c r="I28" s="691"/>
      <c r="J28" s="692"/>
      <c r="K28" s="713"/>
      <c r="L28" s="684" t="s">
        <v>967</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f ca="1">ROUND((C19+C20+C23+C26)/(1-F21-C24-C27-C28),0)</f>
        <v>7844</v>
      </c>
      <c r="D29" s="2678"/>
      <c r="E29" s="2676"/>
      <c r="F29" s="2679"/>
      <c r="G29" s="2286"/>
      <c r="H29" s="720" t="s">
        <v>2371</v>
      </c>
      <c r="I29" s="721" t="s">
        <v>961</v>
      </c>
      <c r="J29" s="722">
        <f ca="1">ROUND(J26/(1+F40)^F41,0)</f>
        <v>0</v>
      </c>
      <c r="K29" s="723" t="s">
        <v>962</v>
      </c>
      <c r="L29" s="724"/>
      <c r="M29" s="725">
        <f ca="1">INDIRECT("'数据-取费表'!k"&amp;$G$1)</f>
        <v>31303.89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f ca="1">ROUND(C31+C36+C37+C38,0)</f>
        <v>208</v>
      </c>
      <c r="D30" s="2673" t="s">
        <v>927</v>
      </c>
      <c r="E30" s="2674"/>
      <c r="F30" s="2625"/>
      <c r="G30" s="2285"/>
      <c r="H30" s="1277"/>
      <c r="I30" s="1278"/>
      <c r="J30" s="1279"/>
      <c r="K30" s="1280"/>
      <c r="L30" s="1281"/>
      <c r="M30" s="1282"/>
    </row>
    <row r="31" spans="1:37" ht="18" customHeight="1">
      <c r="A31" s="2435" t="s">
        <v>2548</v>
      </c>
      <c r="B31" s="684" t="s">
        <v>363</v>
      </c>
      <c r="C31" s="313">
        <f ca="1">ROUND(IF(项目基本情况!B11="自然人",C5*F31,C32+C33+C34),1)</f>
        <v>106.8</v>
      </c>
      <c r="D31" s="2212" t="s">
        <v>930</v>
      </c>
      <c r="E31" s="2210"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2613</v>
      </c>
      <c r="B32" s="684" t="s">
        <v>932</v>
      </c>
      <c r="C32" s="313">
        <f ca="1">IF(项目基本情况!B11="自然人","——",ROUND(C5*F32/(1+'数据-取费表'!C42),2))</f>
        <v>40.909999999999997</v>
      </c>
      <c r="D32" s="2210" t="s">
        <v>933</v>
      </c>
      <c r="E32" s="684" t="s">
        <v>925</v>
      </c>
      <c r="F32" s="717">
        <f>'数据-取费表'!B41</f>
        <v>5.6000000000000001E-2</v>
      </c>
      <c r="G32" s="2285"/>
      <c r="H32" s="1283"/>
      <c r="I32" s="1284"/>
      <c r="J32" s="1285"/>
      <c r="K32" s="1286"/>
      <c r="L32" s="1287"/>
      <c r="M32" s="1288"/>
    </row>
    <row r="33" spans="1:18" ht="18" customHeight="1">
      <c r="A33" s="2435" t="s">
        <v>2614</v>
      </c>
      <c r="B33" s="684" t="s">
        <v>935</v>
      </c>
      <c r="C33" s="313">
        <f ca="1">IF(项目基本情况!B11="自然人","——",IF(D33="按租金收入计税",ROUND(C5*F33,2),IF(D33="按房产原值计税",ROUND(C29*F33*0.7,2),INDIRECT("'数据-取费表'!Aj"&amp;$G$1))))</f>
        <v>65.89</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970</v>
      </c>
      <c r="C34" s="314">
        <f ca="1">IF(项目基本情况!B11="自然人","——",ROUND(F34*F35/10000,2))</f>
        <v>0</v>
      </c>
      <c r="D34" s="710" t="s">
        <v>971</v>
      </c>
      <c r="E34" s="684" t="s">
        <v>972</v>
      </c>
      <c r="F34" s="711">
        <f>'数据-取费表'!B52</f>
        <v>18</v>
      </c>
      <c r="G34" s="2285"/>
      <c r="H34" s="1277"/>
      <c r="I34" s="2881"/>
      <c r="J34" s="2882"/>
      <c r="K34" s="1291"/>
      <c r="L34" s="1292"/>
      <c r="M34" s="1292"/>
    </row>
    <row r="35" spans="1:18" ht="18" customHeight="1">
      <c r="A35" s="2693"/>
      <c r="B35" s="2691"/>
      <c r="C35" s="318"/>
      <c r="D35" s="713"/>
      <c r="E35" s="684" t="s">
        <v>943</v>
      </c>
      <c r="F35" s="685">
        <f ca="1">INDIRECT("'数据-取费表'!r"&amp;$G$1)</f>
        <v>0</v>
      </c>
      <c r="G35" s="2285"/>
      <c r="H35" s="1277"/>
      <c r="I35" s="2881"/>
      <c r="J35" s="2882"/>
      <c r="K35" s="1290"/>
      <c r="L35" s="1289"/>
      <c r="M35" s="1289"/>
    </row>
    <row r="36" spans="1:18" ht="18" customHeight="1">
      <c r="A36" s="2692" t="s">
        <v>2388</v>
      </c>
      <c r="B36" s="684" t="s">
        <v>945</v>
      </c>
      <c r="C36" s="313">
        <f ca="1">ROUND(C29*F36,1)</f>
        <v>78.400000000000006</v>
      </c>
      <c r="D36" s="2210" t="s">
        <v>975</v>
      </c>
      <c r="E36" s="684" t="s">
        <v>976</v>
      </c>
      <c r="F36" s="714">
        <f ca="1">INDIRECT("'数据-取费表'!Ak"&amp;$G$1)</f>
        <v>0.01</v>
      </c>
      <c r="G36" s="2285"/>
      <c r="H36" s="1289"/>
      <c r="I36" s="2881"/>
      <c r="J36" s="2882"/>
      <c r="K36" s="1293"/>
      <c r="L36" s="1289"/>
      <c r="M36" s="1289"/>
    </row>
    <row r="37" spans="1:18" ht="18" customHeight="1">
      <c r="A37" s="2435" t="s">
        <v>2619</v>
      </c>
      <c r="B37" s="684" t="s">
        <v>368</v>
      </c>
      <c r="C37" s="313">
        <f ca="1">ROUND(C13*F37,1)</f>
        <v>11.4</v>
      </c>
      <c r="D37" s="2210" t="s">
        <v>369</v>
      </c>
      <c r="E37" s="684" t="s">
        <v>370</v>
      </c>
      <c r="F37" s="716">
        <f ca="1">INDIRECT("'数据-取费表'!Al"&amp;$G$1)</f>
        <v>1.5E-3</v>
      </c>
      <c r="G37" s="2285"/>
      <c r="H37" s="1289"/>
      <c r="I37" s="2881"/>
      <c r="J37" s="2882"/>
      <c r="K37" s="1293"/>
      <c r="L37" s="1289"/>
      <c r="M37" s="1289"/>
    </row>
    <row r="38" spans="1:18" ht="18" customHeight="1" thickBot="1">
      <c r="A38" s="2675" t="s">
        <v>2620</v>
      </c>
      <c r="B38" s="2676" t="s">
        <v>367</v>
      </c>
      <c r="C38" s="2677">
        <f ca="1">ROUND(C5*F38,1)</f>
        <v>11.5</v>
      </c>
      <c r="D38" s="2678" t="s">
        <v>371</v>
      </c>
      <c r="E38" s="2676" t="s">
        <v>370</v>
      </c>
      <c r="F38" s="2672">
        <f ca="1">INDIRECT("'数据-取费表'!Am"&amp;$G$1)</f>
        <v>1.4999999999999999E-2</v>
      </c>
      <c r="G38" s="2285"/>
      <c r="H38" s="1289"/>
      <c r="I38" s="2881"/>
      <c r="J38" s="2882"/>
      <c r="K38" s="1294"/>
      <c r="L38" s="1289"/>
      <c r="M38" s="1289"/>
    </row>
    <row r="39" spans="1:18" ht="24.6" customHeight="1" thickTop="1">
      <c r="A39" s="2663" t="s">
        <v>2361</v>
      </c>
      <c r="B39" s="2680" t="s">
        <v>377</v>
      </c>
      <c r="C39" s="692">
        <f ca="1">C5-C30</f>
        <v>559</v>
      </c>
      <c r="D39" s="2681" t="s">
        <v>378</v>
      </c>
      <c r="E39" s="2682"/>
      <c r="F39" s="2683"/>
      <c r="G39" s="2285"/>
      <c r="H39" s="1289"/>
      <c r="I39" s="2881"/>
      <c r="J39" s="2882"/>
      <c r="K39" s="1294"/>
      <c r="L39" s="1289"/>
      <c r="M39" s="1289"/>
    </row>
    <row r="40" spans="1:18" ht="18" customHeight="1">
      <c r="A40" s="681" t="s">
        <v>2364</v>
      </c>
      <c r="B40" s="682" t="s">
        <v>379</v>
      </c>
      <c r="C40" s="683">
        <f ca="1">ROUND(C39*(1-((1+F42)/(1+F40))^F41)/(F40-F42),0)</f>
        <v>12463</v>
      </c>
      <c r="D40" s="710" t="s">
        <v>373</v>
      </c>
      <c r="E40" s="684" t="s">
        <v>374</v>
      </c>
      <c r="F40" s="694">
        <f ca="1">INDIRECT("'数据-取费表'!I"&amp;$G$1)</f>
        <v>0.05</v>
      </c>
      <c r="G40" s="2285"/>
      <c r="H40" s="1295"/>
      <c r="I40" s="2881"/>
      <c r="J40" s="2882"/>
      <c r="K40" s="1294"/>
      <c r="L40" s="1295"/>
      <c r="M40" s="1295"/>
    </row>
    <row r="41" spans="1:18" ht="18" customHeight="1">
      <c r="A41" s="686"/>
      <c r="B41" s="687"/>
      <c r="C41" s="688"/>
      <c r="D41" s="718" t="s">
        <v>380</v>
      </c>
      <c r="E41" s="684" t="s">
        <v>381</v>
      </c>
      <c r="F41" s="719">
        <f ca="1">IF(INDIRECT("'数据-取费表'!af"&amp;$G$1)=0,INDIRECT("'数据-取费表'!ae"&amp;$G$1),INDIRECT("'数据-取费表'!af"&amp;$G$1))</f>
        <v>44.71</v>
      </c>
      <c r="G41" s="2285"/>
      <c r="H41" s="1191"/>
      <c r="I41" s="2881"/>
      <c r="J41" s="2882"/>
      <c r="K41" s="1293"/>
      <c r="L41" s="1191"/>
      <c r="M41" s="1191"/>
    </row>
    <row r="42" spans="1:18" ht="18" customHeight="1">
      <c r="A42" s="690"/>
      <c r="B42" s="691"/>
      <c r="C42" s="692"/>
      <c r="D42" s="713"/>
      <c r="E42" s="684" t="s">
        <v>382</v>
      </c>
      <c r="F42" s="694">
        <f ca="1">INDIRECT("'数据-取费表'!v"&amp;$G$1)</f>
        <v>1.4999999999999999E-2</v>
      </c>
      <c r="G42" s="2285"/>
      <c r="H42" s="1191"/>
      <c r="I42" s="2881"/>
      <c r="J42" s="2882"/>
      <c r="K42" s="1293"/>
      <c r="L42" s="1191"/>
      <c r="M42" s="1191"/>
    </row>
    <row r="43" spans="1:18" ht="18" customHeight="1" thickBot="1">
      <c r="A43" s="720" t="s">
        <v>2371</v>
      </c>
      <c r="B43" s="721" t="s">
        <v>383</v>
      </c>
      <c r="C43" s="722">
        <f ca="1">ROUND(C40*10000/F43,0)</f>
        <v>3981</v>
      </c>
      <c r="D43" s="723" t="s">
        <v>384</v>
      </c>
      <c r="E43" s="724" t="s">
        <v>385</v>
      </c>
      <c r="F43" s="725">
        <f ca="1">INDIRECT("'数据-取费表'!k"&amp;$G$1)</f>
        <v>31303.89</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f ca="1">C68-C40</f>
        <v>-15231</v>
      </c>
      <c r="D46" s="2723" t="str">
        <f>C2</f>
        <v>万元</v>
      </c>
      <c r="E46" s="1432"/>
      <c r="F46" s="1432"/>
      <c r="I46" s="2575" t="s">
        <v>2429</v>
      </c>
      <c r="J46" s="2576"/>
      <c r="K46" s="2577"/>
      <c r="L46" s="2579" t="str">
        <f ca="1">IF(M47="住宅",0,IF(L48&gt;J51,L60,J60))</f>
        <v>0</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f ca="1">INDIRECT("'数据-取费表'!d"&amp;$G$1)</f>
        <v>50</v>
      </c>
      <c r="M47" s="2581" t="str">
        <f>IF(ISNUMBER(FIND("住宅",C1)),"住宅","非住宅")</f>
        <v>非住宅</v>
      </c>
      <c r="O47" s="2584" t="s">
        <v>2457</v>
      </c>
      <c r="P47" s="2594" t="s">
        <v>2475</v>
      </c>
      <c r="Q47" s="2585">
        <f ca="1">C40+J29</f>
        <v>12463</v>
      </c>
      <c r="R47" s="2585" t="s">
        <v>2476</v>
      </c>
    </row>
    <row r="48" spans="1:18" s="1454" customFormat="1" ht="47.25" thickBot="1">
      <c r="A48" s="2708" t="s">
        <v>2625</v>
      </c>
      <c r="B48" s="682" t="s">
        <v>2340</v>
      </c>
      <c r="C48" s="2718">
        <f ca="1">C49+C53+C55</f>
        <v>0</v>
      </c>
      <c r="D48" s="2712"/>
      <c r="E48" s="2713"/>
      <c r="F48" s="2415"/>
      <c r="G48" s="1456"/>
      <c r="H48" s="1457"/>
      <c r="I48" s="2541" t="s">
        <v>2423</v>
      </c>
      <c r="J48" s="2552" t="s">
        <v>2424</v>
      </c>
      <c r="K48" s="2562" t="s">
        <v>2446</v>
      </c>
      <c r="L48" s="2165">
        <f ca="1">INDIRECT("'数据-取费表'!f"&amp;$G$1)</f>
        <v>44.71</v>
      </c>
      <c r="O48" s="2584" t="s">
        <v>2458</v>
      </c>
      <c r="P48" s="2594" t="s">
        <v>2477</v>
      </c>
      <c r="Q48" s="2585" t="str">
        <f ca="1">J60</f>
        <v>0</v>
      </c>
      <c r="R48" s="2585" t="s">
        <v>2485</v>
      </c>
    </row>
    <row r="49" spans="1:18" s="1454" customFormat="1" ht="15.75" thickBot="1">
      <c r="A49" s="2428" t="s">
        <v>2626</v>
      </c>
      <c r="B49" s="2711" t="s">
        <v>2628</v>
      </c>
      <c r="C49" s="2720">
        <f ca="1">ROUND(F49*F51*F50*(1-F52)/10000,0)</f>
        <v>0</v>
      </c>
      <c r="D49" s="2530" t="s">
        <v>2341</v>
      </c>
      <c r="E49" s="2533" t="s">
        <v>2334</v>
      </c>
      <c r="F49" s="2536"/>
      <c r="G49" s="1458"/>
      <c r="H49" s="1457"/>
      <c r="I49" s="2541" t="s">
        <v>2443</v>
      </c>
      <c r="J49" s="2553">
        <v>2015</v>
      </c>
      <c r="K49" s="2563" t="s">
        <v>2448</v>
      </c>
      <c r="L49" s="2564"/>
      <c r="O49" s="2586" t="s">
        <v>2459</v>
      </c>
      <c r="P49" s="2594" t="s">
        <v>2478</v>
      </c>
      <c r="Q49" s="2585">
        <f ca="1">C29</f>
        <v>7844</v>
      </c>
      <c r="R49" s="2585" t="s">
        <v>2476</v>
      </c>
    </row>
    <row r="50" spans="1:18" s="1454" customFormat="1" ht="15.75" thickBot="1">
      <c r="A50" s="2429"/>
      <c r="B50" s="2432"/>
      <c r="C50" s="2728"/>
      <c r="D50" s="2402"/>
      <c r="E50" s="2531" t="s">
        <v>2342</v>
      </c>
      <c r="F50" s="2532">
        <f ca="1">F7</f>
        <v>710</v>
      </c>
      <c r="H50" s="1457"/>
      <c r="I50" s="2541" t="s">
        <v>2425</v>
      </c>
      <c r="J50" s="2554">
        <f>SUMPRODUCT((I63:I65=J47)*(J62:L62=J48)*(J63:L65))</f>
        <v>60</v>
      </c>
      <c r="K50" s="2563" t="s">
        <v>2449</v>
      </c>
      <c r="L50" s="2564"/>
      <c r="M50" s="2558"/>
      <c r="O50" s="2586" t="s">
        <v>2460</v>
      </c>
      <c r="P50" s="2594" t="s">
        <v>2486</v>
      </c>
      <c r="Q50" s="2587" t="e">
        <f ca="1">J58</f>
        <v>#VALUE!</v>
      </c>
      <c r="R50" s="2585"/>
    </row>
    <row r="51" spans="1:18" s="1454" customFormat="1" ht="15.75" thickBot="1">
      <c r="A51" s="2430"/>
      <c r="B51" s="2432"/>
      <c r="C51" s="2433"/>
      <c r="D51" s="2402"/>
      <c r="E51" s="2434" t="s">
        <v>2343</v>
      </c>
      <c r="F51" s="685">
        <f ca="1">F8</f>
        <v>12</v>
      </c>
      <c r="I51" s="2555" t="s">
        <v>2430</v>
      </c>
      <c r="J51" s="2556">
        <f>IF(J49="",J50,J49+J50-YEAR('数据-取费表'!B2))</f>
        <v>58</v>
      </c>
      <c r="K51" s="2565" t="s">
        <v>2450</v>
      </c>
      <c r="L51" s="2578">
        <f ca="1">ROUND(-PV(INDIRECT("'数据-取费表'!h"&amp;$G$1),L48,(C39-C13*C76),0),0)</f>
        <v>-950</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f ca="1">J53</f>
        <v>44.71</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f ca="1">IF(M47="住宅",J51,MIN(J51,L48))</f>
        <v>44.71</v>
      </c>
      <c r="K53" s="3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7"/>
      <c r="O53" s="2584" t="s">
        <v>2463</v>
      </c>
      <c r="P53" s="2594" t="s">
        <v>2481</v>
      </c>
      <c r="Q53" s="2585">
        <f ca="1">Q47+Q48</f>
        <v>12463</v>
      </c>
      <c r="R53" s="2585" t="s">
        <v>2464</v>
      </c>
    </row>
    <row r="54" spans="1:18" s="1454" customFormat="1" ht="16.5" thickBot="1">
      <c r="A54" s="2827"/>
      <c r="B54" s="2621" t="s">
        <v>2703</v>
      </c>
      <c r="C54" s="2412"/>
      <c r="D54" s="2631"/>
      <c r="E54" s="2775"/>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2707"/>
      <c r="F55" s="2537"/>
      <c r="I55" s="3320" t="s">
        <v>2431</v>
      </c>
      <c r="J55" s="3319" t="e">
        <f ca="1">ROUND(IF(J47="钢混",J57/J50,1-(1-2%)*(J50-J57)/J50),3)</f>
        <v>#VALUE!</v>
      </c>
      <c r="K55" s="2548" t="s">
        <v>2432</v>
      </c>
      <c r="L55" s="2570"/>
      <c r="O55" s="2591" t="s">
        <v>2472</v>
      </c>
      <c r="P55" s="2592" t="s">
        <v>2473</v>
      </c>
      <c r="Q55" s="2593" t="s">
        <v>2471</v>
      </c>
      <c r="R55" s="2593" t="s">
        <v>2474</v>
      </c>
    </row>
    <row r="56" spans="1:18" s="1454" customFormat="1" ht="44.25" thickTop="1" thickBot="1">
      <c r="A56" s="2406">
        <v>2</v>
      </c>
      <c r="B56" s="2407" t="s">
        <v>2345</v>
      </c>
      <c r="C56" s="608">
        <f ca="1">C13</f>
        <v>7609</v>
      </c>
      <c r="D56" s="2695"/>
      <c r="E56" s="2408"/>
      <c r="F56" s="2537"/>
      <c r="I56" s="2540" t="s">
        <v>2433</v>
      </c>
      <c r="J56" s="2569" t="s">
        <v>3562</v>
      </c>
      <c r="K56" s="2541" t="s">
        <v>2437</v>
      </c>
      <c r="L56" s="2165" t="str">
        <f ca="1">IF(L48&lt;J51,"——",L48-J51)</f>
        <v>——</v>
      </c>
      <c r="O56" s="2584" t="s">
        <v>2457</v>
      </c>
      <c r="P56" s="2594" t="s">
        <v>2475</v>
      </c>
      <c r="Q56" s="2585">
        <f ca="1">C40+J29</f>
        <v>12463</v>
      </c>
      <c r="R56" s="2585" t="s">
        <v>2476</v>
      </c>
    </row>
    <row r="57" spans="1:18" s="1454" customFormat="1" ht="29.25" thickBot="1">
      <c r="A57" s="2538"/>
      <c r="B57" s="2399" t="s">
        <v>2375</v>
      </c>
      <c r="C57" s="614">
        <f ca="1">C29</f>
        <v>7844</v>
      </c>
      <c r="D57" s="2410"/>
      <c r="E57" s="2411"/>
      <c r="F57" s="2539"/>
      <c r="I57" s="2542" t="s">
        <v>2454</v>
      </c>
      <c r="J57" s="2546" t="str">
        <f ca="1">IF(OR(M47="住宅",J51&lt;L48,J56="是"),"——",J51-L48)</f>
        <v>——</v>
      </c>
      <c r="K57" s="2541" t="s">
        <v>2908</v>
      </c>
      <c r="L57" s="2165" t="str">
        <f ca="1">IF(L48&lt;J51,"——",IF(L55="比较法",L49,IF(L55="基准地价",L50,L51)))</f>
        <v>——</v>
      </c>
      <c r="O57" s="2584" t="s">
        <v>2458</v>
      </c>
      <c r="P57" s="2594" t="s">
        <v>2482</v>
      </c>
      <c r="Q57" s="2585">
        <f ca="1">L60</f>
        <v>0</v>
      </c>
      <c r="R57" s="2585" t="s">
        <v>2497</v>
      </c>
    </row>
    <row r="58" spans="1:18" s="1454" customFormat="1" ht="29.25" thickBot="1">
      <c r="A58" s="697" t="s">
        <v>2346</v>
      </c>
      <c r="B58" s="2407" t="s">
        <v>2376</v>
      </c>
      <c r="C58" s="698">
        <f ca="1">ROUND(C59+C64+C65+C66,0)</f>
        <v>156</v>
      </c>
      <c r="D58" s="2413" t="s">
        <v>2377</v>
      </c>
      <c r="E58" s="2414"/>
      <c r="F58" s="2415"/>
      <c r="I58" s="2542" t="s">
        <v>2434</v>
      </c>
      <c r="J58" s="3321" t="e">
        <f ca="1">IF(J55&lt;0.4,0.4,J55)</f>
        <v>#VALUE!</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f ca="1">ROUND(IF(项目基本情况!B11="自然人",C48*F59,C60+C61+C62),1)</f>
        <v>65.900000000000006</v>
      </c>
      <c r="D59" s="2416" t="s">
        <v>2347</v>
      </c>
      <c r="E59" s="2417" t="s">
        <v>2348</v>
      </c>
      <c r="F59" s="708" t="str">
        <f ca="1">IF(项目基本情况!B11="企业","",IF(INDIRECT("'数据-取费表'!c"&amp;$G$1)="住宅",5%,IF(F49*F50*F51/12/(1+'数据-取费表'!C42)&gt;20000,12%,7%)))</f>
        <v/>
      </c>
      <c r="I59" s="2542" t="s">
        <v>2435</v>
      </c>
      <c r="J59" s="2546" t="str">
        <f ca="1">IF(OR(M47="住宅",J51&lt;L48,J56="是"),"——",ROUND(C29*J58,0))</f>
        <v>——</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2349</v>
      </c>
      <c r="C60" s="313">
        <f ca="1">IF(项目基本情况!B11="自然人","——",ROUND(C48*F60/(1+'数据-取费表'!C42),2))</f>
        <v>0</v>
      </c>
      <c r="D60" s="2417" t="s">
        <v>2350</v>
      </c>
      <c r="E60" s="2399" t="s">
        <v>2351</v>
      </c>
      <c r="F60" s="717">
        <f t="shared" ref="F60:F66" si="0">F32</f>
        <v>5.6000000000000001E-2</v>
      </c>
      <c r="I60" s="2543" t="s">
        <v>2436</v>
      </c>
      <c r="J60" s="2547" t="str">
        <f ca="1">IF(OR(M47="住宅",J51&lt;L48,J56="是"),"0",ROUND(J59/(1+J52)^J53,0))</f>
        <v>0</v>
      </c>
      <c r="K60" s="2549" t="s">
        <v>2439</v>
      </c>
      <c r="L60" s="2547">
        <f ca="1">IF(OR(M47="住宅",L48&lt;J51),0,ROUND(L57*(L58/L59-1),0))</f>
        <v>0</v>
      </c>
      <c r="O60" s="2586" t="s">
        <v>2461</v>
      </c>
      <c r="P60" s="2594" t="s">
        <v>2491</v>
      </c>
      <c r="Q60" s="2585">
        <f ca="1">L58</f>
        <v>0</v>
      </c>
      <c r="R60" s="2585" t="s">
        <v>2466</v>
      </c>
    </row>
    <row r="61" spans="1:18" s="1454" customFormat="1" ht="20.25" thickBot="1">
      <c r="A61" s="2435" t="s">
        <v>2379</v>
      </c>
      <c r="B61" s="2399" t="s">
        <v>2352</v>
      </c>
      <c r="C61" s="313">
        <f ca="1">IF(项目基本情况!B11="自然人","——",IF(D61="按租金收入计税",ROUND(C48*F61,2),IF(D61="按房产原值计税",ROUND(C57*F61*0.7,2),INDIRECT("'数据-取费表'!Aj"&amp;$G$1))))</f>
        <v>65.89</v>
      </c>
      <c r="D61" s="1300" t="s">
        <v>2421</v>
      </c>
      <c r="E61" s="2399" t="s">
        <v>2351</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f ca="1">IF(项目基本情况!B11="自然人","——",ROUND(F62*F63/10000,2))</f>
        <v>0</v>
      </c>
      <c r="D62" s="2418" t="s">
        <v>2354</v>
      </c>
      <c r="E62" s="2399" t="s">
        <v>2355</v>
      </c>
      <c r="F62" s="711">
        <f t="shared" si="0"/>
        <v>18</v>
      </c>
      <c r="I62" s="2544" t="s">
        <v>2426</v>
      </c>
      <c r="J62" s="2545" t="s">
        <v>2427</v>
      </c>
      <c r="K62" s="2545" t="s">
        <v>2428</v>
      </c>
      <c r="L62" s="2545" t="s">
        <v>2424</v>
      </c>
      <c r="M62" s="3322" t="s">
        <v>3045</v>
      </c>
      <c r="O62" s="2584" t="s">
        <v>2463</v>
      </c>
      <c r="P62" s="2594" t="s">
        <v>2481</v>
      </c>
      <c r="Q62" s="2585">
        <f ca="1">Q56+Q57</f>
        <v>12463</v>
      </c>
      <c r="R62" s="2585" t="s">
        <v>2464</v>
      </c>
    </row>
    <row r="63" spans="1:18" s="1454" customFormat="1" ht="16.5" thickBot="1">
      <c r="A63" s="712"/>
      <c r="B63" s="2405"/>
      <c r="C63" s="318"/>
      <c r="D63" s="2419"/>
      <c r="E63" s="2399" t="s">
        <v>2356</v>
      </c>
      <c r="F63" s="685">
        <f t="shared" ca="1" si="0"/>
        <v>0</v>
      </c>
      <c r="I63" s="2544" t="s">
        <v>2440</v>
      </c>
      <c r="J63" s="3325">
        <v>70</v>
      </c>
      <c r="K63" s="3325">
        <v>50</v>
      </c>
      <c r="L63" s="3325">
        <v>80</v>
      </c>
      <c r="M63" s="3323">
        <v>0.02</v>
      </c>
      <c r="O63" s="2588" t="s">
        <v>2495</v>
      </c>
      <c r="P63" s="1295"/>
      <c r="Q63" s="1295"/>
      <c r="R63" s="1295"/>
    </row>
    <row r="64" spans="1:18" s="1454" customFormat="1" ht="15.75" thickBot="1">
      <c r="A64" s="2435" t="s">
        <v>2388</v>
      </c>
      <c r="B64" s="2399" t="s">
        <v>2357</v>
      </c>
      <c r="C64" s="313">
        <f ca="1">ROUND(C57*F64,1)</f>
        <v>78.400000000000006</v>
      </c>
      <c r="D64" s="2417" t="s">
        <v>2358</v>
      </c>
      <c r="E64" s="2399" t="s">
        <v>2351</v>
      </c>
      <c r="F64" s="714">
        <f t="shared" ca="1" si="0"/>
        <v>0.01</v>
      </c>
      <c r="I64" s="2544" t="s">
        <v>2441</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f ca="1">ROUND(C56*F65,1)</f>
        <v>11.4</v>
      </c>
      <c r="D65" s="2417" t="s">
        <v>2359</v>
      </c>
      <c r="E65" s="2399" t="s">
        <v>2351</v>
      </c>
      <c r="F65" s="716">
        <f t="shared" ca="1" si="0"/>
        <v>1.5E-3</v>
      </c>
      <c r="I65" s="2544" t="s">
        <v>2442</v>
      </c>
      <c r="J65" s="3325">
        <v>40</v>
      </c>
      <c r="K65" s="3325">
        <v>30</v>
      </c>
      <c r="L65" s="3325">
        <v>50</v>
      </c>
      <c r="M65" s="3323">
        <v>0.02</v>
      </c>
      <c r="O65" s="2584" t="s">
        <v>2457</v>
      </c>
      <c r="P65" s="2594" t="s">
        <v>2475</v>
      </c>
      <c r="Q65" s="2585">
        <f ca="1">C40+J29</f>
        <v>12463</v>
      </c>
      <c r="R65" s="2585" t="s">
        <v>2476</v>
      </c>
    </row>
    <row r="66" spans="1:18" s="1454" customFormat="1" ht="20.25" thickBot="1">
      <c r="A66" s="2435" t="s">
        <v>2383</v>
      </c>
      <c r="B66" s="2399" t="s">
        <v>367</v>
      </c>
      <c r="C66" s="313">
        <f ca="1">ROUND(C48*F66,1)</f>
        <v>0</v>
      </c>
      <c r="D66" s="2417" t="s">
        <v>2360</v>
      </c>
      <c r="E66" s="2399" t="s">
        <v>2351</v>
      </c>
      <c r="F66" s="694">
        <f t="shared" ca="1" si="0"/>
        <v>1.4999999999999999E-2</v>
      </c>
      <c r="O66" s="2584" t="s">
        <v>2458</v>
      </c>
      <c r="P66" s="2594" t="s">
        <v>2482</v>
      </c>
      <c r="Q66" s="2585">
        <f ca="1">L60</f>
        <v>0</v>
      </c>
      <c r="R66" s="2585" t="s">
        <v>2465</v>
      </c>
    </row>
    <row r="67" spans="1:18" s="1454" customFormat="1" ht="24.75" thickBot="1">
      <c r="A67" s="2406" t="s">
        <v>2361</v>
      </c>
      <c r="B67" s="2420" t="s">
        <v>2362</v>
      </c>
      <c r="C67" s="698">
        <f ca="1">C48-C58</f>
        <v>-156</v>
      </c>
      <c r="D67" s="2416" t="s">
        <v>2363</v>
      </c>
      <c r="E67" s="2421"/>
      <c r="F67" s="2422"/>
      <c r="O67" s="2586" t="s">
        <v>2459</v>
      </c>
      <c r="P67" s="2594" t="s">
        <v>2489</v>
      </c>
      <c r="Q67" s="2589">
        <f ca="1">L51</f>
        <v>-950</v>
      </c>
      <c r="R67" s="2590" t="s">
        <v>2499</v>
      </c>
    </row>
    <row r="68" spans="1:18" s="1454" customFormat="1" ht="20.25" thickBot="1">
      <c r="A68" s="2396" t="s">
        <v>2364</v>
      </c>
      <c r="B68" s="2397" t="s">
        <v>2365</v>
      </c>
      <c r="C68" s="683">
        <f ca="1">ROUND(C67*(1-((1+F70)/(1+F68))^F69)/(F68-F70),0)</f>
        <v>-2768</v>
      </c>
      <c r="D68" s="2418" t="s">
        <v>2366</v>
      </c>
      <c r="E68" s="2399" t="s">
        <v>2367</v>
      </c>
      <c r="F68" s="694">
        <f ca="1">F40</f>
        <v>0.05</v>
      </c>
      <c r="O68" s="2586" t="s">
        <v>2460</v>
      </c>
      <c r="P68" s="2595" t="s">
        <v>2493</v>
      </c>
      <c r="Q68" s="2585">
        <f ca="1">ROUND(Q69-Q70*Q71,0)</f>
        <v>-50</v>
      </c>
      <c r="R68" s="2585" t="s">
        <v>2498</v>
      </c>
    </row>
    <row r="69" spans="1:18" s="1454" customFormat="1" ht="15.75" thickBot="1">
      <c r="A69" s="2400"/>
      <c r="B69" s="2401"/>
      <c r="C69" s="688"/>
      <c r="D69" s="2423" t="s">
        <v>2368</v>
      </c>
      <c r="E69" s="2399" t="s">
        <v>2369</v>
      </c>
      <c r="F69" s="719">
        <f ca="1">F41</f>
        <v>44.71</v>
      </c>
      <c r="O69" s="2586" t="s">
        <v>2468</v>
      </c>
      <c r="P69" s="2595" t="s">
        <v>2483</v>
      </c>
      <c r="Q69" s="2585">
        <f ca="1">C39</f>
        <v>559</v>
      </c>
      <c r="R69" s="2585" t="s">
        <v>2476</v>
      </c>
    </row>
    <row r="70" spans="1:18" s="1454" customFormat="1" ht="15.75" thickBot="1">
      <c r="A70" s="2403"/>
      <c r="B70" s="2404"/>
      <c r="C70" s="692"/>
      <c r="D70" s="2419"/>
      <c r="E70" s="2399" t="s">
        <v>2370</v>
      </c>
      <c r="F70" s="2529"/>
      <c r="O70" s="2586" t="s">
        <v>2469</v>
      </c>
      <c r="P70" s="2595" t="s">
        <v>2484</v>
      </c>
      <c r="Q70" s="2585">
        <f ca="1">C13</f>
        <v>7609</v>
      </c>
      <c r="R70" s="2585" t="s">
        <v>2476</v>
      </c>
    </row>
    <row r="71" spans="1:18" s="1454" customFormat="1" ht="15.75" thickBot="1">
      <c r="A71" s="2424" t="s">
        <v>2371</v>
      </c>
      <c r="B71" s="2425" t="s">
        <v>2372</v>
      </c>
      <c r="C71" s="722">
        <f ca="1">ROUND(C68*10000/F71,0)</f>
        <v>-884</v>
      </c>
      <c r="D71" s="2426" t="s">
        <v>2373</v>
      </c>
      <c r="E71" s="2427" t="s">
        <v>2374</v>
      </c>
      <c r="F71" s="725">
        <f ca="1">F43</f>
        <v>31303.89</v>
      </c>
      <c r="I71" s="2394"/>
      <c r="K71" s="2394"/>
      <c r="O71" s="2586" t="s">
        <v>2470</v>
      </c>
      <c r="P71" s="2595" t="s">
        <v>2496</v>
      </c>
      <c r="Q71" s="2587">
        <f ca="1">C76</f>
        <v>0.08</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f ca="1">ROUND(C13*C76,0)</f>
        <v>609</v>
      </c>
      <c r="D75" s="1454"/>
      <c r="E75" s="1454"/>
      <c r="F75" s="1454"/>
      <c r="K75" s="1455"/>
      <c r="L75" s="1454"/>
      <c r="O75" s="2584" t="s">
        <v>2463</v>
      </c>
      <c r="P75" s="2594" t="s">
        <v>2481</v>
      </c>
      <c r="Q75" s="2585">
        <f ca="1">Q65+Q66</f>
        <v>12463</v>
      </c>
      <c r="R75" s="2585" t="s">
        <v>2464</v>
      </c>
    </row>
    <row r="76" spans="1:18">
      <c r="B76" s="731" t="s">
        <v>974</v>
      </c>
      <c r="C76" s="732">
        <f ca="1">INDIRECT("'数据-取费表'!j"&amp;$G$1)</f>
        <v>0.08</v>
      </c>
      <c r="I76" s="1454"/>
      <c r="J76" s="1454"/>
      <c r="K76" s="1455"/>
      <c r="L76" s="1454"/>
    </row>
    <row r="77" spans="1:18">
      <c r="B77" s="733" t="s">
        <v>977</v>
      </c>
      <c r="C77" s="734"/>
      <c r="I77" s="1454"/>
      <c r="J77" s="1454"/>
      <c r="K77" s="1455"/>
      <c r="L77" s="1454"/>
    </row>
    <row r="78" spans="1:18">
      <c r="B78" s="646" t="s">
        <v>2704</v>
      </c>
      <c r="C78" s="735"/>
    </row>
    <row r="79" spans="1:18">
      <c r="B79" s="2873" t="s">
        <v>2708</v>
      </c>
      <c r="C79" s="650">
        <f ca="1">1-C80</f>
        <v>-8.8999999999999968E-2</v>
      </c>
    </row>
    <row r="80" spans="1:18">
      <c r="B80" s="2873" t="s">
        <v>2707</v>
      </c>
      <c r="C80" s="650">
        <f ca="1">ROUND(C75/C39,3)</f>
        <v>1.089</v>
      </c>
    </row>
    <row r="81" spans="2:3">
      <c r="B81" s="646" t="s">
        <v>387</v>
      </c>
      <c r="C81" s="647"/>
    </row>
    <row r="82" spans="2:3">
      <c r="B82" s="2872" t="s">
        <v>2706</v>
      </c>
      <c r="C82" s="651">
        <f ca="1">1-C83</f>
        <v>0.38900000000000001</v>
      </c>
    </row>
    <row r="83" spans="2:3">
      <c r="B83" s="2872" t="s">
        <v>2705</v>
      </c>
      <c r="C83" s="650">
        <f ca="1">ROUND(C13/C40,3)</f>
        <v>0.61099999999999999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M48" sqref="M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t="s">
        <v>3567</v>
      </c>
      <c r="E1" s="3107"/>
      <c r="F1" s="3106" t="s">
        <v>3579</v>
      </c>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4" t="e">
        <f ca="1">IF(C2="——",ROUND(C49*D3/10000,0),ROUND(C49*D3/10000,0)-D2)</f>
        <v>#REF!</v>
      </c>
      <c r="C2" s="3098"/>
      <c r="D2" s="2721" t="e">
        <f ca="1">SUMIF(INDIRECT("'"&amp;F2&amp;"'"&amp;"!A:A"),"承租人权益价值",INDIRECT("'"&amp;F2&amp;"'"&amp;"!c:c"))</f>
        <v>#REF!</v>
      </c>
      <c r="E2" s="3099" t="s">
        <v>867</v>
      </c>
      <c r="F2" s="3100"/>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t="e">
        <f ca="1">IF(C2="——",C49,ROUND(B2*10000/D3,0))</f>
        <v>#REF!</v>
      </c>
      <c r="C3" s="142" t="s">
        <v>168</v>
      </c>
      <c r="D3" s="742">
        <f>IF(D1="",'数据-汇总表'!E3,SUMIF('数据-汇总表'!$C19:$C33,D1,'数据-汇总表'!$E19:$E33))</f>
        <v>0</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78" t="s">
        <v>54</v>
      </c>
      <c r="D4" s="3679"/>
      <c r="E4" s="3680" t="s">
        <v>55</v>
      </c>
      <c r="F4" s="3681"/>
      <c r="G4" s="3678" t="s">
        <v>56</v>
      </c>
      <c r="H4" s="3679"/>
      <c r="I4" s="3678" t="s">
        <v>57</v>
      </c>
      <c r="J4" s="3679"/>
      <c r="K4" s="187" t="s">
        <v>58</v>
      </c>
      <c r="L4" s="2292"/>
      <c r="M4" s="2293"/>
      <c r="N4" s="2293"/>
      <c r="O4" s="2293"/>
      <c r="P4" s="3682" t="s">
        <v>53</v>
      </c>
      <c r="Q4" s="3683"/>
      <c r="R4" s="3668" t="s">
        <v>55</v>
      </c>
      <c r="S4" s="3669"/>
      <c r="T4" s="3668" t="s">
        <v>56</v>
      </c>
      <c r="U4" s="3669"/>
      <c r="V4" s="3664" t="s">
        <v>57</v>
      </c>
      <c r="W4" s="3664"/>
      <c r="X4" s="1339"/>
      <c r="Y4" s="3668" t="s">
        <v>53</v>
      </c>
      <c r="Z4" s="3669"/>
      <c r="AA4" s="3674" t="s">
        <v>55</v>
      </c>
      <c r="AB4" s="3664" t="s">
        <v>56</v>
      </c>
      <c r="AC4" s="3674" t="s">
        <v>57</v>
      </c>
    </row>
    <row r="5" spans="1:29">
      <c r="A5" s="146"/>
      <c r="B5" s="147"/>
      <c r="C5" s="3688" t="s">
        <v>59</v>
      </c>
      <c r="D5" s="3689"/>
      <c r="E5" s="3690" t="s">
        <v>3580</v>
      </c>
      <c r="F5" s="3691"/>
      <c r="G5" s="3690" t="s">
        <v>3580</v>
      </c>
      <c r="H5" s="3691"/>
      <c r="I5" s="3690" t="s">
        <v>3580</v>
      </c>
      <c r="J5" s="3691"/>
      <c r="K5" s="187"/>
      <c r="L5" s="2292"/>
      <c r="M5" s="2293"/>
      <c r="N5" s="2293"/>
      <c r="O5" s="2293"/>
      <c r="P5" s="3684"/>
      <c r="Q5" s="3685"/>
      <c r="R5" s="3670"/>
      <c r="S5" s="3671"/>
      <c r="T5" s="3670"/>
      <c r="U5" s="3671"/>
      <c r="V5" s="3664"/>
      <c r="W5" s="3664"/>
      <c r="X5" s="1339"/>
      <c r="Y5" s="3670"/>
      <c r="Z5" s="3671"/>
      <c r="AA5" s="3675"/>
      <c r="AB5" s="3664"/>
      <c r="AC5" s="3675"/>
    </row>
    <row r="6" spans="1:29" ht="14.25" thickBot="1">
      <c r="A6" s="148"/>
      <c r="B6" s="149"/>
      <c r="C6" s="3692" t="s">
        <v>63</v>
      </c>
      <c r="D6" s="3693"/>
      <c r="E6" s="3694" t="s">
        <v>63</v>
      </c>
      <c r="F6" s="3695"/>
      <c r="G6" s="3692" t="s">
        <v>63</v>
      </c>
      <c r="H6" s="3693"/>
      <c r="I6" s="3692" t="s">
        <v>63</v>
      </c>
      <c r="J6" s="3693"/>
      <c r="K6" s="187" t="s">
        <v>117</v>
      </c>
      <c r="L6" s="2292"/>
      <c r="M6" s="2293"/>
      <c r="N6" s="2293"/>
      <c r="O6" s="2293"/>
      <c r="P6" s="3686"/>
      <c r="Q6" s="3687"/>
      <c r="R6" s="3670"/>
      <c r="S6" s="3671"/>
      <c r="T6" s="3672"/>
      <c r="U6" s="3673"/>
      <c r="V6" s="3664"/>
      <c r="W6" s="3664"/>
      <c r="X6" s="1339"/>
      <c r="Y6" s="3672"/>
      <c r="Z6" s="3673"/>
      <c r="AA6" s="3676"/>
      <c r="AB6" s="3664"/>
      <c r="AC6" s="3676"/>
    </row>
    <row r="7" spans="1:29" s="40" customFormat="1" ht="15" thickBot="1">
      <c r="A7" s="1013" t="s">
        <v>64</v>
      </c>
      <c r="B7" s="1014"/>
      <c r="C7" s="1015">
        <f>'数据-取费表'!B2</f>
        <v>42935</v>
      </c>
      <c r="D7" s="754">
        <v>100</v>
      </c>
      <c r="E7" s="1016">
        <v>42917</v>
      </c>
      <c r="F7" s="756">
        <f>SUMIF(58:58,YEAR(E7)&amp;"-"&amp;MONTH(E7),59:59)</f>
        <v>100</v>
      </c>
      <c r="G7" s="1016">
        <v>42917</v>
      </c>
      <c r="H7" s="754">
        <f>SUMIF(58:58,YEAR(G7)&amp;"-"&amp;MONTH(G7),59:59)</f>
        <v>100</v>
      </c>
      <c r="I7" s="1016">
        <v>42917</v>
      </c>
      <c r="J7" s="754">
        <f>SUMIF(58:58,YEAR(I7)&amp;"-"&amp;MONTH(I7),59:59)</f>
        <v>100</v>
      </c>
      <c r="K7" s="1018"/>
      <c r="L7" s="2294"/>
      <c r="M7" s="2256"/>
      <c r="N7" s="2256"/>
      <c r="O7" s="2256"/>
      <c r="P7" s="3665" t="s">
        <v>64</v>
      </c>
      <c r="Q7" s="3677"/>
      <c r="R7" s="1341" t="s">
        <v>65</v>
      </c>
      <c r="S7" s="1342">
        <f t="shared" ref="S7:S15" si="0">F7</f>
        <v>100</v>
      </c>
      <c r="T7" s="1341" t="s">
        <v>65</v>
      </c>
      <c r="U7" s="1342">
        <f t="shared" ref="U7:U15" si="1">H7</f>
        <v>100</v>
      </c>
      <c r="V7" s="1341" t="s">
        <v>65</v>
      </c>
      <c r="W7" s="1342">
        <f t="shared" ref="W7:W15" si="2">J7</f>
        <v>100</v>
      </c>
      <c r="X7" s="287"/>
      <c r="Y7" s="3665" t="s">
        <v>64</v>
      </c>
      <c r="Z7" s="3666"/>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4"/>
      <c r="M8" s="2256"/>
      <c r="N8" s="2256"/>
      <c r="O8" s="2256"/>
      <c r="P8" s="3665" t="s">
        <v>1020</v>
      </c>
      <c r="Q8" s="3666"/>
      <c r="R8" s="1341" t="s">
        <v>65</v>
      </c>
      <c r="S8" s="1342">
        <f t="shared" si="0"/>
        <v>100</v>
      </c>
      <c r="T8" s="1341" t="s">
        <v>65</v>
      </c>
      <c r="U8" s="1342">
        <f t="shared" si="1"/>
        <v>100</v>
      </c>
      <c r="V8" s="1341" t="s">
        <v>65</v>
      </c>
      <c r="W8" s="1342">
        <f t="shared" si="2"/>
        <v>100</v>
      </c>
      <c r="X8" s="287"/>
      <c r="Y8" s="3665" t="s">
        <v>1020</v>
      </c>
      <c r="Z8" s="3666"/>
      <c r="AA8" s="1343">
        <f t="shared" ref="AA8:AA46" si="3">D8/F8</f>
        <v>1</v>
      </c>
      <c r="AB8" s="1343">
        <f t="shared" ref="AB8:AB46" si="4">D8/H8</f>
        <v>1</v>
      </c>
      <c r="AC8" s="1343">
        <f t="shared" ref="AC8:AC46" si="5">D8/J8</f>
        <v>1</v>
      </c>
    </row>
    <row r="9" spans="1:29" s="40" customFormat="1" ht="14.25">
      <c r="A9" s="1020" t="s">
        <v>1021</v>
      </c>
      <c r="B9" s="62" t="s">
        <v>1022</v>
      </c>
      <c r="C9" s="1345" t="s">
        <v>3581</v>
      </c>
      <c r="D9" s="425">
        <v>100</v>
      </c>
      <c r="E9" s="1346" t="s">
        <v>3563</v>
      </c>
      <c r="F9" s="760">
        <f>SUMIF(63:63,E9,64:64)-SUMIF(63:63,C9,64:64)+100</f>
        <v>100</v>
      </c>
      <c r="G9" s="1346" t="s">
        <v>3563</v>
      </c>
      <c r="H9" s="425">
        <f>SUMIF(63:63,G9,64:64)-SUMIF(63:63,C9,64:64)+100</f>
        <v>100</v>
      </c>
      <c r="I9" s="1346" t="s">
        <v>3563</v>
      </c>
      <c r="J9" s="425">
        <f>SUMIF(63:63,I9,64:64)-SUMIF(63:63,C9,64:64)+100</f>
        <v>100</v>
      </c>
      <c r="K9" s="1018"/>
      <c r="L9" s="2294"/>
      <c r="M9" s="2256"/>
      <c r="N9" s="2256"/>
      <c r="O9" s="2256"/>
      <c r="P9" s="3667" t="s">
        <v>67</v>
      </c>
      <c r="Q9" s="7" t="str">
        <f t="shared" ref="Q9:Q15" si="6">B9</f>
        <v>用途</v>
      </c>
      <c r="R9" s="1341" t="s">
        <v>65</v>
      </c>
      <c r="S9" s="1342">
        <f t="shared" si="0"/>
        <v>100</v>
      </c>
      <c r="T9" s="1341" t="s">
        <v>65</v>
      </c>
      <c r="U9" s="1342">
        <f t="shared" si="1"/>
        <v>100</v>
      </c>
      <c r="V9" s="1341" t="s">
        <v>65</v>
      </c>
      <c r="W9" s="1342">
        <f t="shared" si="2"/>
        <v>100</v>
      </c>
      <c r="X9" s="287"/>
      <c r="Y9" s="3482" t="s">
        <v>67</v>
      </c>
      <c r="Z9" s="288" t="str">
        <f t="shared" ref="Z9:Z15" si="7">Q9</f>
        <v>用途</v>
      </c>
      <c r="AA9" s="1343">
        <f t="shared" si="3"/>
        <v>1</v>
      </c>
      <c r="AB9" s="1343">
        <f t="shared" si="4"/>
        <v>1</v>
      </c>
      <c r="AC9" s="1343">
        <f t="shared" si="5"/>
        <v>1</v>
      </c>
    </row>
    <row r="10" spans="1:29" s="92" customFormat="1" ht="27">
      <c r="A10" s="150"/>
      <c r="B10" s="12" t="s">
        <v>106</v>
      </c>
      <c r="C10" s="1348" t="s">
        <v>3582</v>
      </c>
      <c r="D10" s="426">
        <v>100</v>
      </c>
      <c r="E10" s="1349" t="s">
        <v>3582</v>
      </c>
      <c r="F10" s="767">
        <f>SUMIF(65:65,E10,66:66)-SUMIF(65:65,C10,66:66)+100</f>
        <v>100</v>
      </c>
      <c r="G10" s="1348" t="s">
        <v>3582</v>
      </c>
      <c r="H10" s="426">
        <f>SUMIF(65:65,G10,66:66)-SUMIF(65:65,C10,66:66)+100</f>
        <v>100</v>
      </c>
      <c r="I10" s="1348" t="s">
        <v>3582</v>
      </c>
      <c r="J10" s="426">
        <f>SUMIF(65:65,I10,66:66)-SUMIF(65:65,C10,66:66)+100</f>
        <v>100</v>
      </c>
      <c r="K10" s="954">
        <f>'比较法-商业(售价)'!K10</f>
        <v>2</v>
      </c>
      <c r="L10" s="2295"/>
      <c r="M10" s="2296"/>
      <c r="N10" s="2296"/>
      <c r="O10" s="2296"/>
      <c r="P10" s="3667"/>
      <c r="Q10" s="7" t="str">
        <f t="shared" si="6"/>
        <v>土地使用年限（年）</v>
      </c>
      <c r="R10" s="1341" t="s">
        <v>65</v>
      </c>
      <c r="S10" s="1342">
        <f t="shared" si="0"/>
        <v>100</v>
      </c>
      <c r="T10" s="1341" t="s">
        <v>65</v>
      </c>
      <c r="U10" s="1342">
        <f t="shared" si="1"/>
        <v>100</v>
      </c>
      <c r="V10" s="1341" t="s">
        <v>65</v>
      </c>
      <c r="W10" s="1342">
        <f t="shared" si="2"/>
        <v>100</v>
      </c>
      <c r="X10" s="287"/>
      <c r="Y10" s="3482"/>
      <c r="Z10" s="288" t="str">
        <f t="shared" si="7"/>
        <v>土地使用年限（年）</v>
      </c>
      <c r="AA10" s="1343">
        <f t="shared" si="3"/>
        <v>1</v>
      </c>
      <c r="AB10" s="1343">
        <f t="shared" si="4"/>
        <v>1</v>
      </c>
      <c r="AC10" s="1343">
        <f t="shared" si="5"/>
        <v>1</v>
      </c>
    </row>
    <row r="11" spans="1:29" ht="15">
      <c r="A11" s="151"/>
      <c r="B11" s="12" t="s">
        <v>93</v>
      </c>
      <c r="C11" s="771">
        <v>2.95</v>
      </c>
      <c r="D11" s="426">
        <v>100</v>
      </c>
      <c r="E11" s="771">
        <v>2.95</v>
      </c>
      <c r="F11" s="767">
        <f>LOOKUP(E11,68:68,69:69)-LOOKUP(C11,68:68,69:69)+100</f>
        <v>100</v>
      </c>
      <c r="G11" s="771">
        <v>2.95</v>
      </c>
      <c r="H11" s="426">
        <f>LOOKUP(G11,68:68,69:69)-LOOKUP(C11,68:68,69:69)+100</f>
        <v>100</v>
      </c>
      <c r="I11" s="771">
        <v>2.95</v>
      </c>
      <c r="J11" s="426">
        <f>LOOKUP(I11,68:68,69:69)-LOOKUP(C11,68:68,69:69)+100</f>
        <v>100</v>
      </c>
      <c r="K11" s="954">
        <f>'比较法-商业(售价)'!K11</f>
        <v>2</v>
      </c>
      <c r="L11" s="2297"/>
      <c r="M11" s="2293"/>
      <c r="N11" s="2293"/>
      <c r="O11" s="2293"/>
      <c r="P11" s="3667"/>
      <c r="Q11" s="7" t="str">
        <f t="shared" si="6"/>
        <v>容积率</v>
      </c>
      <c r="R11" s="1341" t="s">
        <v>65</v>
      </c>
      <c r="S11" s="1342">
        <f t="shared" si="0"/>
        <v>100</v>
      </c>
      <c r="T11" s="1341" t="s">
        <v>65</v>
      </c>
      <c r="U11" s="1342">
        <f t="shared" si="1"/>
        <v>100</v>
      </c>
      <c r="V11" s="1341" t="s">
        <v>65</v>
      </c>
      <c r="W11" s="1342">
        <f t="shared" si="2"/>
        <v>100</v>
      </c>
      <c r="X11" s="287"/>
      <c r="Y11" s="3482"/>
      <c r="Z11" s="288"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4"/>
      <c r="M12" s="2256"/>
      <c r="N12" s="2256"/>
      <c r="O12" s="2256"/>
      <c r="P12" s="3667"/>
      <c r="Q12" s="7">
        <f t="shared" si="6"/>
        <v>111</v>
      </c>
      <c r="R12" s="1341" t="s">
        <v>65</v>
      </c>
      <c r="S12" s="1342">
        <f t="shared" si="0"/>
        <v>100</v>
      </c>
      <c r="T12" s="1341" t="s">
        <v>65</v>
      </c>
      <c r="U12" s="1342">
        <f t="shared" si="1"/>
        <v>100</v>
      </c>
      <c r="V12" s="1341" t="s">
        <v>65</v>
      </c>
      <c r="W12" s="1342">
        <f t="shared" si="2"/>
        <v>100</v>
      </c>
      <c r="X12" s="287"/>
      <c r="Y12" s="348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67"/>
      <c r="Q13" s="7">
        <f t="shared" si="6"/>
        <v>111</v>
      </c>
      <c r="R13" s="1341" t="s">
        <v>65</v>
      </c>
      <c r="S13" s="1342">
        <f t="shared" si="0"/>
        <v>100</v>
      </c>
      <c r="T13" s="1341" t="s">
        <v>65</v>
      </c>
      <c r="U13" s="1342">
        <f t="shared" si="1"/>
        <v>100</v>
      </c>
      <c r="V13" s="1341" t="s">
        <v>65</v>
      </c>
      <c r="W13" s="1342">
        <f t="shared" si="2"/>
        <v>100</v>
      </c>
      <c r="X13" s="287"/>
      <c r="Y13" s="3482"/>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67"/>
      <c r="Q14" s="7">
        <f t="shared" si="6"/>
        <v>111</v>
      </c>
      <c r="R14" s="1341" t="s">
        <v>65</v>
      </c>
      <c r="S14" s="1342">
        <f t="shared" si="0"/>
        <v>100</v>
      </c>
      <c r="T14" s="1341" t="s">
        <v>65</v>
      </c>
      <c r="U14" s="1342">
        <f t="shared" si="1"/>
        <v>100</v>
      </c>
      <c r="V14" s="1341" t="s">
        <v>65</v>
      </c>
      <c r="W14" s="1342">
        <f t="shared" si="2"/>
        <v>100</v>
      </c>
      <c r="X14" s="287"/>
      <c r="Y14" s="3482"/>
      <c r="Z14" s="288">
        <f t="shared" si="7"/>
        <v>111</v>
      </c>
      <c r="AA14" s="1343">
        <f t="shared" si="3"/>
        <v>1</v>
      </c>
      <c r="AB14" s="1343">
        <f t="shared" si="4"/>
        <v>1</v>
      </c>
      <c r="AC14" s="1343">
        <f t="shared" si="5"/>
        <v>1</v>
      </c>
    </row>
    <row r="15" spans="1:29" ht="108">
      <c r="A15" s="155" t="s">
        <v>69</v>
      </c>
      <c r="B15" s="58" t="s">
        <v>130</v>
      </c>
      <c r="C15" s="157" t="str">
        <f>估价对象房地状况!C4</f>
        <v>估价对象位于福州东二环泰禾广场商圈，周围有泰禾广场购物中心及步行街，周边商业氛围成熟，人流量大，商业繁华度好。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f>'比较法-商业(售价)'!K15</f>
        <v>3</v>
      </c>
      <c r="L15" s="2298"/>
      <c r="M15" s="2293"/>
      <c r="N15" s="2293"/>
      <c r="O15" s="2293"/>
      <c r="P15" s="3655" t="s">
        <v>69</v>
      </c>
      <c r="Q15" s="1350" t="str">
        <f t="shared" si="6"/>
        <v>商业繁华度</v>
      </c>
      <c r="R15" s="1351" t="s">
        <v>65</v>
      </c>
      <c r="S15" s="1352">
        <f t="shared" si="0"/>
        <v>100</v>
      </c>
      <c r="T15" s="1351" t="s">
        <v>65</v>
      </c>
      <c r="U15" s="1352">
        <f t="shared" si="1"/>
        <v>100</v>
      </c>
      <c r="V15" s="1351" t="s">
        <v>65</v>
      </c>
      <c r="W15" s="1352">
        <f t="shared" si="2"/>
        <v>100</v>
      </c>
      <c r="X15" s="1339"/>
      <c r="Y15" s="3657" t="s">
        <v>69</v>
      </c>
      <c r="Z15" s="1353" t="str">
        <f t="shared" si="7"/>
        <v>商业繁华度</v>
      </c>
      <c r="AA15" s="1354">
        <f t="shared" si="3"/>
        <v>1</v>
      </c>
      <c r="AB15" s="1354">
        <f t="shared" si="4"/>
        <v>1</v>
      </c>
      <c r="AC15" s="1354">
        <f t="shared" si="5"/>
        <v>1</v>
      </c>
    </row>
    <row r="16" spans="1:29" ht="14.25">
      <c r="A16" s="151"/>
      <c r="B16" s="156"/>
      <c r="C16" s="97" t="s">
        <v>3583</v>
      </c>
      <c r="D16" s="790"/>
      <c r="E16" s="97" t="s">
        <v>3583</v>
      </c>
      <c r="F16" s="791"/>
      <c r="G16" s="97" t="s">
        <v>3583</v>
      </c>
      <c r="H16" s="792"/>
      <c r="I16" s="97" t="s">
        <v>3583</v>
      </c>
      <c r="J16" s="790"/>
      <c r="K16" s="189"/>
      <c r="L16" s="2298"/>
      <c r="M16" s="2293"/>
      <c r="N16" s="2293"/>
      <c r="O16" s="2293"/>
      <c r="P16" s="3656"/>
      <c r="Q16" s="1350"/>
      <c r="R16" s="1351"/>
      <c r="S16" s="1352"/>
      <c r="T16" s="1351"/>
      <c r="U16" s="1352"/>
      <c r="V16" s="1351"/>
      <c r="W16" s="1352"/>
      <c r="X16" s="1339"/>
      <c r="Y16" s="3658"/>
      <c r="Z16" s="1353"/>
      <c r="AA16" s="1354">
        <v>1</v>
      </c>
      <c r="AB16" s="1354">
        <v>1</v>
      </c>
      <c r="AC16" s="1354">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0"/>
      <c r="F17" s="795">
        <f>SUMIF(78:78,E18,79:79)-SUMIF(78:78,C18,79:79)+100</f>
        <v>100</v>
      </c>
      <c r="G17" s="101"/>
      <c r="H17" s="797">
        <f>SUMIF(78:78,G18,79:79)-SUMIF(78:78,C18,79:79)+100</f>
        <v>100</v>
      </c>
      <c r="I17" s="100"/>
      <c r="J17" s="797">
        <f>SUMIF(78:78,I18,79:79)-SUMIF(78:78,C18,79:79)+100</f>
        <v>100</v>
      </c>
      <c r="K17" s="956">
        <f>'比较法-商业(售价)'!K17</f>
        <v>3</v>
      </c>
      <c r="L17" s="2298"/>
      <c r="M17" s="2293"/>
      <c r="N17" s="2293"/>
      <c r="O17" s="2293"/>
      <c r="P17" s="3656"/>
      <c r="Q17" s="1350" t="str">
        <f>B17</f>
        <v>交通便捷度</v>
      </c>
      <c r="R17" s="1351" t="s">
        <v>65</v>
      </c>
      <c r="S17" s="1352">
        <f>F17</f>
        <v>100</v>
      </c>
      <c r="T17" s="1351" t="s">
        <v>65</v>
      </c>
      <c r="U17" s="1352">
        <f>H17</f>
        <v>100</v>
      </c>
      <c r="V17" s="1351" t="s">
        <v>65</v>
      </c>
      <c r="W17" s="1352">
        <f>J17</f>
        <v>100</v>
      </c>
      <c r="X17" s="1339"/>
      <c r="Y17" s="3658"/>
      <c r="Z17" s="1353" t="str">
        <f>Q17</f>
        <v>交通便捷度</v>
      </c>
      <c r="AA17" s="1354">
        <f t="shared" si="3"/>
        <v>1</v>
      </c>
      <c r="AB17" s="1354">
        <f t="shared" si="4"/>
        <v>1</v>
      </c>
      <c r="AC17" s="1354">
        <f t="shared" si="5"/>
        <v>1</v>
      </c>
    </row>
    <row r="18" spans="1:29" ht="14.25">
      <c r="A18" s="151"/>
      <c r="B18" s="1039"/>
      <c r="C18" s="102" t="s">
        <v>3585</v>
      </c>
      <c r="D18" s="792"/>
      <c r="E18" s="103" t="s">
        <v>3585</v>
      </c>
      <c r="F18" s="795"/>
      <c r="G18" s="104" t="s">
        <v>3585</v>
      </c>
      <c r="H18" s="790"/>
      <c r="I18" s="103" t="s">
        <v>3585</v>
      </c>
      <c r="J18" s="790"/>
      <c r="K18" s="189"/>
      <c r="L18" s="2298"/>
      <c r="M18" s="2293"/>
      <c r="N18" s="2293"/>
      <c r="O18" s="2293"/>
      <c r="P18" s="3656"/>
      <c r="Q18" s="1350"/>
      <c r="R18" s="1351"/>
      <c r="S18" s="1352"/>
      <c r="T18" s="1351"/>
      <c r="U18" s="1352"/>
      <c r="V18" s="1351"/>
      <c r="W18" s="1352"/>
      <c r="X18" s="1339"/>
      <c r="Y18" s="3658"/>
      <c r="Z18" s="1353"/>
      <c r="AA18" s="1354">
        <v>1</v>
      </c>
      <c r="AB18" s="1354">
        <v>1</v>
      </c>
      <c r="AC18" s="1354">
        <v>1</v>
      </c>
    </row>
    <row r="19" spans="1:29" ht="162">
      <c r="A19" s="151"/>
      <c r="B19" s="1355" t="s">
        <v>2659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5"/>
      <c r="F19" s="800">
        <f>SUMIF(80:80,E20,81:81)-SUMIF(80:80,C20,81:81)+100</f>
        <v>100</v>
      </c>
      <c r="G19" s="106"/>
      <c r="H19" s="792">
        <f>SUMIF(80:80,G20,81:81)-SUMIF(80:80,C20,81:81)+100</f>
        <v>100</v>
      </c>
      <c r="I19" s="105"/>
      <c r="J19" s="792">
        <f>SUMIF(80:80,I20,81:81)-SUMIF(80:80,C20,81:81)+100</f>
        <v>100</v>
      </c>
      <c r="K19" s="956">
        <f>'比较法-商业(售价)'!K19</f>
        <v>2</v>
      </c>
      <c r="L19" s="2298"/>
      <c r="M19" s="2293"/>
      <c r="N19" s="2293"/>
      <c r="O19" s="2293"/>
      <c r="P19" s="3656"/>
      <c r="Q19" s="1350" t="str">
        <f>B19</f>
        <v>公共配套设施</v>
      </c>
      <c r="R19" s="1351" t="s">
        <v>65</v>
      </c>
      <c r="S19" s="1352">
        <f>F19</f>
        <v>100</v>
      </c>
      <c r="T19" s="1351" t="s">
        <v>65</v>
      </c>
      <c r="U19" s="1352">
        <f>H19</f>
        <v>100</v>
      </c>
      <c r="V19" s="1351" t="s">
        <v>65</v>
      </c>
      <c r="W19" s="1352">
        <f>J19</f>
        <v>100</v>
      </c>
      <c r="X19" s="1339"/>
      <c r="Y19" s="3658"/>
      <c r="Z19" s="1353" t="str">
        <f>Q19</f>
        <v>公共配套设施</v>
      </c>
      <c r="AA19" s="1354">
        <f t="shared" si="3"/>
        <v>1</v>
      </c>
      <c r="AB19" s="1354">
        <f t="shared" si="4"/>
        <v>1</v>
      </c>
      <c r="AC19" s="1354">
        <f t="shared" si="5"/>
        <v>1</v>
      </c>
    </row>
    <row r="20" spans="1:29" ht="14.25">
      <c r="A20" s="151"/>
      <c r="B20" s="1039"/>
      <c r="C20" s="97" t="s">
        <v>3583</v>
      </c>
      <c r="D20" s="790"/>
      <c r="E20" s="98" t="s">
        <v>3583</v>
      </c>
      <c r="F20" s="791"/>
      <c r="G20" s="99" t="s">
        <v>3583</v>
      </c>
      <c r="H20" s="790"/>
      <c r="I20" s="98" t="s">
        <v>3583</v>
      </c>
      <c r="J20" s="790"/>
      <c r="K20" s="189"/>
      <c r="L20" s="2298"/>
      <c r="M20" s="2293"/>
      <c r="N20" s="2293"/>
      <c r="O20" s="2293"/>
      <c r="P20" s="3656"/>
      <c r="Q20" s="1350"/>
      <c r="R20" s="1351"/>
      <c r="S20" s="1352"/>
      <c r="T20" s="1351"/>
      <c r="U20" s="1352"/>
      <c r="V20" s="1351"/>
      <c r="W20" s="1352"/>
      <c r="X20" s="1339"/>
      <c r="Y20" s="3658"/>
      <c r="Z20" s="1353"/>
      <c r="AA20" s="1354">
        <v>1</v>
      </c>
      <c r="AB20" s="1354">
        <v>1</v>
      </c>
      <c r="AC20" s="1354">
        <v>1</v>
      </c>
    </row>
    <row r="21" spans="1:29" ht="27">
      <c r="A21" s="151"/>
      <c r="B21" s="1411" t="s">
        <v>2660</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f>'比较法-商业(售价)'!K21</f>
        <v>2</v>
      </c>
      <c r="L21" s="2298"/>
      <c r="M21" s="2293"/>
      <c r="N21" s="2293"/>
      <c r="O21" s="2293"/>
      <c r="P21" s="3656"/>
      <c r="Q21" s="2743" t="str">
        <f>B21</f>
        <v>基础设施水平</v>
      </c>
      <c r="R21" s="1351" t="s">
        <v>65</v>
      </c>
      <c r="S21" s="1352">
        <f>F21</f>
        <v>100</v>
      </c>
      <c r="T21" s="1351" t="s">
        <v>65</v>
      </c>
      <c r="U21" s="1352">
        <f>H21</f>
        <v>100</v>
      </c>
      <c r="V21" s="1351" t="s">
        <v>65</v>
      </c>
      <c r="W21" s="1352">
        <f>J21</f>
        <v>100</v>
      </c>
      <c r="X21" s="2745"/>
      <c r="Y21" s="3658"/>
      <c r="Z21" s="2744" t="str">
        <f>Q21</f>
        <v>基础设施水平</v>
      </c>
      <c r="AA21" s="1354">
        <f t="shared" ref="AA21" si="8">D21/F21</f>
        <v>1</v>
      </c>
      <c r="AB21" s="1354">
        <f t="shared" ref="AB21" si="9">D21/H21</f>
        <v>1</v>
      </c>
      <c r="AC21" s="1354">
        <f t="shared" ref="AC21" si="10">D21/J21</f>
        <v>1</v>
      </c>
    </row>
    <row r="22" spans="1:29" ht="14.25">
      <c r="A22" s="151"/>
      <c r="B22" s="1411"/>
      <c r="C22" s="102" t="s">
        <v>3612</v>
      </c>
      <c r="D22" s="790"/>
      <c r="E22" s="97" t="s">
        <v>3612</v>
      </c>
      <c r="F22" s="791"/>
      <c r="G22" s="97" t="s">
        <v>3612</v>
      </c>
      <c r="H22" s="790"/>
      <c r="I22" s="97" t="s">
        <v>3612</v>
      </c>
      <c r="J22" s="790"/>
      <c r="K22" s="2763"/>
      <c r="L22" s="2298"/>
      <c r="M22" s="2293"/>
      <c r="N22" s="2293"/>
      <c r="O22" s="2293"/>
      <c r="P22" s="3656"/>
      <c r="Q22" s="2743"/>
      <c r="R22" s="1351"/>
      <c r="S22" s="1352"/>
      <c r="T22" s="1351"/>
      <c r="U22" s="1352"/>
      <c r="V22" s="1351"/>
      <c r="W22" s="1352"/>
      <c r="X22" s="2745"/>
      <c r="Y22" s="3658"/>
      <c r="Z22" s="2744"/>
      <c r="AA22" s="1354">
        <v>1</v>
      </c>
      <c r="AB22" s="1354">
        <v>1</v>
      </c>
      <c r="AC22" s="1354">
        <v>1</v>
      </c>
    </row>
    <row r="23" spans="1:29" ht="67.5">
      <c r="A23" s="151"/>
      <c r="B23" s="1355" t="s">
        <v>73</v>
      </c>
      <c r="C23" s="190" t="str">
        <f>估价对象房地状况!C9</f>
        <v>估价对象周边有牛岗山公园、金鸡山公园；综合评价环境状况一般。</v>
      </c>
      <c r="D23" s="792">
        <v>100</v>
      </c>
      <c r="E23" s="100"/>
      <c r="F23" s="795">
        <f>SUMIF(84:84,E24,85:85)-SUMIF(84:84,C24,85:85)+100</f>
        <v>100</v>
      </c>
      <c r="G23" s="101"/>
      <c r="H23" s="792">
        <f>SUMIF(84:84,G24,85:85)-SUMIF(84:84,C24,85:85)+100</f>
        <v>100</v>
      </c>
      <c r="I23" s="100"/>
      <c r="J23" s="792">
        <f>SUMIF(84:84,I24,85:85)-SUMIF(84:84,C24,85:85)+100</f>
        <v>100</v>
      </c>
      <c r="K23" s="956">
        <f>'比较法-商业(售价)'!K23</f>
        <v>2</v>
      </c>
      <c r="L23" s="2298"/>
      <c r="M23" s="2293"/>
      <c r="N23" s="2293"/>
      <c r="O23" s="2293"/>
      <c r="P23" s="3656"/>
      <c r="Q23" s="1350" t="str">
        <f>B23</f>
        <v>自然及人文环境</v>
      </c>
      <c r="R23" s="1351" t="s">
        <v>65</v>
      </c>
      <c r="S23" s="1352">
        <f>F23</f>
        <v>100</v>
      </c>
      <c r="T23" s="1351" t="s">
        <v>65</v>
      </c>
      <c r="U23" s="1352">
        <f>H23</f>
        <v>100</v>
      </c>
      <c r="V23" s="1351" t="s">
        <v>65</v>
      </c>
      <c r="W23" s="1352">
        <f>J23</f>
        <v>100</v>
      </c>
      <c r="X23" s="1339"/>
      <c r="Y23" s="3658"/>
      <c r="Z23" s="1353" t="str">
        <f>Q23</f>
        <v>自然及人文环境</v>
      </c>
      <c r="AA23" s="1354">
        <f t="shared" si="3"/>
        <v>1</v>
      </c>
      <c r="AB23" s="1354">
        <f t="shared" si="4"/>
        <v>1</v>
      </c>
      <c r="AC23" s="1354">
        <f t="shared" si="5"/>
        <v>1</v>
      </c>
    </row>
    <row r="24" spans="1:29" ht="14.25">
      <c r="A24" s="151"/>
      <c r="B24" s="1039"/>
      <c r="C24" s="97" t="s">
        <v>3669</v>
      </c>
      <c r="D24" s="790"/>
      <c r="E24" s="98" t="s">
        <v>3669</v>
      </c>
      <c r="F24" s="791"/>
      <c r="G24" s="99" t="s">
        <v>3669</v>
      </c>
      <c r="H24" s="790"/>
      <c r="I24" s="98" t="s">
        <v>3669</v>
      </c>
      <c r="J24" s="790"/>
      <c r="K24" s="189"/>
      <c r="L24" s="2298"/>
      <c r="M24" s="2293"/>
      <c r="N24" s="2293"/>
      <c r="O24" s="2293"/>
      <c r="P24" s="3656"/>
      <c r="Q24" s="1350"/>
      <c r="R24" s="1351"/>
      <c r="S24" s="1352"/>
      <c r="T24" s="1351"/>
      <c r="U24" s="1352"/>
      <c r="V24" s="1351"/>
      <c r="W24" s="1352"/>
      <c r="X24" s="1339"/>
      <c r="Y24" s="3658"/>
      <c r="Z24" s="1353"/>
      <c r="AA24" s="1354">
        <v>1</v>
      </c>
      <c r="AB24" s="1354">
        <v>1</v>
      </c>
      <c r="AC24" s="1354">
        <v>1</v>
      </c>
    </row>
    <row r="25" spans="1:29" ht="15">
      <c r="A25" s="151"/>
      <c r="B25" s="12" t="s">
        <v>131</v>
      </c>
      <c r="C25" s="182" t="s">
        <v>3597</v>
      </c>
      <c r="D25" s="777">
        <v>100</v>
      </c>
      <c r="E25" s="182" t="s">
        <v>3595</v>
      </c>
      <c r="F25" s="803">
        <f>SUMIF(86:86,E25,87:87)-SUMIF(86:86,C25,87:87)+100</f>
        <v>99</v>
      </c>
      <c r="G25" s="182" t="s">
        <v>3595</v>
      </c>
      <c r="H25" s="777">
        <f>SUMIF(86:86,G25,87:87)-SUMIF(86:86,C25,87:87)+100</f>
        <v>99</v>
      </c>
      <c r="I25" s="182" t="s">
        <v>3595</v>
      </c>
      <c r="J25" s="777">
        <f>SUMIF(86:86,I25,87:87)-SUMIF(86:86,C25,87:87)+100</f>
        <v>99</v>
      </c>
      <c r="K25" s="954">
        <f>'比较法-商业(售价)'!K25</f>
        <v>1</v>
      </c>
      <c r="L25" s="2298"/>
      <c r="M25" s="2293"/>
      <c r="N25" s="2293"/>
      <c r="O25" s="2293"/>
      <c r="P25" s="3656"/>
      <c r="Q25" s="1350" t="str">
        <f t="shared" ref="Q25:Q46" si="11">B25</f>
        <v>临街状况</v>
      </c>
      <c r="R25" s="1351" t="s">
        <v>65</v>
      </c>
      <c r="S25" s="1352">
        <f>F25</f>
        <v>99</v>
      </c>
      <c r="T25" s="1351" t="s">
        <v>65</v>
      </c>
      <c r="U25" s="1352">
        <f>H25</f>
        <v>99</v>
      </c>
      <c r="V25" s="1351" t="s">
        <v>65</v>
      </c>
      <c r="W25" s="1352">
        <f>J25</f>
        <v>99</v>
      </c>
      <c r="X25" s="1339"/>
      <c r="Y25" s="3658"/>
      <c r="Z25" s="1353" t="str">
        <f>Q25</f>
        <v>临街状况</v>
      </c>
      <c r="AA25" s="1354">
        <f t="shared" si="3"/>
        <v>1.0101010101010102</v>
      </c>
      <c r="AB25" s="1354">
        <f t="shared" si="4"/>
        <v>1.0101010101010102</v>
      </c>
      <c r="AC25" s="1354">
        <f t="shared" si="5"/>
        <v>1.0101010101010102</v>
      </c>
    </row>
    <row r="26" spans="1:29" ht="14.25">
      <c r="A26" s="151"/>
      <c r="B26" s="1356" t="s">
        <v>1023</v>
      </c>
      <c r="C26" s="93" t="s">
        <v>3671</v>
      </c>
      <c r="D26" s="777">
        <v>100</v>
      </c>
      <c r="E26" s="93" t="s">
        <v>3670</v>
      </c>
      <c r="F26" s="803">
        <f>SUMIF(88:88,E26,89:89)-SUMIF(88:88,C26,89:89)+100</f>
        <v>90</v>
      </c>
      <c r="G26" s="93" t="s">
        <v>3670</v>
      </c>
      <c r="H26" s="777">
        <f>SUMIF(88:88,G26,89:89)-SUMIF(88:88,C26,89:89)+100</f>
        <v>90</v>
      </c>
      <c r="I26" s="93" t="s">
        <v>3586</v>
      </c>
      <c r="J26" s="777">
        <f>SUMIF(88:88,I26,89:89)-SUMIF(88:88,C26,89:89)+100</f>
        <v>95</v>
      </c>
      <c r="K26" s="188"/>
      <c r="L26" s="2298"/>
      <c r="M26" s="2293"/>
      <c r="N26" s="2293"/>
      <c r="O26" s="2293"/>
      <c r="P26" s="3656"/>
      <c r="Q26" s="1350" t="str">
        <f t="shared" si="11"/>
        <v>平面位置/可视性</v>
      </c>
      <c r="R26" s="1351" t="s">
        <v>65</v>
      </c>
      <c r="S26" s="1352">
        <f>F26</f>
        <v>90</v>
      </c>
      <c r="T26" s="1351" t="s">
        <v>65</v>
      </c>
      <c r="U26" s="1352">
        <f>H26</f>
        <v>90</v>
      </c>
      <c r="V26" s="1351" t="s">
        <v>65</v>
      </c>
      <c r="W26" s="1352">
        <f>J26</f>
        <v>95</v>
      </c>
      <c r="X26" s="1339"/>
      <c r="Y26" s="3658"/>
      <c r="Z26" s="1353" t="str">
        <f>Q26</f>
        <v>平面位置/可视性</v>
      </c>
      <c r="AA26" s="1354">
        <f t="shared" si="3"/>
        <v>1.1111111111111112</v>
      </c>
      <c r="AB26" s="1354">
        <f t="shared" si="4"/>
        <v>1.1111111111111112</v>
      </c>
      <c r="AC26" s="1354">
        <f t="shared" si="5"/>
        <v>1.0526315789473684</v>
      </c>
    </row>
    <row r="27" spans="1:29" s="40" customFormat="1" ht="15">
      <c r="A27" s="1029"/>
      <c r="B27" s="1355" t="s">
        <v>1024</v>
      </c>
      <c r="C27" s="1386" t="s">
        <v>3669</v>
      </c>
      <c r="D27" s="804">
        <v>100</v>
      </c>
      <c r="E27" s="1386" t="s">
        <v>3669</v>
      </c>
      <c r="F27" s="806">
        <f>SUMIF(90:90,E27,91:91)-SUMIF(90:90,C27,91:91)+100</f>
        <v>100</v>
      </c>
      <c r="G27" s="1386" t="s">
        <v>3669</v>
      </c>
      <c r="H27" s="804">
        <f>SUMIF(90:90,G27,91:91)-SUMIF(90:90,C27,91:91)+100</f>
        <v>100</v>
      </c>
      <c r="I27" s="1386" t="s">
        <v>3669</v>
      </c>
      <c r="J27" s="804">
        <f>SUMIF(90:90,I27,91:91)-SUMIF(90:90,C27,91:91)+100</f>
        <v>100</v>
      </c>
      <c r="K27" s="954">
        <f>'比较法-商业(售价)'!K27</f>
        <v>5</v>
      </c>
      <c r="L27" s="2294"/>
      <c r="M27" s="2256"/>
      <c r="N27" s="2256"/>
      <c r="O27" s="2256"/>
      <c r="P27" s="3656"/>
      <c r="Q27" s="7" t="str">
        <f t="shared" si="11"/>
        <v>人流量</v>
      </c>
      <c r="R27" s="1341" t="s">
        <v>65</v>
      </c>
      <c r="S27" s="1342">
        <f>F27</f>
        <v>100</v>
      </c>
      <c r="T27" s="1341" t="s">
        <v>65</v>
      </c>
      <c r="U27" s="1342">
        <f>H27</f>
        <v>100</v>
      </c>
      <c r="V27" s="1341" t="s">
        <v>65</v>
      </c>
      <c r="W27" s="1342">
        <f>J27</f>
        <v>100</v>
      </c>
      <c r="X27" s="287"/>
      <c r="Y27" s="3658"/>
      <c r="Z27" s="288" t="str">
        <f>Q27</f>
        <v>人流量</v>
      </c>
      <c r="AA27" s="1354">
        <f>D27/F27</f>
        <v>1</v>
      </c>
      <c r="AB27" s="1354">
        <f>D27/H27</f>
        <v>1</v>
      </c>
      <c r="AC27" s="1354">
        <f>D27/J27</f>
        <v>1</v>
      </c>
    </row>
    <row r="28" spans="1:29" ht="14.25">
      <c r="A28" s="151"/>
      <c r="B28" s="12" t="s">
        <v>132</v>
      </c>
      <c r="C28" s="182" t="s">
        <v>3648</v>
      </c>
      <c r="D28" s="777">
        <v>100</v>
      </c>
      <c r="E28" s="182">
        <v>1</v>
      </c>
      <c r="F28" s="803">
        <f>SUMIF(92:92,E28,93:93)-SUMIF(92:92,C28,93:93)+100</f>
        <v>120</v>
      </c>
      <c r="G28" s="182">
        <v>1</v>
      </c>
      <c r="H28" s="777">
        <f>SUMIF(92:92,G28,93:93)-SUMIF(92:92,C28,93:93)+100</f>
        <v>120</v>
      </c>
      <c r="I28" s="182">
        <v>1</v>
      </c>
      <c r="J28" s="777">
        <f>SUMIF(92:92,I28,93:93)-SUMIF(92:92,C28,93:93)+100</f>
        <v>120</v>
      </c>
      <c r="K28" s="188"/>
      <c r="L28" s="2298"/>
      <c r="M28" s="2293"/>
      <c r="N28" s="2293"/>
      <c r="O28" s="2293"/>
      <c r="P28" s="3656"/>
      <c r="Q28" s="1350" t="str">
        <f t="shared" si="11"/>
        <v>楼层</v>
      </c>
      <c r="R28" s="1351" t="s">
        <v>65</v>
      </c>
      <c r="S28" s="1352">
        <f t="shared" ref="S28:S46" si="12">F28</f>
        <v>120</v>
      </c>
      <c r="T28" s="1351" t="s">
        <v>65</v>
      </c>
      <c r="U28" s="1352">
        <f t="shared" ref="U28:U46" si="13">H28</f>
        <v>120</v>
      </c>
      <c r="V28" s="1351" t="s">
        <v>65</v>
      </c>
      <c r="W28" s="1352">
        <f t="shared" ref="W28:W46" si="14">J28</f>
        <v>120</v>
      </c>
      <c r="X28" s="1339"/>
      <c r="Y28" s="3658"/>
      <c r="Z28" s="1353" t="str">
        <f t="shared" ref="Z28:Z46" si="15">Q28</f>
        <v>楼层</v>
      </c>
      <c r="AA28" s="1354">
        <f t="shared" si="3"/>
        <v>0.83333333333333337</v>
      </c>
      <c r="AB28" s="1354">
        <f t="shared" si="4"/>
        <v>0.83333333333333337</v>
      </c>
      <c r="AC28" s="1354">
        <f t="shared" si="5"/>
        <v>0.83333333333333337</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56"/>
      <c r="Q29" s="1350">
        <f t="shared" si="11"/>
        <v>111</v>
      </c>
      <c r="R29" s="1351" t="s">
        <v>65</v>
      </c>
      <c r="S29" s="1352">
        <f t="shared" si="12"/>
        <v>100</v>
      </c>
      <c r="T29" s="1351" t="s">
        <v>65</v>
      </c>
      <c r="U29" s="1352">
        <f t="shared" si="13"/>
        <v>100</v>
      </c>
      <c r="V29" s="1351" t="s">
        <v>65</v>
      </c>
      <c r="W29" s="1352">
        <f t="shared" si="14"/>
        <v>100</v>
      </c>
      <c r="X29" s="1339"/>
      <c r="Y29" s="3658"/>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56"/>
      <c r="Q30" s="1350">
        <f t="shared" si="11"/>
        <v>111</v>
      </c>
      <c r="R30" s="1351" t="s">
        <v>65</v>
      </c>
      <c r="S30" s="1352">
        <f t="shared" si="12"/>
        <v>100</v>
      </c>
      <c r="T30" s="1351" t="s">
        <v>65</v>
      </c>
      <c r="U30" s="1352">
        <f t="shared" si="13"/>
        <v>100</v>
      </c>
      <c r="V30" s="1351" t="s">
        <v>65</v>
      </c>
      <c r="W30" s="1352">
        <f t="shared" si="14"/>
        <v>100</v>
      </c>
      <c r="X30" s="1339"/>
      <c r="Y30" s="3658"/>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56"/>
      <c r="Q31" s="1350">
        <f t="shared" si="11"/>
        <v>111</v>
      </c>
      <c r="R31" s="1351" t="s">
        <v>65</v>
      </c>
      <c r="S31" s="1352">
        <f t="shared" si="12"/>
        <v>100</v>
      </c>
      <c r="T31" s="1351" t="s">
        <v>65</v>
      </c>
      <c r="U31" s="1352">
        <f t="shared" si="13"/>
        <v>100</v>
      </c>
      <c r="V31" s="1351" t="s">
        <v>65</v>
      </c>
      <c r="W31" s="1352">
        <f t="shared" si="14"/>
        <v>100</v>
      </c>
      <c r="X31" s="1339"/>
      <c r="Y31" s="3658"/>
      <c r="Z31" s="1353">
        <f t="shared" si="15"/>
        <v>111</v>
      </c>
      <c r="AA31" s="1354">
        <f t="shared" si="3"/>
        <v>1</v>
      </c>
      <c r="AB31" s="1354">
        <f t="shared" si="4"/>
        <v>1</v>
      </c>
      <c r="AC31" s="1354">
        <f t="shared" si="5"/>
        <v>1</v>
      </c>
    </row>
    <row r="32" spans="1:29" ht="15">
      <c r="A32" s="155" t="s">
        <v>1025</v>
      </c>
      <c r="B32" s="62" t="s">
        <v>1026</v>
      </c>
      <c r="C32" s="110" t="s">
        <v>3601</v>
      </c>
      <c r="D32" s="809">
        <v>100</v>
      </c>
      <c r="E32" s="110" t="s">
        <v>3601</v>
      </c>
      <c r="F32" s="803">
        <f>SUMIF(100:100,E32,101:101)-SUMIF(100:100,C32,101:101)+100</f>
        <v>100</v>
      </c>
      <c r="G32" s="110" t="s">
        <v>3601</v>
      </c>
      <c r="H32" s="777">
        <f>SUMIF(100:100,G32,101:101)-SUMIF(100:100,C32,101:101)+100</f>
        <v>100</v>
      </c>
      <c r="I32" s="110" t="s">
        <v>3601</v>
      </c>
      <c r="J32" s="809">
        <f>SUMIF(100:100,I32,101:101)-SUMIF(100:100,C32,101:101)+100</f>
        <v>100</v>
      </c>
      <c r="K32" s="954">
        <f>'比较法-商业(售价)'!K32</f>
        <v>3</v>
      </c>
      <c r="L32" s="2298"/>
      <c r="M32" s="2293"/>
      <c r="N32" s="2293"/>
      <c r="O32" s="2293"/>
      <c r="P32" s="3659" t="s">
        <v>1027</v>
      </c>
      <c r="Q32" s="1350" t="str">
        <f t="shared" si="11"/>
        <v>商业类型</v>
      </c>
      <c r="R32" s="1351" t="s">
        <v>65</v>
      </c>
      <c r="S32" s="1352">
        <f t="shared" si="12"/>
        <v>100</v>
      </c>
      <c r="T32" s="1351" t="s">
        <v>65</v>
      </c>
      <c r="U32" s="1352">
        <f t="shared" si="13"/>
        <v>100</v>
      </c>
      <c r="V32" s="1351" t="s">
        <v>65</v>
      </c>
      <c r="W32" s="1352">
        <f t="shared" si="14"/>
        <v>100</v>
      </c>
      <c r="X32" s="1339"/>
      <c r="Y32" s="3662" t="s">
        <v>1027</v>
      </c>
      <c r="Z32" s="1353" t="str">
        <f t="shared" si="15"/>
        <v>商业类型</v>
      </c>
      <c r="AA32" s="1354">
        <f t="shared" si="3"/>
        <v>1</v>
      </c>
      <c r="AB32" s="1354">
        <f t="shared" si="4"/>
        <v>1</v>
      </c>
      <c r="AC32" s="1354">
        <f t="shared" si="5"/>
        <v>1</v>
      </c>
    </row>
    <row r="33" spans="1:29" s="1038" customFormat="1" ht="14.25">
      <c r="A33" s="1042"/>
      <c r="B33" s="12" t="s">
        <v>76</v>
      </c>
      <c r="C33" s="811">
        <f>面积!E108</f>
        <v>134.66</v>
      </c>
      <c r="D33" s="426">
        <v>100</v>
      </c>
      <c r="E33" s="772">
        <v>50</v>
      </c>
      <c r="F33" s="767">
        <f>LOOKUP(E33,103:103,104:104)-LOOKUP(C33,103:103,104:104)+100</f>
        <v>103</v>
      </c>
      <c r="G33" s="771">
        <v>60</v>
      </c>
      <c r="H33" s="426">
        <f>LOOKUP(G33,103:103,104:104)-LOOKUP(C33,103:103,104:104)+100</f>
        <v>103</v>
      </c>
      <c r="I33" s="771">
        <v>115</v>
      </c>
      <c r="J33" s="426">
        <f>LOOKUP(I33,103:103,104:104)-LOOKUP(C33,103:103,104:104)+100</f>
        <v>100</v>
      </c>
      <c r="K33" s="188"/>
      <c r="L33" s="2297"/>
      <c r="M33" s="2299"/>
      <c r="N33" s="2299"/>
      <c r="O33" s="2299"/>
      <c r="P33" s="3660"/>
      <c r="Q33" s="1358" t="str">
        <f t="shared" si="11"/>
        <v>项目建筑规模</v>
      </c>
      <c r="R33" s="1359" t="s">
        <v>65</v>
      </c>
      <c r="S33" s="1360">
        <f t="shared" si="12"/>
        <v>103</v>
      </c>
      <c r="T33" s="1359" t="s">
        <v>65</v>
      </c>
      <c r="U33" s="1360">
        <f t="shared" si="13"/>
        <v>103</v>
      </c>
      <c r="V33" s="1359" t="s">
        <v>65</v>
      </c>
      <c r="W33" s="1360">
        <f t="shared" si="14"/>
        <v>100</v>
      </c>
      <c r="X33" s="1361"/>
      <c r="Y33" s="3662"/>
      <c r="Z33" s="1362" t="str">
        <f t="shared" si="15"/>
        <v>项目建筑规模</v>
      </c>
      <c r="AA33" s="1354">
        <f t="shared" si="3"/>
        <v>0.970873786407767</v>
      </c>
      <c r="AB33" s="1354">
        <f t="shared" si="4"/>
        <v>0.970873786407767</v>
      </c>
      <c r="AC33" s="1354">
        <f t="shared" si="5"/>
        <v>1</v>
      </c>
    </row>
    <row r="34" spans="1:29" ht="15">
      <c r="A34" s="161"/>
      <c r="B34" s="12" t="s">
        <v>77</v>
      </c>
      <c r="C34" s="3395" t="s">
        <v>77</v>
      </c>
      <c r="D34" s="777">
        <v>100</v>
      </c>
      <c r="E34" s="113" t="s">
        <v>77</v>
      </c>
      <c r="F34" s="803">
        <f>SUMIF(105:105,E34,106:106)-SUMIF(105:105,C34,106:106)+100</f>
        <v>100</v>
      </c>
      <c r="G34" s="112" t="s">
        <v>77</v>
      </c>
      <c r="H34" s="777">
        <f>SUMIF(105:105,G34,106:106)-SUMIF(105:105,C34,106:106)+100</f>
        <v>100</v>
      </c>
      <c r="I34" s="112" t="s">
        <v>77</v>
      </c>
      <c r="J34" s="777">
        <f>SUMIF(105:105,I34,106:106)-SUMIF(105:105,C34,106:106)+100</f>
        <v>100</v>
      </c>
      <c r="K34" s="954">
        <f>'比较法-商业(售价)'!K34</f>
        <v>2</v>
      </c>
      <c r="L34" s="2298"/>
      <c r="M34" s="2293"/>
      <c r="N34" s="2293"/>
      <c r="O34" s="2293"/>
      <c r="P34" s="3660"/>
      <c r="Q34" s="1350" t="str">
        <f t="shared" si="11"/>
        <v>建筑结构</v>
      </c>
      <c r="R34" s="1351" t="s">
        <v>65</v>
      </c>
      <c r="S34" s="1352">
        <f t="shared" si="12"/>
        <v>100</v>
      </c>
      <c r="T34" s="1351" t="s">
        <v>65</v>
      </c>
      <c r="U34" s="1352">
        <f t="shared" si="13"/>
        <v>100</v>
      </c>
      <c r="V34" s="1351" t="s">
        <v>65</v>
      </c>
      <c r="W34" s="1352">
        <f t="shared" si="14"/>
        <v>100</v>
      </c>
      <c r="X34" s="1339"/>
      <c r="Y34" s="3662"/>
      <c r="Z34" s="1353" t="str">
        <f t="shared" si="15"/>
        <v>建筑结构</v>
      </c>
      <c r="AA34" s="1354">
        <f t="shared" si="3"/>
        <v>1</v>
      </c>
      <c r="AB34" s="1354">
        <f t="shared" si="4"/>
        <v>1</v>
      </c>
      <c r="AC34" s="1354">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f>'比较法-商业(售价)'!K35</f>
        <v>3</v>
      </c>
      <c r="L35" s="2298"/>
      <c r="M35" s="2293"/>
      <c r="N35" s="2293"/>
      <c r="O35" s="2293"/>
      <c r="P35" s="3660"/>
      <c r="Q35" s="1350" t="str">
        <f t="shared" si="11"/>
        <v>公共部分装修</v>
      </c>
      <c r="R35" s="1351" t="s">
        <v>65</v>
      </c>
      <c r="S35" s="1352">
        <f t="shared" si="12"/>
        <v>100</v>
      </c>
      <c r="T35" s="1351" t="s">
        <v>65</v>
      </c>
      <c r="U35" s="1352">
        <f t="shared" si="13"/>
        <v>100</v>
      </c>
      <c r="V35" s="1351" t="s">
        <v>65</v>
      </c>
      <c r="W35" s="1352">
        <f t="shared" si="14"/>
        <v>100</v>
      </c>
      <c r="X35" s="1339"/>
      <c r="Y35" s="3662"/>
      <c r="Z35" s="1353" t="str">
        <f t="shared" si="15"/>
        <v>公共部分装修</v>
      </c>
      <c r="AA35" s="1354">
        <f t="shared" si="3"/>
        <v>1</v>
      </c>
      <c r="AB35" s="1354">
        <f t="shared" si="4"/>
        <v>1</v>
      </c>
      <c r="AC35" s="1354">
        <f t="shared" si="5"/>
        <v>1</v>
      </c>
    </row>
    <row r="36" spans="1:29" ht="15">
      <c r="A36" s="161"/>
      <c r="B36" s="12" t="s">
        <v>1029</v>
      </c>
      <c r="C36" s="816">
        <v>0.97</v>
      </c>
      <c r="D36" s="777">
        <v>100</v>
      </c>
      <c r="E36" s="816">
        <v>0.97</v>
      </c>
      <c r="F36" s="803">
        <f>LOOKUP(E36,110:110,111:111)-LOOKUP(C36,110:110,111:111)+100</f>
        <v>100</v>
      </c>
      <c r="G36" s="816">
        <v>0.97</v>
      </c>
      <c r="H36" s="803">
        <f>LOOKUP(G36,110:110,111:111)-LOOKUP(C36,110:110,111:111)+100</f>
        <v>100</v>
      </c>
      <c r="I36" s="816">
        <v>0.97</v>
      </c>
      <c r="J36" s="777">
        <f>LOOKUP(I36,110:110,111:111)-LOOKUP(C36,110:110,111:111)+100</f>
        <v>100</v>
      </c>
      <c r="K36" s="954">
        <f>'比较法-商业(售价)'!K36</f>
        <v>2</v>
      </c>
      <c r="L36" s="2298"/>
      <c r="M36" s="2293"/>
      <c r="N36" s="2293"/>
      <c r="O36" s="2293"/>
      <c r="P36" s="3660"/>
      <c r="Q36" s="1350" t="str">
        <f t="shared" si="11"/>
        <v>成新度</v>
      </c>
      <c r="R36" s="1351" t="s">
        <v>65</v>
      </c>
      <c r="S36" s="1352">
        <f t="shared" si="12"/>
        <v>100</v>
      </c>
      <c r="T36" s="1351" t="s">
        <v>65</v>
      </c>
      <c r="U36" s="1352">
        <f t="shared" si="13"/>
        <v>100</v>
      </c>
      <c r="V36" s="1351" t="s">
        <v>65</v>
      </c>
      <c r="W36" s="1352">
        <f t="shared" si="14"/>
        <v>100</v>
      </c>
      <c r="X36" s="1339"/>
      <c r="Y36" s="3662"/>
      <c r="Z36" s="1353" t="str">
        <f t="shared" si="15"/>
        <v>成新度</v>
      </c>
      <c r="AA36" s="1354">
        <f t="shared" si="3"/>
        <v>1</v>
      </c>
      <c r="AB36" s="1354">
        <f t="shared" si="4"/>
        <v>1</v>
      </c>
      <c r="AC36" s="1354">
        <f t="shared" si="5"/>
        <v>1</v>
      </c>
    </row>
    <row r="37" spans="1:29" s="40" customFormat="1" ht="15">
      <c r="A37" s="1040"/>
      <c r="B37" s="12" t="s">
        <v>2661</v>
      </c>
      <c r="C37" s="109" t="s">
        <v>3612</v>
      </c>
      <c r="D37" s="426">
        <v>100</v>
      </c>
      <c r="E37" s="109" t="s">
        <v>3612</v>
      </c>
      <c r="F37" s="803">
        <f>SUMIF(112:112,E37,113:113)-SUMIF(112:112,C37,113:113)+100</f>
        <v>100</v>
      </c>
      <c r="G37" s="109" t="s">
        <v>3612</v>
      </c>
      <c r="H37" s="777">
        <f>SUMIF(112:112,G37,113:113)-SUMIF(112:112,C37,113:113)+100</f>
        <v>100</v>
      </c>
      <c r="I37" s="109" t="s">
        <v>3612</v>
      </c>
      <c r="J37" s="777">
        <f>SUMIF(112:112,I37,113:113)-SUMIF(112:112,C37,113:113)+100</f>
        <v>100</v>
      </c>
      <c r="K37" s="954">
        <f>'比较法-商业(售价)'!K37</f>
        <v>2</v>
      </c>
      <c r="L37" s="2294"/>
      <c r="M37" s="2256"/>
      <c r="N37" s="2256"/>
      <c r="O37" s="2256"/>
      <c r="P37" s="3660"/>
      <c r="Q37" s="7" t="str">
        <f t="shared" si="11"/>
        <v>市政基础设施</v>
      </c>
      <c r="R37" s="1341" t="s">
        <v>65</v>
      </c>
      <c r="S37" s="1342">
        <f t="shared" si="12"/>
        <v>100</v>
      </c>
      <c r="T37" s="1341" t="s">
        <v>65</v>
      </c>
      <c r="U37" s="1342">
        <f t="shared" si="13"/>
        <v>100</v>
      </c>
      <c r="V37" s="1341" t="s">
        <v>65</v>
      </c>
      <c r="W37" s="1342">
        <f t="shared" si="14"/>
        <v>100</v>
      </c>
      <c r="X37" s="287"/>
      <c r="Y37" s="3662"/>
      <c r="Z37" s="288" t="str">
        <f t="shared" si="15"/>
        <v>市政基础设施</v>
      </c>
      <c r="AA37" s="1343">
        <f t="shared" si="3"/>
        <v>1</v>
      </c>
      <c r="AB37" s="1343">
        <f t="shared" si="4"/>
        <v>1</v>
      </c>
      <c r="AC37" s="1343">
        <f t="shared" si="5"/>
        <v>1</v>
      </c>
    </row>
    <row r="38" spans="1:29" ht="15">
      <c r="A38" s="161"/>
      <c r="B38" s="12" t="s">
        <v>135</v>
      </c>
      <c r="C38" s="109" t="s">
        <v>3616</v>
      </c>
      <c r="D38" s="777">
        <v>100</v>
      </c>
      <c r="E38" s="109" t="s">
        <v>3616</v>
      </c>
      <c r="F38" s="803">
        <f>SUMIF(114:114,E38,115:115)-SUMIF(114:114,C38,115:115)+100</f>
        <v>100</v>
      </c>
      <c r="G38" s="109" t="s">
        <v>3616</v>
      </c>
      <c r="H38" s="777">
        <f>SUMIF(114:114,G38,115:115)-SUMIF(114:114,C38,115:115)+100</f>
        <v>100</v>
      </c>
      <c r="I38" s="109" t="s">
        <v>3616</v>
      </c>
      <c r="J38" s="777">
        <f>SUMIF(114:114,I38,115:115)-SUMIF(114:114,C38,115:115)+100</f>
        <v>100</v>
      </c>
      <c r="K38" s="954">
        <f>'比较法-商业(售价)'!K38</f>
        <v>3</v>
      </c>
      <c r="L38" s="2298"/>
      <c r="M38" s="2293"/>
      <c r="N38" s="2293"/>
      <c r="O38" s="2293"/>
      <c r="P38" s="3660" t="s">
        <v>1030</v>
      </c>
      <c r="Q38" s="1350" t="str">
        <f t="shared" si="11"/>
        <v>业态</v>
      </c>
      <c r="R38" s="1351" t="s">
        <v>65</v>
      </c>
      <c r="S38" s="1352">
        <f t="shared" si="12"/>
        <v>100</v>
      </c>
      <c r="T38" s="1351" t="s">
        <v>65</v>
      </c>
      <c r="U38" s="1352">
        <f t="shared" si="13"/>
        <v>100</v>
      </c>
      <c r="V38" s="1351" t="s">
        <v>65</v>
      </c>
      <c r="W38" s="1352">
        <f t="shared" si="14"/>
        <v>100</v>
      </c>
      <c r="X38" s="1339"/>
      <c r="Y38" s="3662" t="s">
        <v>1030</v>
      </c>
      <c r="Z38" s="1353" t="str">
        <f t="shared" si="15"/>
        <v>业态</v>
      </c>
      <c r="AA38" s="1354">
        <f t="shared" si="3"/>
        <v>1</v>
      </c>
      <c r="AB38" s="1354">
        <f t="shared" si="4"/>
        <v>1</v>
      </c>
      <c r="AC38" s="1354">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f>'比较法-商业(售价)'!K39</f>
        <v>3</v>
      </c>
      <c r="L39" s="2298"/>
      <c r="M39" s="2293"/>
      <c r="N39" s="2293"/>
      <c r="O39" s="2293"/>
      <c r="P39" s="3660"/>
      <c r="Q39" s="1350" t="str">
        <f t="shared" si="11"/>
        <v>层高</v>
      </c>
      <c r="R39" s="1351" t="s">
        <v>65</v>
      </c>
      <c r="S39" s="1352">
        <f t="shared" si="12"/>
        <v>100</v>
      </c>
      <c r="T39" s="1351" t="s">
        <v>65</v>
      </c>
      <c r="U39" s="1352">
        <f t="shared" si="13"/>
        <v>100</v>
      </c>
      <c r="V39" s="1351" t="s">
        <v>65</v>
      </c>
      <c r="W39" s="1352">
        <f t="shared" si="14"/>
        <v>100</v>
      </c>
      <c r="X39" s="1339"/>
      <c r="Y39" s="3662"/>
      <c r="Z39" s="1353" t="str">
        <f t="shared" si="15"/>
        <v>层高</v>
      </c>
      <c r="AA39" s="1354">
        <f t="shared" si="3"/>
        <v>1</v>
      </c>
      <c r="AB39" s="1354">
        <f t="shared" si="4"/>
        <v>1</v>
      </c>
      <c r="AC39" s="1354">
        <f t="shared" si="5"/>
        <v>1</v>
      </c>
    </row>
    <row r="40" spans="1:29" ht="14.25">
      <c r="A40" s="161"/>
      <c r="B40" s="12" t="s">
        <v>1032</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8"/>
      <c r="M40" s="2293"/>
      <c r="N40" s="2293"/>
      <c r="O40" s="2293"/>
      <c r="P40" s="3660"/>
      <c r="Q40" s="1350" t="str">
        <f t="shared" si="11"/>
        <v>单套建筑面积</v>
      </c>
      <c r="R40" s="1351" t="s">
        <v>65</v>
      </c>
      <c r="S40" s="1352">
        <f t="shared" si="12"/>
        <v>100</v>
      </c>
      <c r="T40" s="1351" t="s">
        <v>65</v>
      </c>
      <c r="U40" s="1352">
        <f t="shared" si="13"/>
        <v>100</v>
      </c>
      <c r="V40" s="1351" t="s">
        <v>65</v>
      </c>
      <c r="W40" s="1352">
        <f t="shared" si="14"/>
        <v>100</v>
      </c>
      <c r="X40" s="1339"/>
      <c r="Y40" s="3662"/>
      <c r="Z40" s="1353" t="str">
        <f t="shared" si="15"/>
        <v>单套建筑面积</v>
      </c>
      <c r="AA40" s="1354">
        <f t="shared" si="3"/>
        <v>1</v>
      </c>
      <c r="AB40" s="1354">
        <f t="shared" si="4"/>
        <v>1</v>
      </c>
      <c r="AC40" s="1354">
        <f t="shared" si="5"/>
        <v>1</v>
      </c>
    </row>
    <row r="41" spans="1:29" s="1038" customFormat="1" ht="15">
      <c r="A41" s="1042"/>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7"/>
      <c r="M41" s="2299"/>
      <c r="N41" s="2299"/>
      <c r="O41" s="2299"/>
      <c r="P41" s="3660"/>
      <c r="Q41" s="1358" t="str">
        <f t="shared" si="11"/>
        <v>进深比</v>
      </c>
      <c r="R41" s="1359" t="s">
        <v>65</v>
      </c>
      <c r="S41" s="1360">
        <f t="shared" si="12"/>
        <v>100</v>
      </c>
      <c r="T41" s="1359" t="s">
        <v>65</v>
      </c>
      <c r="U41" s="1360">
        <f t="shared" si="13"/>
        <v>100</v>
      </c>
      <c r="V41" s="1359" t="s">
        <v>65</v>
      </c>
      <c r="W41" s="1360">
        <f t="shared" si="14"/>
        <v>100</v>
      </c>
      <c r="X41" s="1361"/>
      <c r="Y41" s="3662"/>
      <c r="Z41" s="1362" t="str">
        <f t="shared" si="15"/>
        <v>进深比</v>
      </c>
      <c r="AA41" s="1354">
        <f t="shared" si="3"/>
        <v>1</v>
      </c>
      <c r="AB41" s="1354">
        <f t="shared" si="4"/>
        <v>1</v>
      </c>
      <c r="AC41" s="1354">
        <f t="shared" si="5"/>
        <v>1</v>
      </c>
    </row>
    <row r="42" spans="1:29" ht="15">
      <c r="A42" s="161"/>
      <c r="B42" s="12" t="s">
        <v>1034</v>
      </c>
      <c r="C42" s="109" t="s">
        <v>3607</v>
      </c>
      <c r="D42" s="777">
        <v>100</v>
      </c>
      <c r="E42" s="109" t="s">
        <v>3607</v>
      </c>
      <c r="F42" s="803">
        <f>SUMIF(122:122,E42,123:123)-SUMIF(122:122,C42,123:123)+100</f>
        <v>100</v>
      </c>
      <c r="G42" s="109" t="s">
        <v>3607</v>
      </c>
      <c r="H42" s="777">
        <f>SUMIF(122:122,G42,123:123)-SUMIF(122:122,C42,123:123)+100</f>
        <v>100</v>
      </c>
      <c r="I42" s="109" t="s">
        <v>3607</v>
      </c>
      <c r="J42" s="777">
        <f>SUMIF(122:122,I42,123:123)-SUMIF(122:122,C42,123:123)+100</f>
        <v>100</v>
      </c>
      <c r="K42" s="954">
        <f>'比较法-商业(售价)'!K42</f>
        <v>3</v>
      </c>
      <c r="L42" s="2298"/>
      <c r="M42" s="2293"/>
      <c r="N42" s="2293"/>
      <c r="O42" s="2293"/>
      <c r="P42" s="3660"/>
      <c r="Q42" s="1350" t="str">
        <f t="shared" si="11"/>
        <v>内部装修</v>
      </c>
      <c r="R42" s="1351" t="s">
        <v>65</v>
      </c>
      <c r="S42" s="1352">
        <f t="shared" si="12"/>
        <v>100</v>
      </c>
      <c r="T42" s="1351" t="s">
        <v>65</v>
      </c>
      <c r="U42" s="1352">
        <f t="shared" si="13"/>
        <v>100</v>
      </c>
      <c r="V42" s="1351" t="s">
        <v>65</v>
      </c>
      <c r="W42" s="1352">
        <f t="shared" si="14"/>
        <v>100</v>
      </c>
      <c r="X42" s="1339"/>
      <c r="Y42" s="3662"/>
      <c r="Z42" s="1353" t="str">
        <f t="shared" si="15"/>
        <v>内部装修</v>
      </c>
      <c r="AA42" s="1354">
        <f t="shared" si="3"/>
        <v>1</v>
      </c>
      <c r="AB42" s="1354">
        <f t="shared" si="4"/>
        <v>1</v>
      </c>
      <c r="AC42" s="1354">
        <f t="shared" si="5"/>
        <v>1</v>
      </c>
    </row>
    <row r="43" spans="1:29" ht="27">
      <c r="A43" s="161"/>
      <c r="B43" s="12" t="s">
        <v>84</v>
      </c>
      <c r="C43" s="109" t="s">
        <v>3585</v>
      </c>
      <c r="D43" s="777">
        <v>100</v>
      </c>
      <c r="E43" s="109" t="s">
        <v>3585</v>
      </c>
      <c r="F43" s="803">
        <f>SUMIF(124:124,E43,125:125)-SUMIF(124:124,C43,125:125)+100</f>
        <v>100</v>
      </c>
      <c r="G43" s="109" t="s">
        <v>3585</v>
      </c>
      <c r="H43" s="777">
        <f>SUMIF(124:124,G43,125:125)-SUMIF(124:124,C43,125:125)+100</f>
        <v>100</v>
      </c>
      <c r="I43" s="109" t="s">
        <v>3585</v>
      </c>
      <c r="J43" s="777">
        <f>SUMIF(124:124,I43,125:125)-SUMIF(124:124,C43,125:125)+100</f>
        <v>100</v>
      </c>
      <c r="K43" s="954">
        <f>'比较法-商业(售价)'!K43</f>
        <v>2</v>
      </c>
      <c r="L43" s="2298"/>
      <c r="M43" s="2293"/>
      <c r="N43" s="2293"/>
      <c r="O43" s="2293"/>
      <c r="P43" s="3660"/>
      <c r="Q43" s="1350" t="str">
        <f t="shared" si="11"/>
        <v>内部装修维护情况</v>
      </c>
      <c r="R43" s="1351" t="s">
        <v>65</v>
      </c>
      <c r="S43" s="1352">
        <f t="shared" si="12"/>
        <v>100</v>
      </c>
      <c r="T43" s="1351" t="s">
        <v>65</v>
      </c>
      <c r="U43" s="1352">
        <f t="shared" si="13"/>
        <v>100</v>
      </c>
      <c r="V43" s="1351" t="s">
        <v>65</v>
      </c>
      <c r="W43" s="1352">
        <f t="shared" si="14"/>
        <v>100</v>
      </c>
      <c r="X43" s="1339"/>
      <c r="Y43" s="3662"/>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60"/>
      <c r="Q44" s="7">
        <f t="shared" si="11"/>
        <v>111</v>
      </c>
      <c r="R44" s="1341" t="s">
        <v>65</v>
      </c>
      <c r="S44" s="1342">
        <f t="shared" si="12"/>
        <v>100</v>
      </c>
      <c r="T44" s="1341" t="s">
        <v>65</v>
      </c>
      <c r="U44" s="1342">
        <f t="shared" si="13"/>
        <v>100</v>
      </c>
      <c r="V44" s="1341" t="s">
        <v>65</v>
      </c>
      <c r="W44" s="1342">
        <f t="shared" si="14"/>
        <v>100</v>
      </c>
      <c r="X44" s="287"/>
      <c r="Y44" s="3662"/>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60"/>
      <c r="Q45" s="1350">
        <f t="shared" si="11"/>
        <v>111</v>
      </c>
      <c r="R45" s="1351" t="s">
        <v>65</v>
      </c>
      <c r="S45" s="1352">
        <f t="shared" si="12"/>
        <v>100</v>
      </c>
      <c r="T45" s="1351" t="s">
        <v>65</v>
      </c>
      <c r="U45" s="1352">
        <f t="shared" si="13"/>
        <v>100</v>
      </c>
      <c r="V45" s="1351" t="s">
        <v>65</v>
      </c>
      <c r="W45" s="1352">
        <f t="shared" si="14"/>
        <v>100</v>
      </c>
      <c r="X45" s="1339"/>
      <c r="Y45" s="3662"/>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61"/>
      <c r="Q46" s="1350">
        <f t="shared" si="11"/>
        <v>111</v>
      </c>
      <c r="R46" s="1351" t="s">
        <v>65</v>
      </c>
      <c r="S46" s="1352">
        <f t="shared" si="12"/>
        <v>100</v>
      </c>
      <c r="T46" s="1351" t="s">
        <v>65</v>
      </c>
      <c r="U46" s="1352">
        <f t="shared" si="13"/>
        <v>100</v>
      </c>
      <c r="V46" s="1351" t="s">
        <v>65</v>
      </c>
      <c r="W46" s="1352">
        <f t="shared" si="14"/>
        <v>100</v>
      </c>
      <c r="X46" s="1339"/>
      <c r="Y46" s="3663"/>
      <c r="Z46" s="1353">
        <f t="shared" si="15"/>
        <v>111</v>
      </c>
      <c r="AA46" s="1354">
        <f t="shared" si="3"/>
        <v>1</v>
      </c>
      <c r="AB46" s="1354">
        <f t="shared" si="4"/>
        <v>1</v>
      </c>
      <c r="AC46" s="1354">
        <f t="shared" si="5"/>
        <v>1</v>
      </c>
    </row>
    <row r="47" spans="1:29" ht="15">
      <c r="A47" s="163" t="s">
        <v>1035</v>
      </c>
      <c r="B47" s="164"/>
      <c r="C47" s="2833" t="s">
        <v>23</v>
      </c>
      <c r="D47" s="2834"/>
      <c r="E47" s="2835">
        <f>租金案例!P13</f>
        <v>6.5</v>
      </c>
      <c r="F47" s="2836"/>
      <c r="G47" s="2837">
        <v>7.2</v>
      </c>
      <c r="H47" s="2838"/>
      <c r="I47" s="2835">
        <f>租金案例!P15</f>
        <v>6.4</v>
      </c>
      <c r="J47" s="2838"/>
      <c r="K47" s="1392"/>
      <c r="L47" s="2300"/>
      <c r="M47" s="2301"/>
      <c r="N47" s="2293"/>
      <c r="O47" s="2301"/>
      <c r="P47" s="3650" t="str">
        <f>A47</f>
        <v>成交单价（元/平方米）</v>
      </c>
      <c r="Q47" s="3650"/>
      <c r="R47" s="3664">
        <f>E47</f>
        <v>6.5</v>
      </c>
      <c r="S47" s="3664"/>
      <c r="T47" s="3664">
        <f>G47</f>
        <v>7.2</v>
      </c>
      <c r="U47" s="3664"/>
      <c r="V47" s="3664">
        <f>I47</f>
        <v>6.4</v>
      </c>
      <c r="W47" s="3664"/>
      <c r="X47" s="1364"/>
      <c r="Y47" s="1365"/>
      <c r="Z47" s="1364"/>
      <c r="AA47" s="1364"/>
      <c r="AB47" s="1364"/>
      <c r="AC47" s="1364"/>
    </row>
    <row r="48" spans="1:29" ht="15.75" thickBot="1">
      <c r="A48" s="165" t="s">
        <v>1036</v>
      </c>
      <c r="B48" s="166"/>
      <c r="C48" s="2839">
        <f>R49</f>
        <v>6</v>
      </c>
      <c r="D48" s="2840"/>
      <c r="E48" s="2841">
        <f>R48</f>
        <v>5.9</v>
      </c>
      <c r="F48" s="2841"/>
      <c r="G48" s="2839">
        <f>T48</f>
        <v>6.5</v>
      </c>
      <c r="H48" s="2840"/>
      <c r="I48" s="2841">
        <f>V48</f>
        <v>5.7</v>
      </c>
      <c r="J48" s="2840"/>
      <c r="K48" s="1393"/>
      <c r="L48" s="2300"/>
      <c r="M48" s="2301"/>
      <c r="N48" s="2293"/>
      <c r="O48" s="2301"/>
      <c r="P48" s="3650" t="str">
        <f>A48</f>
        <v>比较价值（元/平方米）</v>
      </c>
      <c r="Q48" s="3650"/>
      <c r="R48" s="3651">
        <f>IF(F1="售价",ROUND(PRODUCT(R47,AA7:AA46),0),ROUND(PRODUCT(R47,AA7:AA46),1))</f>
        <v>5.9</v>
      </c>
      <c r="S48" s="3651"/>
      <c r="T48" s="3651">
        <f>IF(F1="售价",ROUND(PRODUCT(T47,AB7:AB46),0),ROUND(PRODUCT(T47,AB7:AB46),1))</f>
        <v>6.5</v>
      </c>
      <c r="U48" s="3651"/>
      <c r="V48" s="3651">
        <f>IF(F1="售价",ROUND(PRODUCT(V47,AC7:AC46),0),ROUND(PRODUCT(V47,AC7:AC46),1))</f>
        <v>5.7</v>
      </c>
      <c r="W48" s="3651"/>
      <c r="X48" s="1364"/>
      <c r="Y48" s="1364"/>
      <c r="Z48" s="1364"/>
      <c r="AA48" s="1364"/>
      <c r="AB48" s="1364"/>
      <c r="AC48" s="1364"/>
    </row>
    <row r="49" spans="1:29" ht="15.75" thickBot="1">
      <c r="A49" s="115" t="s">
        <v>3025</v>
      </c>
      <c r="B49" s="116"/>
      <c r="C49" s="2843">
        <f>R49</f>
        <v>6</v>
      </c>
      <c r="D49" s="2843"/>
      <c r="E49" s="2843"/>
      <c r="F49" s="2843"/>
      <c r="G49" s="2843"/>
      <c r="H49" s="2843"/>
      <c r="I49" s="2843"/>
      <c r="J49" s="2843"/>
      <c r="K49" s="1394"/>
      <c r="L49" s="2300"/>
      <c r="M49" s="2301"/>
      <c r="N49" s="2293"/>
      <c r="O49" s="2301"/>
      <c r="P49" s="3652" t="str">
        <f>A49</f>
        <v>估价对象XX用房的比较价值（楼面单价，元/平方米）</v>
      </c>
      <c r="Q49" s="3653"/>
      <c r="R49" s="3654">
        <f>IF(F1="售价",ROUND(AVERAGE(R48:V48),0),ROUND(AVERAGE(R48:V48),1))</f>
        <v>6</v>
      </c>
      <c r="S49" s="3654"/>
      <c r="T49" s="3654"/>
      <c r="U49" s="3654"/>
      <c r="V49" s="3654"/>
      <c r="W49" s="3654"/>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4"/>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4"/>
      <c r="Q51" s="1364"/>
      <c r="R51" s="1364"/>
      <c r="S51" s="1364"/>
      <c r="T51" s="1364"/>
      <c r="U51" s="1364"/>
      <c r="V51" s="1364"/>
      <c r="W51" s="1364"/>
      <c r="X51" s="1364"/>
      <c r="Y51" s="1364"/>
      <c r="Z51" s="1364"/>
      <c r="AA51" s="1364"/>
      <c r="AB51" s="1364"/>
      <c r="AC51" s="1364"/>
    </row>
    <row r="52" spans="1:29" ht="13.5" customHeight="1">
      <c r="A52" s="2301"/>
      <c r="B52" s="2301"/>
      <c r="C52" s="839" t="s">
        <v>1005</v>
      </c>
      <c r="D52" s="840"/>
      <c r="E52" s="841">
        <f>IF(E47&lt;E48,E48/E47-1,E47/E48-1)</f>
        <v>0.10169491525423724</v>
      </c>
      <c r="F52" s="842" t="str">
        <f>IF(OR(E52&gt;=0.3,E52&lt;=-0.3),"超过30%","")</f>
        <v/>
      </c>
      <c r="G52" s="841">
        <f>IF(G47&lt;G48,G48/G47-1,G47/G48-1)</f>
        <v>0.10769230769230775</v>
      </c>
      <c r="H52" s="842" t="str">
        <f>IF(OR(G52&gt;=0.3,G52&lt;=-0.3),"超过30%","")</f>
        <v/>
      </c>
      <c r="I52" s="841">
        <f>IF(I47&lt;I48,I48/I47-1,I47/I48-1)</f>
        <v>0.12280701754385959</v>
      </c>
      <c r="J52" s="842" t="str">
        <f>IF(OR(I52&gt;=0.3,I52&lt;=-0.3),"超过30%","")</f>
        <v/>
      </c>
      <c r="K52" s="2302"/>
      <c r="L52" s="2303"/>
      <c r="M52" s="2301"/>
      <c r="N52" s="2301"/>
      <c r="O52" s="2301"/>
      <c r="P52" s="214"/>
      <c r="Q52" s="1364"/>
      <c r="R52" s="1364"/>
      <c r="S52" s="1364"/>
      <c r="T52" s="1364"/>
      <c r="U52" s="1364"/>
      <c r="V52" s="1364"/>
      <c r="W52" s="1364"/>
      <c r="X52" s="1364"/>
      <c r="Y52" s="1364"/>
      <c r="Z52" s="1364"/>
      <c r="AA52" s="1364"/>
      <c r="AB52" s="1364"/>
      <c r="AC52" s="1364"/>
    </row>
    <row r="53" spans="1:29" ht="13.5" customHeight="1">
      <c r="A53" s="2301"/>
      <c r="B53" s="2301"/>
      <c r="C53" s="839" t="s">
        <v>1006</v>
      </c>
      <c r="D53" s="843"/>
      <c r="E53" s="841">
        <f>IF(E48&lt;G48,G48/E48-1,E48/G48-1)</f>
        <v>0.10169491525423724</v>
      </c>
      <c r="F53" s="842" t="str">
        <f>IF(OR(E53&gt;=0.2,E53&lt;=-0.2),"超过20%","")</f>
        <v/>
      </c>
      <c r="G53" s="841">
        <f>IF(G48&lt;I48,I48/G48-1,G48/I48-1)</f>
        <v>0.14035087719298245</v>
      </c>
      <c r="H53" s="842" t="str">
        <f>IF(OR(G53&gt;=0.2,G53&lt;=-0.2),"超过20%","")</f>
        <v/>
      </c>
      <c r="I53" s="841">
        <f>IF(I48&lt;E48,E48/I48-1,I48/E48-1)</f>
        <v>3.5087719298245723E-2</v>
      </c>
      <c r="J53" s="842" t="str">
        <f>IF(OR(I53&gt;=0.2,I53&lt;=-0.2),"超过20%","")</f>
        <v/>
      </c>
      <c r="K53" s="2302"/>
      <c r="L53" s="2303"/>
      <c r="M53" s="2301"/>
      <c r="N53" s="2301"/>
      <c r="O53" s="2301"/>
      <c r="P53" s="214"/>
      <c r="Q53" s="1364"/>
      <c r="R53" s="1364"/>
      <c r="S53" s="1364"/>
      <c r="T53" s="1364"/>
      <c r="U53" s="1364"/>
      <c r="V53" s="1364"/>
      <c r="W53" s="1364"/>
      <c r="X53" s="1364"/>
      <c r="Y53" s="1364"/>
      <c r="Z53" s="1364"/>
      <c r="AA53" s="1364"/>
      <c r="AB53" s="1364"/>
      <c r="AC53" s="1364"/>
    </row>
    <row r="54" spans="1:29" s="119" customFormat="1" ht="13.5" customHeight="1">
      <c r="A54" s="2306"/>
      <c r="B54" s="2306"/>
      <c r="C54" s="839" t="s">
        <v>1007</v>
      </c>
      <c r="D54" s="843"/>
      <c r="E54" s="841">
        <f>IF(E47&lt;G47,G47/E47-1,E47/G47-1)</f>
        <v>0.10769230769230775</v>
      </c>
      <c r="F54" s="842" t="str">
        <f>IF(OR(E54&gt;=0.3,E54&lt;=-0.3),"超过30%","")</f>
        <v/>
      </c>
      <c r="G54" s="841">
        <f>IF(G47&lt;I47,I47/G47-1,G47/I47-1)</f>
        <v>0.125</v>
      </c>
      <c r="H54" s="842" t="str">
        <f>IF(OR(G54&gt;=0.3,G54&lt;=-0.3),"超过30%","")</f>
        <v/>
      </c>
      <c r="I54" s="841">
        <f>IF(I47&lt;E47,E47/I47-1,I47/E47-1)</f>
        <v>1.5625E-2</v>
      </c>
      <c r="J54" s="842" t="str">
        <f>IF(OR(I54&gt;=0.3,I54&lt;=-0.3),"超过30%","")</f>
        <v/>
      </c>
      <c r="K54" s="2304"/>
      <c r="L54" s="2305"/>
      <c r="M54" s="2306"/>
      <c r="N54" s="2306"/>
      <c r="O54" s="2306"/>
      <c r="P54" s="1395"/>
      <c r="Q54" s="1369"/>
      <c r="R54" s="1369"/>
      <c r="S54" s="1369"/>
      <c r="T54" s="1369"/>
      <c r="U54" s="1369"/>
      <c r="V54" s="1369"/>
      <c r="W54" s="1369"/>
      <c r="X54" s="1369"/>
      <c r="Y54" s="1369"/>
      <c r="Z54" s="1369"/>
      <c r="AA54" s="1369"/>
      <c r="AB54" s="1369"/>
      <c r="AC54" s="1369"/>
    </row>
    <row r="55" spans="1:29" s="119"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4"/>
      <c r="Q56" s="1364"/>
      <c r="R56" s="1364"/>
      <c r="S56" s="1364"/>
      <c r="T56" s="1364"/>
      <c r="U56" s="1364"/>
      <c r="V56" s="1364"/>
      <c r="W56" s="1364"/>
      <c r="X56" s="1364"/>
      <c r="Y56" s="1364"/>
      <c r="Z56" s="1364"/>
      <c r="AA56" s="1364"/>
      <c r="AB56" s="1364"/>
      <c r="AC56" s="1364"/>
    </row>
    <row r="57" spans="1:29" ht="21" thickBot="1">
      <c r="A57" s="1371" t="s">
        <v>1037</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2799</v>
      </c>
      <c r="B58" s="848"/>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4"/>
      <c r="B59" s="1045"/>
      <c r="C59" s="3040">
        <v>100</v>
      </c>
      <c r="D59" s="854"/>
      <c r="E59" s="854"/>
      <c r="F59" s="854"/>
      <c r="G59" s="854"/>
      <c r="H59" s="854"/>
      <c r="I59" s="854"/>
      <c r="J59" s="854"/>
      <c r="K59" s="854"/>
      <c r="L59" s="854"/>
      <c r="M59" s="855"/>
      <c r="N59" s="854"/>
      <c r="O59" s="855"/>
      <c r="P59" s="1376"/>
    </row>
    <row r="60" spans="1:29" s="40" customFormat="1" ht="15" thickBot="1">
      <c r="A60" s="1046" t="s">
        <v>1038</v>
      </c>
      <c r="B60" s="1047"/>
      <c r="C60" s="859"/>
      <c r="D60" s="860"/>
      <c r="E60" s="860"/>
      <c r="F60" s="860"/>
      <c r="G60" s="860"/>
      <c r="H60" s="860"/>
      <c r="I60" s="860"/>
      <c r="J60" s="860"/>
      <c r="K60" s="860"/>
      <c r="L60" s="860"/>
      <c r="M60" s="861"/>
      <c r="N60" s="860"/>
      <c r="O60" s="861"/>
      <c r="P60" s="1376"/>
      <c r="Q60" s="121"/>
    </row>
    <row r="61" spans="1:29" s="40" customFormat="1">
      <c r="A61" s="1048" t="s">
        <v>1039</v>
      </c>
      <c r="B61" s="1045"/>
      <c r="C61" s="1049" t="s">
        <v>1040</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1041</v>
      </c>
      <c r="B63" s="286" t="s">
        <v>1042</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1043</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t="s">
        <v>138</v>
      </c>
      <c r="D66" s="886" t="s">
        <v>139</v>
      </c>
      <c r="E66" s="886" t="s">
        <v>140</v>
      </c>
      <c r="F66" s="886">
        <v>100</v>
      </c>
      <c r="G66" s="886">
        <f>F66-$K10</f>
        <v>98</v>
      </c>
      <c r="H66" s="886">
        <f>G66-$K10</f>
        <v>96</v>
      </c>
      <c r="I66" s="886">
        <f>H66-$K10</f>
        <v>94</v>
      </c>
      <c r="J66" s="886"/>
      <c r="K66" s="886"/>
      <c r="L66" s="886"/>
      <c r="M66" s="887"/>
      <c r="N66" s="1389"/>
      <c r="O66" s="1389"/>
      <c r="P66" s="1378"/>
      <c r="Q66" s="121"/>
    </row>
    <row r="67" spans="1:17" ht="15" thickTop="1">
      <c r="A67" s="173"/>
      <c r="B67" s="1055" t="s">
        <v>1044</v>
      </c>
      <c r="C67" s="889" t="str">
        <f>C68&amp;"（含）"&amp;"-"&amp;D68</f>
        <v>0（含）-3</v>
      </c>
      <c r="D67" s="889" t="str">
        <f t="shared" ref="D67:L67" si="17">D68&amp;"（含）"&amp;"-"&amp;E68</f>
        <v>3（含）-6</v>
      </c>
      <c r="E67" s="889" t="str">
        <f t="shared" si="17"/>
        <v>6（含）-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3</v>
      </c>
      <c r="E68" s="891">
        <v>6</v>
      </c>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1045</v>
      </c>
      <c r="B76" s="286" t="s">
        <v>1046</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9"/>
      <c r="O77" s="1389"/>
      <c r="P77" s="1378"/>
      <c r="Q77" s="121"/>
    </row>
    <row r="78" spans="1:17" ht="15" thickTop="1">
      <c r="A78" s="173"/>
      <c r="B78" s="1053" t="s">
        <v>1052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2643</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2662</v>
      </c>
      <c r="C82" s="213" t="s">
        <v>2663</v>
      </c>
      <c r="D82" s="213" t="s">
        <v>2664</v>
      </c>
      <c r="E82" s="213" t="s">
        <v>2665</v>
      </c>
      <c r="F82" s="213" t="s">
        <v>2666</v>
      </c>
      <c r="G82" s="213" t="s">
        <v>2667</v>
      </c>
      <c r="H82" s="881"/>
      <c r="I82" s="881"/>
      <c r="J82" s="881"/>
      <c r="K82" s="881"/>
      <c r="L82" s="881"/>
      <c r="M82" s="2762"/>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1053</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1054</v>
      </c>
      <c r="C86" s="139" t="s">
        <v>3594</v>
      </c>
      <c r="D86" s="139" t="s">
        <v>3598</v>
      </c>
      <c r="E86" s="139" t="s">
        <v>3596</v>
      </c>
      <c r="F86" s="139" t="s">
        <v>3599</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99</v>
      </c>
      <c r="E87" s="886">
        <f t="shared" si="20"/>
        <v>98</v>
      </c>
      <c r="F87" s="886">
        <f t="shared" si="20"/>
        <v>97</v>
      </c>
      <c r="G87" s="886">
        <f t="shared" si="20"/>
        <v>96</v>
      </c>
      <c r="H87" s="886">
        <f t="shared" si="20"/>
        <v>95</v>
      </c>
      <c r="I87" s="886">
        <f t="shared" si="20"/>
        <v>94</v>
      </c>
      <c r="J87" s="886">
        <f t="shared" si="20"/>
        <v>93</v>
      </c>
      <c r="K87" s="886">
        <f t="shared" si="20"/>
        <v>92</v>
      </c>
      <c r="L87" s="886">
        <f t="shared" si="20"/>
        <v>91</v>
      </c>
      <c r="M87" s="886">
        <f t="shared" si="20"/>
        <v>90</v>
      </c>
      <c r="N87" s="1389"/>
      <c r="O87" s="1389"/>
      <c r="P87" s="1378"/>
      <c r="Q87" s="121"/>
    </row>
    <row r="88" spans="1:17" s="40" customFormat="1" ht="14.25" thickTop="1">
      <c r="A88" s="1071"/>
      <c r="B88" s="1053" t="str">
        <f>B26</f>
        <v>平面位置/可视性</v>
      </c>
      <c r="C88" s="139" t="s">
        <v>3584</v>
      </c>
      <c r="D88" s="139" t="s">
        <v>3586</v>
      </c>
      <c r="E88" s="139" t="s">
        <v>3589</v>
      </c>
      <c r="F88" s="1385" t="s">
        <v>3587</v>
      </c>
      <c r="G88" s="139" t="s">
        <v>3588</v>
      </c>
      <c r="H88" s="139"/>
      <c r="I88" s="139"/>
      <c r="J88" s="139"/>
      <c r="K88" s="139"/>
      <c r="L88" s="139"/>
      <c r="M88" s="1384"/>
      <c r="N88" s="1387"/>
      <c r="O88" s="1387"/>
      <c r="P88" s="1378"/>
      <c r="Q88" s="121"/>
    </row>
    <row r="89" spans="1:17" s="40" customFormat="1" ht="15" thickBot="1">
      <c r="A89" s="1071"/>
      <c r="B89" s="1054"/>
      <c r="C89" s="902">
        <v>100</v>
      </c>
      <c r="D89" s="878">
        <v>95</v>
      </c>
      <c r="E89" s="878">
        <v>90</v>
      </c>
      <c r="F89" s="878">
        <v>85</v>
      </c>
      <c r="G89" s="878">
        <v>80</v>
      </c>
      <c r="H89" s="878"/>
      <c r="I89" s="878"/>
      <c r="J89" s="878"/>
      <c r="K89" s="878"/>
      <c r="L89" s="878"/>
      <c r="M89" s="878"/>
      <c r="N89" s="1389"/>
      <c r="O89" s="1389"/>
      <c r="P89" s="1378"/>
      <c r="Q89" s="121"/>
    </row>
    <row r="90" spans="1:17" s="1038" customFormat="1" ht="14.25" thickTop="1">
      <c r="A90" s="1057"/>
      <c r="B90" s="1053" t="str">
        <f>B27</f>
        <v>人流量</v>
      </c>
      <c r="C90" s="139" t="s">
        <v>3590</v>
      </c>
      <c r="D90" s="139" t="s">
        <v>3591</v>
      </c>
      <c r="E90" s="139" t="s">
        <v>3589</v>
      </c>
      <c r="F90" s="139" t="s">
        <v>3592</v>
      </c>
      <c r="G90" s="139" t="s">
        <v>3593</v>
      </c>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2465">
        <v>1</v>
      </c>
      <c r="D92" s="2466" t="s">
        <v>3644</v>
      </c>
      <c r="E92" s="2466">
        <v>2</v>
      </c>
      <c r="F92" s="2466">
        <v>-1</v>
      </c>
      <c r="G92" s="2466" t="s">
        <v>3645</v>
      </c>
      <c r="H92" s="2466" t="s">
        <v>3646</v>
      </c>
      <c r="I92" s="2466" t="s">
        <v>3647</v>
      </c>
      <c r="J92" s="139"/>
      <c r="K92" s="139"/>
      <c r="L92" s="1383"/>
      <c r="M92" s="1384"/>
      <c r="N92" s="1388"/>
      <c r="O92" s="1388"/>
      <c r="P92" s="1378"/>
      <c r="Q92" s="121"/>
    </row>
    <row r="93" spans="1:17" ht="15" thickBot="1">
      <c r="A93" s="173"/>
      <c r="B93" s="1054"/>
      <c r="C93" s="878">
        <v>100</v>
      </c>
      <c r="D93" s="878">
        <v>80</v>
      </c>
      <c r="E93" s="878">
        <v>60</v>
      </c>
      <c r="F93" s="878">
        <v>95</v>
      </c>
      <c r="G93" s="878">
        <v>70</v>
      </c>
      <c r="H93" s="878">
        <v>50</v>
      </c>
      <c r="I93" s="878">
        <v>50</v>
      </c>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1055</v>
      </c>
      <c r="B100" s="286" t="s">
        <v>1056</v>
      </c>
      <c r="C100" s="122" t="s">
        <v>3600</v>
      </c>
      <c r="D100" s="122" t="s">
        <v>3602</v>
      </c>
      <c r="E100" s="122" t="s">
        <v>3603</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97</v>
      </c>
      <c r="E101" s="886">
        <f t="shared" si="22"/>
        <v>94</v>
      </c>
      <c r="F101" s="886">
        <f t="shared" si="22"/>
        <v>91</v>
      </c>
      <c r="G101" s="886">
        <f t="shared" si="22"/>
        <v>88</v>
      </c>
      <c r="H101" s="886">
        <f t="shared" si="22"/>
        <v>85</v>
      </c>
      <c r="I101" s="886">
        <f t="shared" si="22"/>
        <v>82</v>
      </c>
      <c r="J101" s="886">
        <f t="shared" si="22"/>
        <v>79</v>
      </c>
      <c r="K101" s="886">
        <f t="shared" si="22"/>
        <v>76</v>
      </c>
      <c r="L101" s="886">
        <f t="shared" si="22"/>
        <v>73</v>
      </c>
      <c r="M101" s="887">
        <f t="shared" si="22"/>
        <v>70</v>
      </c>
      <c r="N101" s="1389"/>
      <c r="O101" s="1389"/>
      <c r="P101" s="1378"/>
      <c r="Q101" s="121"/>
    </row>
    <row r="102" spans="1:17" ht="15" thickTop="1">
      <c r="A102" s="173"/>
      <c r="B102" s="1053" t="s">
        <v>1057</v>
      </c>
      <c r="C102" s="920" t="str">
        <f>C103&amp;"(含)"&amp;"-"&amp;D103</f>
        <v>0(含)-50</v>
      </c>
      <c r="D102" s="920" t="str">
        <f t="shared" ref="D102:L102" si="23">D103&amp;"(含)"&amp;"-"&amp;E103</f>
        <v>50(含)-100</v>
      </c>
      <c r="E102" s="920" t="str">
        <f t="shared" si="23"/>
        <v>100(含)-200</v>
      </c>
      <c r="F102" s="920" t="str">
        <f t="shared" si="23"/>
        <v>200(含)-500</v>
      </c>
      <c r="G102" s="920" t="str">
        <f t="shared" si="23"/>
        <v>500(含)-1000</v>
      </c>
      <c r="H102" s="920" t="str">
        <f t="shared" si="23"/>
        <v>1000(含)-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500</v>
      </c>
      <c r="H103" s="937">
        <v>1000</v>
      </c>
      <c r="I103" s="937"/>
      <c r="J103" s="938"/>
      <c r="K103" s="938"/>
      <c r="L103" s="939"/>
      <c r="M103" s="940"/>
      <c r="N103" s="1390"/>
      <c r="O103" s="1390"/>
      <c r="P103" s="1379"/>
      <c r="Q103" s="1062"/>
    </row>
    <row r="104" spans="1:17" s="1038" customFormat="1" ht="15" thickBot="1">
      <c r="A104" s="1057"/>
      <c r="B104" s="1054"/>
      <c r="C104" s="902">
        <v>100</v>
      </c>
      <c r="D104" s="878">
        <v>97</v>
      </c>
      <c r="E104" s="878">
        <v>94</v>
      </c>
      <c r="F104" s="878">
        <v>91</v>
      </c>
      <c r="G104" s="878">
        <v>88</v>
      </c>
      <c r="H104" s="878">
        <v>85</v>
      </c>
      <c r="I104" s="878"/>
      <c r="J104" s="878"/>
      <c r="K104" s="878"/>
      <c r="L104" s="878"/>
      <c r="M104" s="879"/>
      <c r="N104" s="1389"/>
      <c r="O104" s="1389"/>
      <c r="P104" s="1379"/>
      <c r="Q104" s="1062"/>
    </row>
    <row r="105" spans="1:17" ht="14.25" thickTop="1">
      <c r="A105" s="175"/>
      <c r="B105" s="1053" t="s">
        <v>1058</v>
      </c>
      <c r="C105" s="139" t="s">
        <v>3604</v>
      </c>
      <c r="D105" s="139" t="s">
        <v>3605</v>
      </c>
      <c r="E105" s="131" t="s">
        <v>3606</v>
      </c>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1059</v>
      </c>
      <c r="C107" s="139" t="s">
        <v>3608</v>
      </c>
      <c r="D107" s="139" t="s">
        <v>3621</v>
      </c>
      <c r="E107" s="139" t="s">
        <v>3622</v>
      </c>
      <c r="F107" s="131" t="s">
        <v>3609</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97</v>
      </c>
      <c r="E108" s="886">
        <f t="shared" si="25"/>
        <v>94</v>
      </c>
      <c r="F108" s="886">
        <f t="shared" si="25"/>
        <v>91</v>
      </c>
      <c r="G108" s="886">
        <f t="shared" si="25"/>
        <v>88</v>
      </c>
      <c r="H108" s="886">
        <f t="shared" si="25"/>
        <v>85</v>
      </c>
      <c r="I108" s="886">
        <f t="shared" si="25"/>
        <v>82</v>
      </c>
      <c r="J108" s="886">
        <f t="shared" si="25"/>
        <v>79</v>
      </c>
      <c r="K108" s="886">
        <f t="shared" si="25"/>
        <v>76</v>
      </c>
      <c r="L108" s="886">
        <f t="shared" si="25"/>
        <v>73</v>
      </c>
      <c r="M108" s="887">
        <f t="shared" si="25"/>
        <v>70</v>
      </c>
      <c r="N108" s="1389"/>
      <c r="O108" s="1389"/>
      <c r="P108" s="1378"/>
      <c r="Q108" s="121"/>
    </row>
    <row r="109" spans="1:17" ht="15" thickTop="1">
      <c r="A109" s="175"/>
      <c r="B109" s="1053" t="s">
        <v>1060</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9"/>
      <c r="O111" s="1389"/>
      <c r="P111" s="1378"/>
      <c r="Q111" s="121"/>
    </row>
    <row r="112" spans="1:17" s="1038" customFormat="1" ht="14.25" thickTop="1">
      <c r="A112" s="1072"/>
      <c r="B112" s="1053" t="s">
        <v>2645</v>
      </c>
      <c r="C112" s="139" t="s">
        <v>3610</v>
      </c>
      <c r="D112" s="139" t="s">
        <v>3611</v>
      </c>
      <c r="E112" s="139" t="s">
        <v>3613</v>
      </c>
      <c r="F112" s="139" t="s">
        <v>3614</v>
      </c>
      <c r="G112" s="139" t="s">
        <v>3615</v>
      </c>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1061</v>
      </c>
      <c r="C114" s="139" t="s">
        <v>3617</v>
      </c>
      <c r="D114" s="139" t="s">
        <v>3618</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97</v>
      </c>
      <c r="E115" s="886">
        <f t="shared" si="28"/>
        <v>94</v>
      </c>
      <c r="F115" s="886">
        <f t="shared" si="28"/>
        <v>91</v>
      </c>
      <c r="G115" s="886">
        <f t="shared" si="28"/>
        <v>88</v>
      </c>
      <c r="H115" s="886">
        <f t="shared" si="28"/>
        <v>85</v>
      </c>
      <c r="I115" s="886">
        <f t="shared" si="28"/>
        <v>82</v>
      </c>
      <c r="J115" s="886">
        <f t="shared" si="28"/>
        <v>79</v>
      </c>
      <c r="K115" s="886">
        <f t="shared" si="28"/>
        <v>76</v>
      </c>
      <c r="L115" s="886">
        <f t="shared" si="28"/>
        <v>73</v>
      </c>
      <c r="M115" s="887">
        <f t="shared" si="28"/>
        <v>70</v>
      </c>
      <c r="N115" s="1389"/>
      <c r="O115" s="1389"/>
      <c r="P115" s="1378"/>
      <c r="Q115" s="121"/>
    </row>
    <row r="116" spans="1:17" ht="14.25" thickTop="1">
      <c r="A116" s="175"/>
      <c r="B116" s="1053" t="s">
        <v>1062</v>
      </c>
      <c r="C116" s="139" t="s">
        <v>3619</v>
      </c>
      <c r="D116" s="139" t="s">
        <v>3620</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97</v>
      </c>
      <c r="E117" s="886">
        <f>D117-$K39</f>
        <v>94</v>
      </c>
      <c r="F117" s="886">
        <f>E117-$K39</f>
        <v>91</v>
      </c>
      <c r="G117" s="886">
        <f>F117-$K39</f>
        <v>88</v>
      </c>
      <c r="H117" s="886"/>
      <c r="I117" s="886"/>
      <c r="J117" s="886"/>
      <c r="K117" s="886"/>
      <c r="L117" s="886"/>
      <c r="M117" s="887"/>
      <c r="N117" s="1389"/>
      <c r="O117" s="1389"/>
      <c r="P117" s="1378"/>
      <c r="Q117" s="121"/>
    </row>
    <row r="118" spans="1:17" ht="15" thickTop="1">
      <c r="A118" s="175"/>
      <c r="B118" s="1053" t="s">
        <v>1063</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1064</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1065</v>
      </c>
      <c r="C122" s="139" t="s">
        <v>3608</v>
      </c>
      <c r="D122" s="139" t="s">
        <v>3623</v>
      </c>
      <c r="E122" s="139" t="s">
        <v>3624</v>
      </c>
      <c r="F122" s="131" t="s">
        <v>3609</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97</v>
      </c>
      <c r="E123" s="886">
        <f t="shared" si="30"/>
        <v>94</v>
      </c>
      <c r="F123" s="886">
        <f t="shared" si="30"/>
        <v>91</v>
      </c>
      <c r="G123" s="886">
        <f t="shared" si="30"/>
        <v>88</v>
      </c>
      <c r="H123" s="886">
        <f t="shared" si="30"/>
        <v>85</v>
      </c>
      <c r="I123" s="886">
        <f t="shared" si="30"/>
        <v>82</v>
      </c>
      <c r="J123" s="886">
        <f t="shared" si="30"/>
        <v>79</v>
      </c>
      <c r="K123" s="886">
        <f t="shared" si="30"/>
        <v>76</v>
      </c>
      <c r="L123" s="886">
        <f t="shared" si="30"/>
        <v>73</v>
      </c>
      <c r="M123" s="887">
        <f t="shared" si="30"/>
        <v>70</v>
      </c>
      <c r="N123" s="1389"/>
      <c r="O123" s="1389"/>
      <c r="P123" s="1378"/>
      <c r="Q123" s="121"/>
    </row>
    <row r="124" spans="1:17" ht="27.75" thickTop="1">
      <c r="A124" s="175"/>
      <c r="B124" s="1053" t="s">
        <v>1066</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xSplit="12" ySplit="16" topLeftCell="M17" activePane="bottomRight" state="frozen"/>
      <selection pane="topRight" activeCell="M1" sqref="M1"/>
      <selection pane="bottomLeft" activeCell="A17" sqref="A17"/>
      <selection pane="bottomRight" activeCell="U23" sqref="U23"/>
    </sheetView>
  </sheetViews>
  <sheetFormatPr defaultRowHeight="12.75"/>
  <cols>
    <col min="1" max="1" width="11.5" style="470" customWidth="1"/>
    <col min="2" max="2" width="9.25" style="316" customWidth="1"/>
    <col min="3" max="3" width="7.5" style="316" customWidth="1"/>
    <col min="4" max="4" width="9.875" style="316" customWidth="1"/>
    <col min="5" max="5" width="5" style="316" customWidth="1"/>
    <col min="6" max="6" width="12" style="316" customWidth="1"/>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8" t="s">
        <v>2391</v>
      </c>
      <c r="C1" s="3701" t="s">
        <v>2392</v>
      </c>
      <c r="D1" s="3702"/>
      <c r="E1" s="3702"/>
      <c r="F1" s="3702"/>
      <c r="G1" s="3702"/>
      <c r="H1" s="3702"/>
      <c r="I1" s="3702"/>
      <c r="J1" s="3702"/>
      <c r="K1" s="3702"/>
      <c r="L1" s="3702"/>
      <c r="M1" s="3702"/>
      <c r="N1" s="3702"/>
      <c r="O1" s="3702"/>
      <c r="P1" s="3702"/>
      <c r="Q1" s="3702"/>
      <c r="R1" s="3702"/>
      <c r="S1" s="3703"/>
      <c r="T1" s="2438" t="s">
        <v>1821</v>
      </c>
    </row>
    <row r="2" spans="1:45" s="1115" customFormat="1" ht="38.25">
      <c r="A2" s="2439"/>
      <c r="B2" s="1111" t="s">
        <v>2393</v>
      </c>
      <c r="C2" s="1112" t="str">
        <f t="shared" ref="C2:R2" si="0">C3&amp;"(含)"&amp;"-"&amp;D3</f>
        <v>0(含)-50</v>
      </c>
      <c r="D2" s="1113" t="str">
        <f t="shared" si="0"/>
        <v>50(含)-100</v>
      </c>
      <c r="E2" s="1113" t="str">
        <f t="shared" si="0"/>
        <v>100(含)-200</v>
      </c>
      <c r="F2" s="1113" t="str">
        <f t="shared" si="0"/>
        <v>200(含)-500</v>
      </c>
      <c r="G2" s="1113" t="str">
        <f t="shared" si="0"/>
        <v>500(含)-1000</v>
      </c>
      <c r="H2" s="1113" t="str">
        <f t="shared" si="0"/>
        <v>1000(含)-2000</v>
      </c>
      <c r="I2" s="1113" t="str">
        <f t="shared" si="0"/>
        <v>2000(含)-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40"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1"/>
      <c r="B3" s="1116"/>
      <c r="C3" s="1117">
        <v>0</v>
      </c>
      <c r="D3" s="1118">
        <v>50</v>
      </c>
      <c r="E3" s="1118">
        <v>100</v>
      </c>
      <c r="F3" s="3209">
        <v>200</v>
      </c>
      <c r="G3" s="3209">
        <v>500</v>
      </c>
      <c r="H3" s="3209">
        <v>1000</v>
      </c>
      <c r="I3" s="3209">
        <v>2000</v>
      </c>
      <c r="J3" s="3209"/>
      <c r="K3" s="3209"/>
      <c r="L3" s="3210"/>
      <c r="M3" s="3211"/>
      <c r="N3" s="3211"/>
      <c r="O3" s="3209"/>
      <c r="P3" s="3209"/>
      <c r="Q3" s="3209"/>
      <c r="R3" s="3209"/>
      <c r="S3" s="3212"/>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5" thickBot="1">
      <c r="A4" s="2442"/>
      <c r="B4" s="2443"/>
      <c r="C4" s="902">
        <v>100</v>
      </c>
      <c r="D4" s="878">
        <v>97</v>
      </c>
      <c r="E4" s="878">
        <v>94</v>
      </c>
      <c r="F4" s="878">
        <v>91</v>
      </c>
      <c r="G4" s="878">
        <v>88</v>
      </c>
      <c r="H4" s="878">
        <v>85</v>
      </c>
      <c r="I4" s="3213">
        <v>82</v>
      </c>
      <c r="J4" s="3213"/>
      <c r="K4" s="3213"/>
      <c r="L4" s="3213"/>
      <c r="M4" s="3214"/>
      <c r="N4" s="3214"/>
      <c r="O4" s="3213"/>
      <c r="P4" s="3213"/>
      <c r="Q4" s="3213"/>
      <c r="R4" s="3213"/>
      <c r="S4" s="3215"/>
      <c r="T4" s="2448"/>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ht="14.25" thickTop="1">
      <c r="A5" s="2449"/>
      <c r="B5" s="3400" t="s">
        <v>3637</v>
      </c>
      <c r="C5" s="139" t="s">
        <v>3584</v>
      </c>
      <c r="D5" s="139" t="s">
        <v>3586</v>
      </c>
      <c r="E5" s="139" t="s">
        <v>3589</v>
      </c>
      <c r="F5" s="1385" t="s">
        <v>3587</v>
      </c>
      <c r="G5" s="139" t="s">
        <v>3588</v>
      </c>
      <c r="H5" s="3216"/>
      <c r="I5" s="3216"/>
      <c r="J5" s="3216"/>
      <c r="K5" s="3216"/>
      <c r="L5" s="3217"/>
      <c r="M5" s="3218"/>
      <c r="N5" s="3218"/>
      <c r="O5" s="3216"/>
      <c r="P5" s="3216"/>
      <c r="Q5" s="3216"/>
      <c r="R5" s="3216"/>
      <c r="S5" s="3219"/>
      <c r="T5" s="2453">
        <v>5</v>
      </c>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9"/>
      <c r="B6" s="2200"/>
      <c r="C6" s="2206">
        <v>100</v>
      </c>
      <c r="D6" s="2203">
        <f>C6-$T5</f>
        <v>95</v>
      </c>
      <c r="E6" s="2203">
        <f t="shared" ref="E6:S6" si="1">D6-$T5</f>
        <v>90</v>
      </c>
      <c r="F6" s="3220">
        <f t="shared" si="1"/>
        <v>85</v>
      </c>
      <c r="G6" s="3220">
        <f t="shared" si="1"/>
        <v>80</v>
      </c>
      <c r="H6" s="3220">
        <f t="shared" si="1"/>
        <v>75</v>
      </c>
      <c r="I6" s="3220">
        <f t="shared" si="1"/>
        <v>70</v>
      </c>
      <c r="J6" s="3220">
        <f t="shared" si="1"/>
        <v>65</v>
      </c>
      <c r="K6" s="3220">
        <f t="shared" si="1"/>
        <v>60</v>
      </c>
      <c r="L6" s="3220">
        <f t="shared" si="1"/>
        <v>55</v>
      </c>
      <c r="M6" s="3220">
        <f t="shared" si="1"/>
        <v>50</v>
      </c>
      <c r="N6" s="3220">
        <f t="shared" si="1"/>
        <v>45</v>
      </c>
      <c r="O6" s="3220">
        <f t="shared" si="1"/>
        <v>40</v>
      </c>
      <c r="P6" s="3220">
        <f t="shared" si="1"/>
        <v>35</v>
      </c>
      <c r="Q6" s="3220">
        <f t="shared" si="1"/>
        <v>30</v>
      </c>
      <c r="R6" s="3220">
        <f t="shared" si="1"/>
        <v>25</v>
      </c>
      <c r="S6" s="3220">
        <f t="shared" si="1"/>
        <v>20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9"/>
      <c r="B7" s="3401" t="s">
        <v>3638</v>
      </c>
      <c r="C7" s="3402" t="s">
        <v>3639</v>
      </c>
      <c r="D7" s="3403" t="s">
        <v>3640</v>
      </c>
      <c r="E7" s="3403" t="s">
        <v>3641</v>
      </c>
      <c r="F7" s="3404" t="s">
        <v>3643</v>
      </c>
      <c r="G7" s="3404" t="s">
        <v>3642</v>
      </c>
      <c r="H7" s="3221"/>
      <c r="I7" s="3221"/>
      <c r="J7" s="3221"/>
      <c r="K7" s="3221"/>
      <c r="L7" s="3221"/>
      <c r="M7" s="3222"/>
      <c r="N7" s="3223"/>
      <c r="O7" s="3224"/>
      <c r="P7" s="3225"/>
      <c r="Q7" s="3226"/>
      <c r="R7" s="3227"/>
      <c r="S7" s="3228"/>
      <c r="T7" s="1121">
        <v>5</v>
      </c>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9"/>
      <c r="B8" s="2200"/>
      <c r="C8" s="2206">
        <v>100</v>
      </c>
      <c r="D8" s="2203">
        <f>C8-$T7</f>
        <v>95</v>
      </c>
      <c r="E8" s="2203">
        <f t="shared" ref="E8:S8" si="2">D8-$T7</f>
        <v>90</v>
      </c>
      <c r="F8" s="3220">
        <f t="shared" si="2"/>
        <v>85</v>
      </c>
      <c r="G8" s="3220">
        <f t="shared" si="2"/>
        <v>80</v>
      </c>
      <c r="H8" s="3220">
        <f t="shared" si="2"/>
        <v>75</v>
      </c>
      <c r="I8" s="3220">
        <f t="shared" si="2"/>
        <v>70</v>
      </c>
      <c r="J8" s="3220">
        <f t="shared" si="2"/>
        <v>65</v>
      </c>
      <c r="K8" s="3220">
        <f t="shared" si="2"/>
        <v>60</v>
      </c>
      <c r="L8" s="3220">
        <f t="shared" si="2"/>
        <v>55</v>
      </c>
      <c r="M8" s="3220">
        <f t="shared" si="2"/>
        <v>50</v>
      </c>
      <c r="N8" s="3220">
        <f t="shared" si="2"/>
        <v>45</v>
      </c>
      <c r="O8" s="3220">
        <f t="shared" si="2"/>
        <v>40</v>
      </c>
      <c r="P8" s="3220">
        <f t="shared" si="2"/>
        <v>35</v>
      </c>
      <c r="Q8" s="3220">
        <f t="shared" si="2"/>
        <v>30</v>
      </c>
      <c r="R8" s="3220">
        <f t="shared" si="2"/>
        <v>25</v>
      </c>
      <c r="S8" s="3220">
        <f t="shared" si="2"/>
        <v>20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9"/>
      <c r="B9" s="3309" t="s">
        <v>3039</v>
      </c>
      <c r="C9" s="2205"/>
      <c r="D9" s="2199"/>
      <c r="E9" s="2199"/>
      <c r="F9" s="3221"/>
      <c r="G9" s="3221"/>
      <c r="H9" s="3221"/>
      <c r="I9" s="3221"/>
      <c r="J9" s="3221"/>
      <c r="K9" s="3221"/>
      <c r="L9" s="3229"/>
      <c r="M9" s="3222"/>
      <c r="N9" s="3223"/>
      <c r="O9" s="3224"/>
      <c r="P9" s="3225"/>
      <c r="Q9" s="3226"/>
      <c r="R9" s="3227"/>
      <c r="S9" s="3228"/>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9"/>
      <c r="B10" s="2443"/>
      <c r="C10" s="2454">
        <v>100</v>
      </c>
      <c r="D10" s="2455">
        <f>C10-$T9</f>
        <v>100</v>
      </c>
      <c r="E10" s="2455">
        <f t="shared" ref="E10:S10" si="3">D10-$T9</f>
        <v>100</v>
      </c>
      <c r="F10" s="3230">
        <f t="shared" si="3"/>
        <v>100</v>
      </c>
      <c r="G10" s="3230">
        <f t="shared" si="3"/>
        <v>100</v>
      </c>
      <c r="H10" s="3230">
        <f t="shared" si="3"/>
        <v>100</v>
      </c>
      <c r="I10" s="3230">
        <f t="shared" si="3"/>
        <v>100</v>
      </c>
      <c r="J10" s="3230">
        <f t="shared" si="3"/>
        <v>100</v>
      </c>
      <c r="K10" s="3230">
        <f t="shared" si="3"/>
        <v>100</v>
      </c>
      <c r="L10" s="3230">
        <f t="shared" si="3"/>
        <v>100</v>
      </c>
      <c r="M10" s="3230">
        <f t="shared" si="3"/>
        <v>100</v>
      </c>
      <c r="N10" s="3230">
        <f t="shared" si="3"/>
        <v>100</v>
      </c>
      <c r="O10" s="3230">
        <f t="shared" si="3"/>
        <v>100</v>
      </c>
      <c r="P10" s="3230">
        <f t="shared" si="3"/>
        <v>100</v>
      </c>
      <c r="Q10" s="3230">
        <f t="shared" si="3"/>
        <v>100</v>
      </c>
      <c r="R10" s="3230">
        <f t="shared" si="3"/>
        <v>100</v>
      </c>
      <c r="S10" s="3230">
        <f t="shared" si="3"/>
        <v>100</v>
      </c>
      <c r="T10" s="2448"/>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9"/>
      <c r="B11" s="3308" t="s">
        <v>3038</v>
      </c>
      <c r="C11" s="2450"/>
      <c r="D11" s="2451"/>
      <c r="E11" s="2451"/>
      <c r="F11" s="2451"/>
      <c r="G11" s="2451"/>
      <c r="H11" s="2451"/>
      <c r="I11" s="2451"/>
      <c r="J11" s="2451"/>
      <c r="K11" s="2451"/>
      <c r="L11" s="2451"/>
      <c r="M11" s="2452"/>
      <c r="N11" s="2456"/>
      <c r="O11" s="2457"/>
      <c r="P11" s="2458"/>
      <c r="Q11" s="2459"/>
      <c r="R11" s="2460"/>
      <c r="S11" s="2461"/>
      <c r="T11" s="2453"/>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9"/>
      <c r="B12" s="2200"/>
      <c r="C12" s="2206">
        <v>100</v>
      </c>
      <c r="D12" s="2203">
        <f>C12-$T11</f>
        <v>100</v>
      </c>
      <c r="E12" s="2203">
        <f t="shared" ref="E12:S12" si="4">D12-$T11</f>
        <v>100</v>
      </c>
      <c r="F12" s="2203">
        <f t="shared" si="4"/>
        <v>100</v>
      </c>
      <c r="G12" s="2203">
        <f t="shared" si="4"/>
        <v>100</v>
      </c>
      <c r="H12" s="2203">
        <f t="shared" si="4"/>
        <v>100</v>
      </c>
      <c r="I12" s="2203">
        <f t="shared" si="4"/>
        <v>100</v>
      </c>
      <c r="J12" s="2203">
        <f t="shared" si="4"/>
        <v>100</v>
      </c>
      <c r="K12" s="2203">
        <f t="shared" si="4"/>
        <v>100</v>
      </c>
      <c r="L12" s="2203">
        <f t="shared" si="4"/>
        <v>100</v>
      </c>
      <c r="M12" s="2203">
        <f t="shared" si="4"/>
        <v>100</v>
      </c>
      <c r="N12" s="2203">
        <f t="shared" si="4"/>
        <v>100</v>
      </c>
      <c r="O12" s="2203">
        <f t="shared" si="4"/>
        <v>100</v>
      </c>
      <c r="P12" s="2203">
        <f t="shared" si="4"/>
        <v>100</v>
      </c>
      <c r="Q12" s="2203">
        <f t="shared" si="4"/>
        <v>100</v>
      </c>
      <c r="R12" s="2203">
        <f>Q12-$T11</f>
        <v>100</v>
      </c>
      <c r="S12" s="2203">
        <f t="shared" si="4"/>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9"/>
      <c r="B13" s="3308" t="s">
        <v>3037</v>
      </c>
      <c r="C13" s="2450"/>
      <c r="D13" s="2451"/>
      <c r="E13" s="2451"/>
      <c r="F13" s="2451"/>
      <c r="G13" s="2451"/>
      <c r="H13" s="2451"/>
      <c r="I13" s="2451"/>
      <c r="J13" s="2451"/>
      <c r="K13" s="2451"/>
      <c r="L13" s="2451"/>
      <c r="M13" s="2452"/>
      <c r="N13" s="2456"/>
      <c r="O13" s="2457"/>
      <c r="P13" s="2458"/>
      <c r="Q13" s="2459"/>
      <c r="R13" s="2460"/>
      <c r="S13" s="2461"/>
      <c r="T13" s="2462"/>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9"/>
      <c r="B15" s="3308" t="s">
        <v>3036</v>
      </c>
      <c r="C15" s="2450"/>
      <c r="D15" s="2451"/>
      <c r="E15" s="2451"/>
      <c r="F15" s="2451"/>
      <c r="G15" s="2451"/>
      <c r="H15" s="2451"/>
      <c r="I15" s="2451"/>
      <c r="J15" s="2451"/>
      <c r="K15" s="2451"/>
      <c r="L15" s="2451"/>
      <c r="M15" s="2452"/>
      <c r="N15" s="2456"/>
      <c r="O15" s="2457"/>
      <c r="P15" s="2458"/>
      <c r="Q15" s="2459"/>
      <c r="R15" s="2460"/>
      <c r="S15" s="2461"/>
      <c r="T15" s="2462"/>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1" t="s">
        <v>2394</v>
      </c>
      <c r="B17" s="2482" t="s">
        <v>2395</v>
      </c>
      <c r="C17" s="2465">
        <v>1</v>
      </c>
      <c r="D17" s="2466" t="s">
        <v>3644</v>
      </c>
      <c r="E17" s="2466">
        <v>2</v>
      </c>
      <c r="F17" s="2466">
        <v>-1</v>
      </c>
      <c r="G17" s="2466" t="s">
        <v>3645</v>
      </c>
      <c r="H17" s="2466" t="s">
        <v>3646</v>
      </c>
      <c r="I17" s="2466" t="s">
        <v>3647</v>
      </c>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3"/>
      <c r="AS17" s="1463"/>
    </row>
    <row r="18" spans="1:45" s="1115" customFormat="1" ht="13.5" thickBot="1">
      <c r="A18" s="2475"/>
      <c r="B18" s="2476"/>
      <c r="C18" s="2477">
        <v>100</v>
      </c>
      <c r="D18" s="2478">
        <v>80</v>
      </c>
      <c r="E18" s="2478">
        <v>60</v>
      </c>
      <c r="F18" s="3410">
        <v>95</v>
      </c>
      <c r="G18" s="3410">
        <v>70</v>
      </c>
      <c r="H18" s="2478">
        <v>50</v>
      </c>
      <c r="I18" s="2478">
        <v>50</v>
      </c>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 ca="1">S22</f>
        <v>971</v>
      </c>
      <c r="C20" s="500"/>
      <c r="D20" s="500"/>
      <c r="E20" s="500"/>
      <c r="F20" s="500"/>
      <c r="G20" s="500"/>
      <c r="H20" s="500"/>
      <c r="I20" s="500"/>
      <c r="J20" s="500"/>
      <c r="K20" s="500"/>
      <c r="L20" s="500"/>
      <c r="M20" s="500"/>
      <c r="N20" s="500"/>
      <c r="O20" s="500"/>
      <c r="P20" s="500"/>
      <c r="Q20" s="500"/>
      <c r="R20" s="1415"/>
      <c r="S20" s="469"/>
    </row>
    <row r="21" spans="1:45" ht="15.75">
      <c r="A21" s="1123" t="s">
        <v>522</v>
      </c>
      <c r="B21" s="673">
        <f ca="1">R22</f>
        <v>6837</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1420.2500000000002</v>
      </c>
      <c r="C22" s="3704" t="s">
        <v>169</v>
      </c>
      <c r="D22" s="3705"/>
      <c r="E22" s="3705"/>
      <c r="F22" s="3705"/>
      <c r="G22" s="3705"/>
      <c r="H22" s="3705"/>
      <c r="I22" s="3705"/>
      <c r="J22" s="3705"/>
      <c r="K22" s="3705"/>
      <c r="L22" s="3705"/>
      <c r="M22" s="3705"/>
      <c r="N22" s="3705"/>
      <c r="O22" s="3705"/>
      <c r="P22" s="3705"/>
      <c r="Q22" s="3706"/>
      <c r="R22" s="1124">
        <f ca="1">ROUND(S22*10000/B22,0)</f>
        <v>6837</v>
      </c>
      <c r="S22" s="313">
        <f ca="1">SUM(S24:S10000)</f>
        <v>971</v>
      </c>
    </row>
    <row r="23" spans="1:45" s="300" customFormat="1" ht="24">
      <c r="A23" s="299" t="s">
        <v>524</v>
      </c>
      <c r="B23" s="299" t="s">
        <v>525</v>
      </c>
      <c r="C23" s="299" t="s">
        <v>526</v>
      </c>
      <c r="D23" s="299" t="str">
        <f>B5</f>
        <v>可视性</v>
      </c>
      <c r="E23" s="299" t="s">
        <v>526</v>
      </c>
      <c r="F23" s="299" t="str">
        <f>B7</f>
        <v>人流量</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134.66</v>
      </c>
      <c r="C24" s="1127">
        <v>1</v>
      </c>
      <c r="D24" s="1128" t="s">
        <v>3585</v>
      </c>
      <c r="E24" s="1127">
        <v>1</v>
      </c>
      <c r="F24" s="1128" t="s">
        <v>3669</v>
      </c>
      <c r="G24" s="1127">
        <v>1</v>
      </c>
      <c r="H24" s="1128"/>
      <c r="I24" s="1127">
        <v>1</v>
      </c>
      <c r="J24" s="1128"/>
      <c r="K24" s="1127">
        <v>1</v>
      </c>
      <c r="L24" s="1128"/>
      <c r="M24" s="1127">
        <v>1</v>
      </c>
      <c r="N24" s="1128"/>
      <c r="O24" s="1127">
        <v>1</v>
      </c>
      <c r="P24" s="1128" t="s">
        <v>3648</v>
      </c>
      <c r="Q24" s="1127">
        <v>1</v>
      </c>
      <c r="R24" s="1129">
        <f ca="1">结果表!G20</f>
        <v>6875</v>
      </c>
      <c r="S24" s="1127">
        <f t="shared" ref="S24:S87" ca="1" si="5">ROUND(R24*B24/10000,0)</f>
        <v>93</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3409" t="s">
        <v>3284</v>
      </c>
      <c r="B25" s="3409">
        <v>656.22</v>
      </c>
      <c r="C25" s="313">
        <f>IF(B25="",1,(LOOKUP(B25,$3:$3,$4:$4)-LOOKUP($B$24,$3:$3,$4:$4)+100)/100)</f>
        <v>0.94</v>
      </c>
      <c r="D25" s="1128" t="s">
        <v>3583</v>
      </c>
      <c r="E25" s="313">
        <f>(SUMIF($5:$5,D25,$6:$6)-SUMIF($5:$5,$D$24,$6:$6)+100)/100</f>
        <v>1.05</v>
      </c>
      <c r="F25" s="1128" t="s">
        <v>3669</v>
      </c>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t="s">
        <v>3648</v>
      </c>
      <c r="Q25" s="313">
        <f>(SUMIF($17:$17,P25,$18:$18)-SUMIF($17:$17,$P$24,$18:$18)+100)/100</f>
        <v>1</v>
      </c>
      <c r="R25" s="1124">
        <f ca="1">IF(B25="",0,ROUND($R$24*C25*E25*G25*I25*K25*M25*O25*Q25,0))</f>
        <v>6786</v>
      </c>
      <c r="S25" s="698">
        <f t="shared" ca="1" si="5"/>
        <v>445</v>
      </c>
    </row>
    <row r="26" spans="1:45">
      <c r="A26" s="3409" t="s">
        <v>3289</v>
      </c>
      <c r="B26" s="3409">
        <v>121.46</v>
      </c>
      <c r="C26" s="313">
        <f t="shared" ref="C26:C89" si="6">IF(B26="",1,(LOOKUP(B26,$3:$3,$4:$4)-LOOKUP($B$24,$3:$3,$4:$4)+100)/100)</f>
        <v>1</v>
      </c>
      <c r="D26" s="1128" t="s">
        <v>3585</v>
      </c>
      <c r="E26" s="313">
        <f t="shared" ref="E26:E89" si="7">(SUMIF($5:$5,D26,$6:$6)-SUMIF($5:$5,$D$24,$6:$6)+100)/100</f>
        <v>1</v>
      </c>
      <c r="F26" s="1128" t="s">
        <v>3669</v>
      </c>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t="s">
        <v>3648</v>
      </c>
      <c r="Q26" s="313">
        <f t="shared" ref="Q26:Q89" si="13">(SUMIF($17:$17,P26,$18:$18)-SUMIF($17:$17,$P$24,$18:$18)+100)/100</f>
        <v>1</v>
      </c>
      <c r="R26" s="1124">
        <f t="shared" ref="R26:R89" ca="1" si="14">IF(B26="",0,ROUND($R$24*C26*E26*G26*I26*K26*M26*O26*Q26,0))</f>
        <v>6875</v>
      </c>
      <c r="S26" s="698">
        <f t="shared" ca="1" si="5"/>
        <v>84</v>
      </c>
    </row>
    <row r="27" spans="1:45">
      <c r="A27" s="3409" t="s">
        <v>3289</v>
      </c>
      <c r="B27" s="3409">
        <v>137.04</v>
      </c>
      <c r="C27" s="313">
        <f t="shared" si="6"/>
        <v>1</v>
      </c>
      <c r="D27" s="1128" t="s">
        <v>3585</v>
      </c>
      <c r="E27" s="313">
        <f t="shared" si="7"/>
        <v>1</v>
      </c>
      <c r="F27" s="1128" t="s">
        <v>3669</v>
      </c>
      <c r="G27" s="313">
        <f t="shared" si="8"/>
        <v>1</v>
      </c>
      <c r="H27" s="1128"/>
      <c r="I27" s="313">
        <f t="shared" si="9"/>
        <v>1</v>
      </c>
      <c r="J27" s="1128"/>
      <c r="K27" s="313">
        <f t="shared" si="10"/>
        <v>1</v>
      </c>
      <c r="L27" s="1128"/>
      <c r="M27" s="313">
        <f t="shared" si="11"/>
        <v>1</v>
      </c>
      <c r="N27" s="1128"/>
      <c r="O27" s="313">
        <f t="shared" si="12"/>
        <v>1</v>
      </c>
      <c r="P27" s="1128" t="s">
        <v>3648</v>
      </c>
      <c r="Q27" s="313">
        <f t="shared" si="13"/>
        <v>1</v>
      </c>
      <c r="R27" s="1124">
        <f t="shared" ca="1" si="14"/>
        <v>6875</v>
      </c>
      <c r="S27" s="698">
        <f t="shared" ca="1" si="5"/>
        <v>94</v>
      </c>
    </row>
    <row r="28" spans="1:45">
      <c r="A28" s="3409" t="s">
        <v>3289</v>
      </c>
      <c r="B28" s="3409">
        <v>118.4</v>
      </c>
      <c r="C28" s="313">
        <f t="shared" si="6"/>
        <v>1</v>
      </c>
      <c r="D28" s="1128" t="s">
        <v>3585</v>
      </c>
      <c r="E28" s="313">
        <f t="shared" si="7"/>
        <v>1</v>
      </c>
      <c r="F28" s="1128" t="s">
        <v>3669</v>
      </c>
      <c r="G28" s="313">
        <f t="shared" si="8"/>
        <v>1</v>
      </c>
      <c r="H28" s="1128"/>
      <c r="I28" s="313">
        <f t="shared" si="9"/>
        <v>1</v>
      </c>
      <c r="J28" s="1128"/>
      <c r="K28" s="313">
        <f t="shared" si="10"/>
        <v>1</v>
      </c>
      <c r="L28" s="1128"/>
      <c r="M28" s="313">
        <f t="shared" si="11"/>
        <v>1</v>
      </c>
      <c r="N28" s="1128"/>
      <c r="O28" s="313">
        <f t="shared" si="12"/>
        <v>1</v>
      </c>
      <c r="P28" s="1128" t="s">
        <v>3648</v>
      </c>
      <c r="Q28" s="313">
        <f t="shared" si="13"/>
        <v>1</v>
      </c>
      <c r="R28" s="1124">
        <f t="shared" ca="1" si="14"/>
        <v>6875</v>
      </c>
      <c r="S28" s="698">
        <f t="shared" ca="1" si="5"/>
        <v>81</v>
      </c>
    </row>
    <row r="29" spans="1:45">
      <c r="A29" s="3409" t="s">
        <v>3289</v>
      </c>
      <c r="B29" s="3409">
        <v>131.75</v>
      </c>
      <c r="C29" s="313">
        <f t="shared" si="6"/>
        <v>1</v>
      </c>
      <c r="D29" s="1128" t="s">
        <v>3585</v>
      </c>
      <c r="E29" s="313">
        <f t="shared" si="7"/>
        <v>1</v>
      </c>
      <c r="F29" s="1128" t="s">
        <v>3669</v>
      </c>
      <c r="G29" s="313">
        <f t="shared" si="8"/>
        <v>1</v>
      </c>
      <c r="H29" s="1128"/>
      <c r="I29" s="313">
        <f t="shared" si="9"/>
        <v>1</v>
      </c>
      <c r="J29" s="1128"/>
      <c r="K29" s="313">
        <f t="shared" si="10"/>
        <v>1</v>
      </c>
      <c r="L29" s="1128"/>
      <c r="M29" s="313">
        <f t="shared" si="11"/>
        <v>1</v>
      </c>
      <c r="N29" s="1128"/>
      <c r="O29" s="313">
        <f t="shared" si="12"/>
        <v>1</v>
      </c>
      <c r="P29" s="1128" t="s">
        <v>3648</v>
      </c>
      <c r="Q29" s="313">
        <f t="shared" si="13"/>
        <v>1</v>
      </c>
      <c r="R29" s="1124">
        <f t="shared" ca="1" si="14"/>
        <v>6875</v>
      </c>
      <c r="S29" s="698">
        <f t="shared" ca="1" si="5"/>
        <v>91</v>
      </c>
    </row>
    <row r="30" spans="1:45">
      <c r="A30" s="3409" t="s">
        <v>3289</v>
      </c>
      <c r="B30" s="3409">
        <v>120.72</v>
      </c>
      <c r="C30" s="313">
        <f t="shared" si="6"/>
        <v>1</v>
      </c>
      <c r="D30" s="1128" t="s">
        <v>3585</v>
      </c>
      <c r="E30" s="313">
        <f t="shared" si="7"/>
        <v>1</v>
      </c>
      <c r="F30" s="1128" t="s">
        <v>3669</v>
      </c>
      <c r="G30" s="313">
        <f t="shared" si="8"/>
        <v>1</v>
      </c>
      <c r="H30" s="1128"/>
      <c r="I30" s="313">
        <f t="shared" si="9"/>
        <v>1</v>
      </c>
      <c r="J30" s="1128"/>
      <c r="K30" s="313">
        <f t="shared" si="10"/>
        <v>1</v>
      </c>
      <c r="L30" s="1128"/>
      <c r="M30" s="313">
        <f t="shared" si="11"/>
        <v>1</v>
      </c>
      <c r="N30" s="1128"/>
      <c r="O30" s="313">
        <f t="shared" si="12"/>
        <v>1</v>
      </c>
      <c r="P30" s="1128" t="s">
        <v>3648</v>
      </c>
      <c r="Q30" s="313">
        <f t="shared" si="13"/>
        <v>1</v>
      </c>
      <c r="R30" s="1124">
        <f t="shared" ca="1" si="14"/>
        <v>6875</v>
      </c>
      <c r="S30" s="698">
        <f t="shared" ca="1" si="5"/>
        <v>83</v>
      </c>
    </row>
    <row r="31" spans="1:45">
      <c r="A31" s="3399"/>
      <c r="B31" s="348"/>
      <c r="C31" s="313">
        <f t="shared" si="6"/>
        <v>1</v>
      </c>
      <c r="D31" s="1128"/>
      <c r="E31" s="313">
        <f t="shared" si="7"/>
        <v>0.05</v>
      </c>
      <c r="F31" s="1128"/>
      <c r="G31" s="313">
        <f t="shared" si="8"/>
        <v>0.1</v>
      </c>
      <c r="H31" s="1128"/>
      <c r="I31" s="313">
        <f t="shared" si="9"/>
        <v>1</v>
      </c>
      <c r="J31" s="1128"/>
      <c r="K31" s="313">
        <f t="shared" si="10"/>
        <v>1</v>
      </c>
      <c r="L31" s="1128"/>
      <c r="M31" s="313">
        <f t="shared" si="11"/>
        <v>1</v>
      </c>
      <c r="N31" s="1128"/>
      <c r="O31" s="313">
        <f t="shared" si="12"/>
        <v>1</v>
      </c>
      <c r="P31" s="1128"/>
      <c r="Q31" s="313">
        <f t="shared" si="13"/>
        <v>0.2</v>
      </c>
      <c r="R31" s="1124">
        <f t="shared" si="14"/>
        <v>0</v>
      </c>
      <c r="S31" s="698">
        <f t="shared" si="5"/>
        <v>0</v>
      </c>
    </row>
    <row r="32" spans="1:45">
      <c r="A32" s="3399"/>
      <c r="B32" s="348"/>
      <c r="C32" s="313">
        <f t="shared" si="6"/>
        <v>1</v>
      </c>
      <c r="D32" s="1128"/>
      <c r="E32" s="313">
        <f t="shared" si="7"/>
        <v>0.05</v>
      </c>
      <c r="F32" s="1128"/>
      <c r="G32" s="313">
        <f t="shared" si="8"/>
        <v>0.1</v>
      </c>
      <c r="H32" s="1128"/>
      <c r="I32" s="313">
        <f t="shared" si="9"/>
        <v>1</v>
      </c>
      <c r="J32" s="1128"/>
      <c r="K32" s="313">
        <f t="shared" si="10"/>
        <v>1</v>
      </c>
      <c r="L32" s="1128"/>
      <c r="M32" s="313">
        <f t="shared" si="11"/>
        <v>1</v>
      </c>
      <c r="N32" s="1128"/>
      <c r="O32" s="313">
        <f t="shared" si="12"/>
        <v>1</v>
      </c>
      <c r="P32" s="1128"/>
      <c r="Q32" s="313">
        <f t="shared" si="13"/>
        <v>0.2</v>
      </c>
      <c r="R32" s="1124">
        <f t="shared" si="14"/>
        <v>0</v>
      </c>
      <c r="S32" s="698">
        <f t="shared" si="5"/>
        <v>0</v>
      </c>
    </row>
    <row r="33" spans="1:19">
      <c r="A33" s="3399"/>
      <c r="B33" s="348"/>
      <c r="C33" s="313">
        <f t="shared" si="6"/>
        <v>1</v>
      </c>
      <c r="D33" s="1128"/>
      <c r="E33" s="313">
        <f t="shared" si="7"/>
        <v>0.05</v>
      </c>
      <c r="F33" s="1128"/>
      <c r="G33" s="313">
        <f t="shared" si="8"/>
        <v>0.1</v>
      </c>
      <c r="H33" s="1128"/>
      <c r="I33" s="313">
        <f t="shared" si="9"/>
        <v>1</v>
      </c>
      <c r="J33" s="1128"/>
      <c r="K33" s="313">
        <f t="shared" si="10"/>
        <v>1</v>
      </c>
      <c r="L33" s="1128"/>
      <c r="M33" s="313">
        <f t="shared" si="11"/>
        <v>1</v>
      </c>
      <c r="N33" s="1128"/>
      <c r="O33" s="313">
        <f t="shared" si="12"/>
        <v>1</v>
      </c>
      <c r="P33" s="1128"/>
      <c r="Q33" s="313">
        <f t="shared" si="13"/>
        <v>0.2</v>
      </c>
      <c r="R33" s="1124">
        <f t="shared" si="14"/>
        <v>0</v>
      </c>
      <c r="S33" s="698">
        <f t="shared" si="5"/>
        <v>0</v>
      </c>
    </row>
    <row r="34" spans="1:19">
      <c r="A34" s="3399"/>
      <c r="B34" s="348"/>
      <c r="C34" s="313">
        <f t="shared" si="6"/>
        <v>1</v>
      </c>
      <c r="D34" s="1128"/>
      <c r="E34" s="313">
        <f t="shared" si="7"/>
        <v>0.05</v>
      </c>
      <c r="F34" s="1128"/>
      <c r="G34" s="313">
        <f t="shared" si="8"/>
        <v>0.1</v>
      </c>
      <c r="H34" s="1128"/>
      <c r="I34" s="313">
        <f t="shared" si="9"/>
        <v>1</v>
      </c>
      <c r="J34" s="1128"/>
      <c r="K34" s="313">
        <f t="shared" si="10"/>
        <v>1</v>
      </c>
      <c r="L34" s="1128"/>
      <c r="M34" s="313">
        <f t="shared" si="11"/>
        <v>1</v>
      </c>
      <c r="N34" s="1128"/>
      <c r="O34" s="313">
        <f t="shared" si="12"/>
        <v>1</v>
      </c>
      <c r="P34" s="1128"/>
      <c r="Q34" s="313">
        <f t="shared" si="13"/>
        <v>0.2</v>
      </c>
      <c r="R34" s="1124">
        <f t="shared" si="14"/>
        <v>0</v>
      </c>
      <c r="S34" s="698">
        <f t="shared" si="5"/>
        <v>0</v>
      </c>
    </row>
    <row r="35" spans="1:19">
      <c r="A35" s="3399"/>
      <c r="B35" s="348"/>
      <c r="C35" s="313">
        <f t="shared" si="6"/>
        <v>1</v>
      </c>
      <c r="D35" s="1128"/>
      <c r="E35" s="313">
        <f t="shared" si="7"/>
        <v>0.05</v>
      </c>
      <c r="F35" s="1128"/>
      <c r="G35" s="313">
        <f t="shared" si="8"/>
        <v>0.1</v>
      </c>
      <c r="H35" s="1128"/>
      <c r="I35" s="313">
        <f t="shared" si="9"/>
        <v>1</v>
      </c>
      <c r="J35" s="1128"/>
      <c r="K35" s="313">
        <f t="shared" si="10"/>
        <v>1</v>
      </c>
      <c r="L35" s="1128"/>
      <c r="M35" s="313">
        <f t="shared" si="11"/>
        <v>1</v>
      </c>
      <c r="N35" s="1128"/>
      <c r="O35" s="313">
        <f t="shared" si="12"/>
        <v>1</v>
      </c>
      <c r="P35" s="1128"/>
      <c r="Q35" s="313">
        <f t="shared" si="13"/>
        <v>0.2</v>
      </c>
      <c r="R35" s="1124">
        <f t="shared" si="14"/>
        <v>0</v>
      </c>
      <c r="S35" s="698">
        <f t="shared" si="5"/>
        <v>0</v>
      </c>
    </row>
    <row r="36" spans="1:19">
      <c r="A36" s="3399"/>
      <c r="B36" s="348"/>
      <c r="C36" s="313">
        <f t="shared" si="6"/>
        <v>1</v>
      </c>
      <c r="D36" s="1128"/>
      <c r="E36" s="313">
        <f t="shared" si="7"/>
        <v>0.05</v>
      </c>
      <c r="F36" s="1128"/>
      <c r="G36" s="313">
        <f t="shared" si="8"/>
        <v>0.1</v>
      </c>
      <c r="H36" s="1128"/>
      <c r="I36" s="313">
        <f t="shared" si="9"/>
        <v>1</v>
      </c>
      <c r="J36" s="1128"/>
      <c r="K36" s="313">
        <f t="shared" si="10"/>
        <v>1</v>
      </c>
      <c r="L36" s="1128"/>
      <c r="M36" s="313">
        <f t="shared" si="11"/>
        <v>1</v>
      </c>
      <c r="N36" s="1128"/>
      <c r="O36" s="313">
        <f t="shared" si="12"/>
        <v>1</v>
      </c>
      <c r="P36" s="1128"/>
      <c r="Q36" s="313">
        <f t="shared" si="13"/>
        <v>0.2</v>
      </c>
      <c r="R36" s="1124">
        <f t="shared" si="14"/>
        <v>0</v>
      </c>
      <c r="S36" s="698">
        <f t="shared" si="5"/>
        <v>0</v>
      </c>
    </row>
    <row r="37" spans="1:19">
      <c r="A37" s="3399"/>
      <c r="B37" s="348"/>
      <c r="C37" s="313">
        <f t="shared" si="6"/>
        <v>1</v>
      </c>
      <c r="D37" s="1128"/>
      <c r="E37" s="313">
        <f t="shared" si="7"/>
        <v>0.05</v>
      </c>
      <c r="F37" s="1128"/>
      <c r="G37" s="313">
        <f t="shared" si="8"/>
        <v>0.1</v>
      </c>
      <c r="H37" s="1128"/>
      <c r="I37" s="313">
        <f t="shared" si="9"/>
        <v>1</v>
      </c>
      <c r="J37" s="1128"/>
      <c r="K37" s="313">
        <f t="shared" si="10"/>
        <v>1</v>
      </c>
      <c r="L37" s="1128"/>
      <c r="M37" s="313">
        <f t="shared" si="11"/>
        <v>1</v>
      </c>
      <c r="N37" s="1128"/>
      <c r="O37" s="313">
        <f t="shared" si="12"/>
        <v>1</v>
      </c>
      <c r="P37" s="1128"/>
      <c r="Q37" s="313">
        <f t="shared" si="13"/>
        <v>0.2</v>
      </c>
      <c r="R37" s="1124">
        <f t="shared" si="14"/>
        <v>0</v>
      </c>
      <c r="S37" s="698">
        <f t="shared" si="5"/>
        <v>0</v>
      </c>
    </row>
    <row r="38" spans="1:19">
      <c r="A38" s="3399"/>
      <c r="B38" s="348"/>
      <c r="C38" s="313">
        <f t="shared" si="6"/>
        <v>1</v>
      </c>
      <c r="D38" s="1128"/>
      <c r="E38" s="313">
        <f t="shared" si="7"/>
        <v>0.05</v>
      </c>
      <c r="F38" s="1128"/>
      <c r="G38" s="313">
        <f t="shared" si="8"/>
        <v>0.1</v>
      </c>
      <c r="H38" s="1128"/>
      <c r="I38" s="313">
        <f t="shared" si="9"/>
        <v>1</v>
      </c>
      <c r="J38" s="1128"/>
      <c r="K38" s="313">
        <f t="shared" si="10"/>
        <v>1</v>
      </c>
      <c r="L38" s="1128"/>
      <c r="M38" s="313">
        <f t="shared" si="11"/>
        <v>1</v>
      </c>
      <c r="N38" s="1128"/>
      <c r="O38" s="313">
        <f t="shared" si="12"/>
        <v>1</v>
      </c>
      <c r="P38" s="1128"/>
      <c r="Q38" s="313">
        <f t="shared" si="13"/>
        <v>0.2</v>
      </c>
      <c r="R38" s="1124">
        <f t="shared" si="14"/>
        <v>0</v>
      </c>
      <c r="S38" s="698">
        <f t="shared" si="5"/>
        <v>0</v>
      </c>
    </row>
    <row r="39" spans="1:19">
      <c r="A39" s="3399"/>
      <c r="B39" s="348"/>
      <c r="C39" s="313">
        <f t="shared" si="6"/>
        <v>1</v>
      </c>
      <c r="D39" s="1128"/>
      <c r="E39" s="313">
        <f t="shared" si="7"/>
        <v>0.05</v>
      </c>
      <c r="F39" s="1128"/>
      <c r="G39" s="313">
        <f t="shared" si="8"/>
        <v>0.1</v>
      </c>
      <c r="H39" s="1128"/>
      <c r="I39" s="313">
        <f t="shared" si="9"/>
        <v>1</v>
      </c>
      <c r="J39" s="1128"/>
      <c r="K39" s="313">
        <f t="shared" si="10"/>
        <v>1</v>
      </c>
      <c r="L39" s="1128"/>
      <c r="M39" s="313">
        <f t="shared" si="11"/>
        <v>1</v>
      </c>
      <c r="N39" s="1128"/>
      <c r="O39" s="313">
        <f t="shared" si="12"/>
        <v>1</v>
      </c>
      <c r="P39" s="1128"/>
      <c r="Q39" s="313">
        <f t="shared" si="13"/>
        <v>0.2</v>
      </c>
      <c r="R39" s="1124">
        <f t="shared" si="14"/>
        <v>0</v>
      </c>
      <c r="S39" s="698">
        <f t="shared" si="5"/>
        <v>0</v>
      </c>
    </row>
    <row r="40" spans="1:19">
      <c r="A40" s="3399"/>
      <c r="B40" s="348"/>
      <c r="C40" s="313">
        <f t="shared" si="6"/>
        <v>1</v>
      </c>
      <c r="D40" s="1128"/>
      <c r="E40" s="313">
        <f t="shared" si="7"/>
        <v>0.05</v>
      </c>
      <c r="F40" s="1128"/>
      <c r="G40" s="313">
        <f t="shared" si="8"/>
        <v>0.1</v>
      </c>
      <c r="H40" s="1128"/>
      <c r="I40" s="313">
        <f t="shared" si="9"/>
        <v>1</v>
      </c>
      <c r="J40" s="1128"/>
      <c r="K40" s="313">
        <f t="shared" si="10"/>
        <v>1</v>
      </c>
      <c r="L40" s="1128"/>
      <c r="M40" s="313">
        <f t="shared" si="11"/>
        <v>1</v>
      </c>
      <c r="N40" s="1128"/>
      <c r="O40" s="313">
        <f t="shared" si="12"/>
        <v>1</v>
      </c>
      <c r="P40" s="1128"/>
      <c r="Q40" s="313">
        <f t="shared" si="13"/>
        <v>0.2</v>
      </c>
      <c r="R40" s="1124">
        <f t="shared" si="14"/>
        <v>0</v>
      </c>
      <c r="S40" s="698">
        <f t="shared" si="5"/>
        <v>0</v>
      </c>
    </row>
    <row r="41" spans="1:19">
      <c r="A41" s="3399"/>
      <c r="B41" s="348"/>
      <c r="C41" s="313">
        <f t="shared" si="6"/>
        <v>1</v>
      </c>
      <c r="D41" s="1128"/>
      <c r="E41" s="313">
        <f t="shared" si="7"/>
        <v>0.05</v>
      </c>
      <c r="F41" s="1128"/>
      <c r="G41" s="313">
        <f t="shared" si="8"/>
        <v>0.1</v>
      </c>
      <c r="H41" s="1128"/>
      <c r="I41" s="313">
        <f t="shared" si="9"/>
        <v>1</v>
      </c>
      <c r="J41" s="1128"/>
      <c r="K41" s="313">
        <f t="shared" si="10"/>
        <v>1</v>
      </c>
      <c r="L41" s="1128"/>
      <c r="M41" s="313">
        <f t="shared" si="11"/>
        <v>1</v>
      </c>
      <c r="N41" s="1128"/>
      <c r="O41" s="313">
        <f t="shared" si="12"/>
        <v>1</v>
      </c>
      <c r="P41" s="1128"/>
      <c r="Q41" s="313">
        <f t="shared" si="13"/>
        <v>0.2</v>
      </c>
      <c r="R41" s="1124">
        <f t="shared" si="14"/>
        <v>0</v>
      </c>
      <c r="S41" s="698">
        <f t="shared" si="5"/>
        <v>0</v>
      </c>
    </row>
    <row r="42" spans="1:19">
      <c r="A42" s="3399"/>
      <c r="B42" s="348"/>
      <c r="C42" s="313">
        <f t="shared" si="6"/>
        <v>1</v>
      </c>
      <c r="D42" s="1128"/>
      <c r="E42" s="313">
        <f t="shared" si="7"/>
        <v>0.05</v>
      </c>
      <c r="F42" s="1128"/>
      <c r="G42" s="313">
        <f t="shared" si="8"/>
        <v>0.1</v>
      </c>
      <c r="H42" s="1128"/>
      <c r="I42" s="313">
        <f t="shared" si="9"/>
        <v>1</v>
      </c>
      <c r="J42" s="1128"/>
      <c r="K42" s="313">
        <f t="shared" si="10"/>
        <v>1</v>
      </c>
      <c r="L42" s="1128"/>
      <c r="M42" s="313">
        <f t="shared" si="11"/>
        <v>1</v>
      </c>
      <c r="N42" s="1128"/>
      <c r="O42" s="313">
        <f t="shared" si="12"/>
        <v>1</v>
      </c>
      <c r="P42" s="1128"/>
      <c r="Q42" s="313">
        <f t="shared" si="13"/>
        <v>0.2</v>
      </c>
      <c r="R42" s="1124">
        <f t="shared" si="14"/>
        <v>0</v>
      </c>
      <c r="S42" s="698">
        <f t="shared" si="5"/>
        <v>0</v>
      </c>
    </row>
    <row r="43" spans="1:19">
      <c r="A43" s="3399"/>
      <c r="B43" s="348"/>
      <c r="C43" s="313">
        <f t="shared" si="6"/>
        <v>1</v>
      </c>
      <c r="D43" s="1128"/>
      <c r="E43" s="313">
        <f t="shared" si="7"/>
        <v>0.05</v>
      </c>
      <c r="F43" s="1128"/>
      <c r="G43" s="313">
        <f t="shared" si="8"/>
        <v>0.1</v>
      </c>
      <c r="H43" s="1128"/>
      <c r="I43" s="313">
        <f t="shared" si="9"/>
        <v>1</v>
      </c>
      <c r="J43" s="1128"/>
      <c r="K43" s="313">
        <f t="shared" si="10"/>
        <v>1</v>
      </c>
      <c r="L43" s="1128"/>
      <c r="M43" s="313">
        <f t="shared" si="11"/>
        <v>1</v>
      </c>
      <c r="N43" s="1128"/>
      <c r="O43" s="313">
        <f t="shared" si="12"/>
        <v>1</v>
      </c>
      <c r="P43" s="1128"/>
      <c r="Q43" s="313">
        <f t="shared" si="13"/>
        <v>0.2</v>
      </c>
      <c r="R43" s="1124">
        <f t="shared" si="14"/>
        <v>0</v>
      </c>
      <c r="S43" s="698">
        <f t="shared" si="5"/>
        <v>0</v>
      </c>
    </row>
    <row r="44" spans="1:19">
      <c r="A44" s="3399"/>
      <c r="B44" s="348"/>
      <c r="C44" s="313">
        <f t="shared" si="6"/>
        <v>1</v>
      </c>
      <c r="D44" s="1128"/>
      <c r="E44" s="313">
        <f t="shared" si="7"/>
        <v>0.05</v>
      </c>
      <c r="F44" s="1128"/>
      <c r="G44" s="313">
        <f t="shared" si="8"/>
        <v>0.1</v>
      </c>
      <c r="H44" s="1128"/>
      <c r="I44" s="313">
        <f t="shared" si="9"/>
        <v>1</v>
      </c>
      <c r="J44" s="1128"/>
      <c r="K44" s="313">
        <f t="shared" si="10"/>
        <v>1</v>
      </c>
      <c r="L44" s="1128"/>
      <c r="M44" s="313">
        <f t="shared" si="11"/>
        <v>1</v>
      </c>
      <c r="N44" s="1128"/>
      <c r="O44" s="313">
        <f t="shared" si="12"/>
        <v>1</v>
      </c>
      <c r="P44" s="1128"/>
      <c r="Q44" s="313">
        <f t="shared" si="13"/>
        <v>0.2</v>
      </c>
      <c r="R44" s="1124">
        <f t="shared" si="14"/>
        <v>0</v>
      </c>
      <c r="S44" s="698">
        <f t="shared" si="5"/>
        <v>0</v>
      </c>
    </row>
    <row r="45" spans="1:19">
      <c r="A45" s="3399"/>
      <c r="B45" s="348"/>
      <c r="C45" s="313">
        <f t="shared" si="6"/>
        <v>1</v>
      </c>
      <c r="D45" s="1128"/>
      <c r="E45" s="313">
        <f t="shared" si="7"/>
        <v>0.05</v>
      </c>
      <c r="F45" s="1128"/>
      <c r="G45" s="313">
        <f t="shared" si="8"/>
        <v>0.1</v>
      </c>
      <c r="H45" s="1128"/>
      <c r="I45" s="313">
        <f t="shared" si="9"/>
        <v>1</v>
      </c>
      <c r="J45" s="1128"/>
      <c r="K45" s="313">
        <f t="shared" si="10"/>
        <v>1</v>
      </c>
      <c r="L45" s="1128"/>
      <c r="M45" s="313">
        <f t="shared" si="11"/>
        <v>1</v>
      </c>
      <c r="N45" s="1128"/>
      <c r="O45" s="313">
        <f t="shared" si="12"/>
        <v>1</v>
      </c>
      <c r="P45" s="1128"/>
      <c r="Q45" s="313">
        <f t="shared" si="13"/>
        <v>0.2</v>
      </c>
      <c r="R45" s="1124">
        <f t="shared" si="14"/>
        <v>0</v>
      </c>
      <c r="S45" s="698">
        <f t="shared" si="5"/>
        <v>0</v>
      </c>
    </row>
    <row r="46" spans="1:19">
      <c r="A46" s="3399"/>
      <c r="B46" s="348"/>
      <c r="C46" s="313">
        <f t="shared" si="6"/>
        <v>1</v>
      </c>
      <c r="D46" s="1128"/>
      <c r="E46" s="313">
        <f t="shared" si="7"/>
        <v>0.05</v>
      </c>
      <c r="F46" s="1128"/>
      <c r="G46" s="313">
        <f t="shared" si="8"/>
        <v>0.1</v>
      </c>
      <c r="H46" s="1128"/>
      <c r="I46" s="313">
        <f t="shared" si="9"/>
        <v>1</v>
      </c>
      <c r="J46" s="1128"/>
      <c r="K46" s="313">
        <f t="shared" si="10"/>
        <v>1</v>
      </c>
      <c r="L46" s="1128"/>
      <c r="M46" s="313">
        <f t="shared" si="11"/>
        <v>1</v>
      </c>
      <c r="N46" s="1128"/>
      <c r="O46" s="313">
        <f t="shared" si="12"/>
        <v>1</v>
      </c>
      <c r="P46" s="1128"/>
      <c r="Q46" s="313">
        <f t="shared" si="13"/>
        <v>0.2</v>
      </c>
      <c r="R46" s="1124">
        <f t="shared" si="14"/>
        <v>0</v>
      </c>
      <c r="S46" s="698">
        <f t="shared" si="5"/>
        <v>0</v>
      </c>
    </row>
    <row r="47" spans="1:19">
      <c r="A47" s="3399"/>
      <c r="B47" s="348"/>
      <c r="C47" s="313">
        <f t="shared" si="6"/>
        <v>1</v>
      </c>
      <c r="D47" s="1128"/>
      <c r="E47" s="313">
        <f t="shared" si="7"/>
        <v>0.05</v>
      </c>
      <c r="F47" s="1128"/>
      <c r="G47" s="313">
        <f t="shared" si="8"/>
        <v>0.1</v>
      </c>
      <c r="H47" s="1128"/>
      <c r="I47" s="313">
        <f t="shared" si="9"/>
        <v>1</v>
      </c>
      <c r="J47" s="1128"/>
      <c r="K47" s="313">
        <f t="shared" si="10"/>
        <v>1</v>
      </c>
      <c r="L47" s="1128"/>
      <c r="M47" s="313">
        <f t="shared" si="11"/>
        <v>1</v>
      </c>
      <c r="N47" s="1128"/>
      <c r="O47" s="313">
        <f t="shared" si="12"/>
        <v>1</v>
      </c>
      <c r="P47" s="1128"/>
      <c r="Q47" s="313">
        <f t="shared" si="13"/>
        <v>0.2</v>
      </c>
      <c r="R47" s="1124">
        <f t="shared" si="14"/>
        <v>0</v>
      </c>
      <c r="S47" s="698">
        <f t="shared" si="5"/>
        <v>0</v>
      </c>
    </row>
    <row r="48" spans="1:19">
      <c r="A48" s="3399"/>
      <c r="B48" s="348"/>
      <c r="C48" s="313">
        <f t="shared" si="6"/>
        <v>1</v>
      </c>
      <c r="D48" s="1128"/>
      <c r="E48" s="313">
        <f t="shared" si="7"/>
        <v>0.05</v>
      </c>
      <c r="F48" s="1128"/>
      <c r="G48" s="313">
        <f t="shared" si="8"/>
        <v>0.1</v>
      </c>
      <c r="H48" s="1128"/>
      <c r="I48" s="313">
        <f t="shared" si="9"/>
        <v>1</v>
      </c>
      <c r="J48" s="1128"/>
      <c r="K48" s="313">
        <f t="shared" si="10"/>
        <v>1</v>
      </c>
      <c r="L48" s="1128"/>
      <c r="M48" s="313">
        <f t="shared" si="11"/>
        <v>1</v>
      </c>
      <c r="N48" s="1128"/>
      <c r="O48" s="313">
        <f t="shared" si="12"/>
        <v>1</v>
      </c>
      <c r="P48" s="1128"/>
      <c r="Q48" s="313">
        <f t="shared" si="13"/>
        <v>0.2</v>
      </c>
      <c r="R48" s="1124">
        <f t="shared" si="14"/>
        <v>0</v>
      </c>
      <c r="S48" s="698">
        <f t="shared" si="5"/>
        <v>0</v>
      </c>
    </row>
    <row r="49" spans="1:19">
      <c r="A49" s="3399"/>
      <c r="B49" s="348"/>
      <c r="C49" s="313">
        <f t="shared" si="6"/>
        <v>1</v>
      </c>
      <c r="D49" s="1128"/>
      <c r="E49" s="313">
        <f t="shared" si="7"/>
        <v>0.05</v>
      </c>
      <c r="F49" s="1128"/>
      <c r="G49" s="313">
        <f t="shared" si="8"/>
        <v>0.1</v>
      </c>
      <c r="H49" s="1128"/>
      <c r="I49" s="313">
        <f t="shared" si="9"/>
        <v>1</v>
      </c>
      <c r="J49" s="1128"/>
      <c r="K49" s="313">
        <f t="shared" si="10"/>
        <v>1</v>
      </c>
      <c r="L49" s="1128"/>
      <c r="M49" s="313">
        <f t="shared" si="11"/>
        <v>1</v>
      </c>
      <c r="N49" s="1128"/>
      <c r="O49" s="313">
        <f t="shared" si="12"/>
        <v>1</v>
      </c>
      <c r="P49" s="1128"/>
      <c r="Q49" s="313">
        <f t="shared" si="13"/>
        <v>0.2</v>
      </c>
      <c r="R49" s="1124">
        <f t="shared" si="14"/>
        <v>0</v>
      </c>
      <c r="S49" s="698">
        <f t="shared" si="5"/>
        <v>0</v>
      </c>
    </row>
    <row r="50" spans="1:19">
      <c r="A50" s="3399"/>
      <c r="B50" s="348"/>
      <c r="C50" s="313">
        <f t="shared" si="6"/>
        <v>1</v>
      </c>
      <c r="D50" s="1128"/>
      <c r="E50" s="313">
        <f t="shared" si="7"/>
        <v>0.05</v>
      </c>
      <c r="F50" s="1128"/>
      <c r="G50" s="313">
        <f t="shared" si="8"/>
        <v>0.1</v>
      </c>
      <c r="H50" s="1128"/>
      <c r="I50" s="313">
        <f t="shared" si="9"/>
        <v>1</v>
      </c>
      <c r="J50" s="1128"/>
      <c r="K50" s="313">
        <f t="shared" si="10"/>
        <v>1</v>
      </c>
      <c r="L50" s="1128"/>
      <c r="M50" s="313">
        <f t="shared" si="11"/>
        <v>1</v>
      </c>
      <c r="N50" s="1128"/>
      <c r="O50" s="313">
        <f t="shared" si="12"/>
        <v>1</v>
      </c>
      <c r="P50" s="1128"/>
      <c r="Q50" s="313">
        <f t="shared" si="13"/>
        <v>0.2</v>
      </c>
      <c r="R50" s="1124">
        <f t="shared" si="14"/>
        <v>0</v>
      </c>
      <c r="S50" s="698">
        <f t="shared" si="5"/>
        <v>0</v>
      </c>
    </row>
    <row r="51" spans="1:19">
      <c r="A51" s="3399"/>
      <c r="B51" s="348"/>
      <c r="C51" s="313">
        <f t="shared" si="6"/>
        <v>1</v>
      </c>
      <c r="D51" s="1128"/>
      <c r="E51" s="313">
        <f t="shared" si="7"/>
        <v>0.05</v>
      </c>
      <c r="F51" s="1128"/>
      <c r="G51" s="313">
        <f t="shared" si="8"/>
        <v>0.1</v>
      </c>
      <c r="H51" s="1128"/>
      <c r="I51" s="313">
        <f t="shared" si="9"/>
        <v>1</v>
      </c>
      <c r="J51" s="1128"/>
      <c r="K51" s="313">
        <f t="shared" si="10"/>
        <v>1</v>
      </c>
      <c r="L51" s="1128"/>
      <c r="M51" s="313">
        <f t="shared" si="11"/>
        <v>1</v>
      </c>
      <c r="N51" s="1128"/>
      <c r="O51" s="313">
        <f t="shared" si="12"/>
        <v>1</v>
      </c>
      <c r="P51" s="1128"/>
      <c r="Q51" s="313">
        <f t="shared" si="13"/>
        <v>0.2</v>
      </c>
      <c r="R51" s="1124">
        <f t="shared" si="14"/>
        <v>0</v>
      </c>
      <c r="S51" s="698">
        <f t="shared" si="5"/>
        <v>0</v>
      </c>
    </row>
    <row r="52" spans="1:19">
      <c r="A52" s="3399"/>
      <c r="B52" s="348"/>
      <c r="C52" s="313">
        <f t="shared" si="6"/>
        <v>1</v>
      </c>
      <c r="D52" s="1128"/>
      <c r="E52" s="313">
        <f t="shared" si="7"/>
        <v>0.05</v>
      </c>
      <c r="F52" s="1128"/>
      <c r="G52" s="313">
        <f t="shared" si="8"/>
        <v>0.1</v>
      </c>
      <c r="H52" s="1128"/>
      <c r="I52" s="313">
        <f t="shared" si="9"/>
        <v>1</v>
      </c>
      <c r="J52" s="1128"/>
      <c r="K52" s="313">
        <f t="shared" si="10"/>
        <v>1</v>
      </c>
      <c r="L52" s="1128"/>
      <c r="M52" s="313">
        <f t="shared" si="11"/>
        <v>1</v>
      </c>
      <c r="N52" s="1128"/>
      <c r="O52" s="313">
        <f t="shared" si="12"/>
        <v>1</v>
      </c>
      <c r="P52" s="1128"/>
      <c r="Q52" s="313">
        <f t="shared" si="13"/>
        <v>0.2</v>
      </c>
      <c r="R52" s="1124">
        <f t="shared" si="14"/>
        <v>0</v>
      </c>
      <c r="S52" s="698">
        <f t="shared" si="5"/>
        <v>0</v>
      </c>
    </row>
    <row r="53" spans="1:19">
      <c r="A53" s="3399"/>
      <c r="B53" s="348"/>
      <c r="C53" s="313">
        <f t="shared" si="6"/>
        <v>1</v>
      </c>
      <c r="D53" s="1128"/>
      <c r="E53" s="313">
        <f t="shared" si="7"/>
        <v>0.05</v>
      </c>
      <c r="F53" s="1128"/>
      <c r="G53" s="313">
        <f t="shared" si="8"/>
        <v>0.1</v>
      </c>
      <c r="H53" s="1128"/>
      <c r="I53" s="313">
        <f t="shared" si="9"/>
        <v>1</v>
      </c>
      <c r="J53" s="1128"/>
      <c r="K53" s="313">
        <f t="shared" si="10"/>
        <v>1</v>
      </c>
      <c r="L53" s="1128"/>
      <c r="M53" s="313">
        <f t="shared" si="11"/>
        <v>1</v>
      </c>
      <c r="N53" s="1128"/>
      <c r="O53" s="313">
        <f t="shared" si="12"/>
        <v>1</v>
      </c>
      <c r="P53" s="1128"/>
      <c r="Q53" s="313">
        <f t="shared" si="13"/>
        <v>0.2</v>
      </c>
      <c r="R53" s="1124">
        <f t="shared" si="14"/>
        <v>0</v>
      </c>
      <c r="S53" s="698">
        <f t="shared" si="5"/>
        <v>0</v>
      </c>
    </row>
    <row r="54" spans="1:19">
      <c r="A54" s="3399"/>
      <c r="B54" s="348"/>
      <c r="C54" s="313">
        <f t="shared" si="6"/>
        <v>1</v>
      </c>
      <c r="D54" s="1128"/>
      <c r="E54" s="313">
        <f t="shared" si="7"/>
        <v>0.05</v>
      </c>
      <c r="F54" s="1128"/>
      <c r="G54" s="313">
        <f t="shared" si="8"/>
        <v>0.1</v>
      </c>
      <c r="H54" s="1128"/>
      <c r="I54" s="313">
        <f t="shared" si="9"/>
        <v>1</v>
      </c>
      <c r="J54" s="1128"/>
      <c r="K54" s="313">
        <f t="shared" si="10"/>
        <v>1</v>
      </c>
      <c r="L54" s="1128"/>
      <c r="M54" s="313">
        <f t="shared" si="11"/>
        <v>1</v>
      </c>
      <c r="N54" s="1128"/>
      <c r="O54" s="313">
        <f t="shared" si="12"/>
        <v>1</v>
      </c>
      <c r="P54" s="1128"/>
      <c r="Q54" s="313">
        <f t="shared" si="13"/>
        <v>0.2</v>
      </c>
      <c r="R54" s="1124">
        <f t="shared" si="14"/>
        <v>0</v>
      </c>
      <c r="S54" s="698">
        <f t="shared" si="5"/>
        <v>0</v>
      </c>
    </row>
    <row r="55" spans="1:19">
      <c r="A55" s="3399"/>
      <c r="B55" s="348"/>
      <c r="C55" s="313">
        <f t="shared" si="6"/>
        <v>1</v>
      </c>
      <c r="D55" s="1128"/>
      <c r="E55" s="313">
        <f t="shared" si="7"/>
        <v>0.05</v>
      </c>
      <c r="F55" s="1128"/>
      <c r="G55" s="313">
        <f t="shared" si="8"/>
        <v>0.1</v>
      </c>
      <c r="H55" s="1128"/>
      <c r="I55" s="313">
        <f t="shared" si="9"/>
        <v>1</v>
      </c>
      <c r="J55" s="1128"/>
      <c r="K55" s="313">
        <f t="shared" si="10"/>
        <v>1</v>
      </c>
      <c r="L55" s="1128"/>
      <c r="M55" s="313">
        <f t="shared" si="11"/>
        <v>1</v>
      </c>
      <c r="N55" s="1128"/>
      <c r="O55" s="313">
        <f t="shared" si="12"/>
        <v>1</v>
      </c>
      <c r="P55" s="1128"/>
      <c r="Q55" s="313">
        <f t="shared" si="13"/>
        <v>0.2</v>
      </c>
      <c r="R55" s="1124">
        <f t="shared" si="14"/>
        <v>0</v>
      </c>
      <c r="S55" s="698">
        <f t="shared" si="5"/>
        <v>0</v>
      </c>
    </row>
    <row r="56" spans="1:19">
      <c r="A56" s="3399"/>
      <c r="B56" s="348"/>
      <c r="C56" s="313">
        <f t="shared" si="6"/>
        <v>1</v>
      </c>
      <c r="D56" s="1128"/>
      <c r="E56" s="313">
        <f t="shared" si="7"/>
        <v>0.05</v>
      </c>
      <c r="F56" s="1128"/>
      <c r="G56" s="313">
        <f t="shared" si="8"/>
        <v>0.1</v>
      </c>
      <c r="H56" s="1128"/>
      <c r="I56" s="313">
        <f t="shared" si="9"/>
        <v>1</v>
      </c>
      <c r="J56" s="1128"/>
      <c r="K56" s="313">
        <f t="shared" si="10"/>
        <v>1</v>
      </c>
      <c r="L56" s="1128"/>
      <c r="M56" s="313">
        <f t="shared" si="11"/>
        <v>1</v>
      </c>
      <c r="N56" s="1128"/>
      <c r="O56" s="313">
        <f t="shared" si="12"/>
        <v>1</v>
      </c>
      <c r="P56" s="1128"/>
      <c r="Q56" s="313">
        <f t="shared" si="13"/>
        <v>0.2</v>
      </c>
      <c r="R56" s="1124">
        <f t="shared" si="14"/>
        <v>0</v>
      </c>
      <c r="S56" s="698">
        <f t="shared" si="5"/>
        <v>0</v>
      </c>
    </row>
    <row r="57" spans="1:19">
      <c r="A57" s="3399"/>
      <c r="B57" s="348"/>
      <c r="C57" s="313">
        <f t="shared" si="6"/>
        <v>1</v>
      </c>
      <c r="D57" s="1128"/>
      <c r="E57" s="313">
        <f t="shared" si="7"/>
        <v>0.05</v>
      </c>
      <c r="F57" s="1128"/>
      <c r="G57" s="313">
        <f t="shared" si="8"/>
        <v>0.1</v>
      </c>
      <c r="H57" s="1128"/>
      <c r="I57" s="313">
        <f t="shared" si="9"/>
        <v>1</v>
      </c>
      <c r="J57" s="1128"/>
      <c r="K57" s="313">
        <f t="shared" si="10"/>
        <v>1</v>
      </c>
      <c r="L57" s="1128"/>
      <c r="M57" s="313">
        <f t="shared" si="11"/>
        <v>1</v>
      </c>
      <c r="N57" s="1128"/>
      <c r="O57" s="313">
        <f t="shared" si="12"/>
        <v>1</v>
      </c>
      <c r="P57" s="1128"/>
      <c r="Q57" s="313">
        <f t="shared" si="13"/>
        <v>0.2</v>
      </c>
      <c r="R57" s="1124">
        <f t="shared" si="14"/>
        <v>0</v>
      </c>
      <c r="S57" s="698">
        <f t="shared" si="5"/>
        <v>0</v>
      </c>
    </row>
    <row r="58" spans="1:19">
      <c r="A58" s="3399"/>
      <c r="B58" s="348"/>
      <c r="C58" s="313">
        <f t="shared" si="6"/>
        <v>1</v>
      </c>
      <c r="D58" s="1128"/>
      <c r="E58" s="313">
        <f t="shared" si="7"/>
        <v>0.05</v>
      </c>
      <c r="F58" s="1128"/>
      <c r="G58" s="313">
        <f t="shared" si="8"/>
        <v>0.1</v>
      </c>
      <c r="H58" s="1128"/>
      <c r="I58" s="313">
        <f t="shared" si="9"/>
        <v>1</v>
      </c>
      <c r="J58" s="1128"/>
      <c r="K58" s="313">
        <f t="shared" si="10"/>
        <v>1</v>
      </c>
      <c r="L58" s="1128"/>
      <c r="M58" s="313">
        <f t="shared" si="11"/>
        <v>1</v>
      </c>
      <c r="N58" s="1128"/>
      <c r="O58" s="313">
        <f t="shared" si="12"/>
        <v>1</v>
      </c>
      <c r="P58" s="1128"/>
      <c r="Q58" s="313">
        <f t="shared" si="13"/>
        <v>0.2</v>
      </c>
      <c r="R58" s="1124">
        <f t="shared" si="14"/>
        <v>0</v>
      </c>
      <c r="S58" s="698">
        <f t="shared" si="5"/>
        <v>0</v>
      </c>
    </row>
    <row r="59" spans="1:19">
      <c r="A59" s="3399"/>
      <c r="B59" s="348"/>
      <c r="C59" s="313">
        <f t="shared" si="6"/>
        <v>1</v>
      </c>
      <c r="D59" s="1128"/>
      <c r="E59" s="313">
        <f t="shared" si="7"/>
        <v>0.05</v>
      </c>
      <c r="F59" s="1128"/>
      <c r="G59" s="313">
        <f t="shared" si="8"/>
        <v>0.1</v>
      </c>
      <c r="H59" s="1128"/>
      <c r="I59" s="313">
        <f t="shared" si="9"/>
        <v>1</v>
      </c>
      <c r="J59" s="1128"/>
      <c r="K59" s="313">
        <f t="shared" si="10"/>
        <v>1</v>
      </c>
      <c r="L59" s="1128"/>
      <c r="M59" s="313">
        <f t="shared" si="11"/>
        <v>1</v>
      </c>
      <c r="N59" s="1128"/>
      <c r="O59" s="313">
        <f t="shared" si="12"/>
        <v>1</v>
      </c>
      <c r="P59" s="1128"/>
      <c r="Q59" s="313">
        <f t="shared" si="13"/>
        <v>0.2</v>
      </c>
      <c r="R59" s="1124">
        <f t="shared" si="14"/>
        <v>0</v>
      </c>
      <c r="S59" s="698">
        <f t="shared" si="5"/>
        <v>0</v>
      </c>
    </row>
    <row r="60" spans="1:19">
      <c r="A60" s="3399"/>
      <c r="B60" s="348"/>
      <c r="C60" s="313">
        <f t="shared" si="6"/>
        <v>1</v>
      </c>
      <c r="D60" s="1128"/>
      <c r="E60" s="313">
        <f t="shared" si="7"/>
        <v>0.05</v>
      </c>
      <c r="F60" s="1128"/>
      <c r="G60" s="313">
        <f t="shared" si="8"/>
        <v>0.1</v>
      </c>
      <c r="H60" s="1128"/>
      <c r="I60" s="313">
        <f t="shared" si="9"/>
        <v>1</v>
      </c>
      <c r="J60" s="1128"/>
      <c r="K60" s="313">
        <f t="shared" si="10"/>
        <v>1</v>
      </c>
      <c r="L60" s="1128"/>
      <c r="M60" s="313">
        <f t="shared" si="11"/>
        <v>1</v>
      </c>
      <c r="N60" s="1128"/>
      <c r="O60" s="313">
        <f t="shared" si="12"/>
        <v>1</v>
      </c>
      <c r="P60" s="1128"/>
      <c r="Q60" s="313">
        <f t="shared" si="13"/>
        <v>0.2</v>
      </c>
      <c r="R60" s="1124">
        <f t="shared" si="14"/>
        <v>0</v>
      </c>
      <c r="S60" s="698">
        <f t="shared" si="5"/>
        <v>0</v>
      </c>
    </row>
    <row r="61" spans="1:19">
      <c r="A61" s="3399"/>
      <c r="B61" s="348"/>
      <c r="C61" s="313">
        <f t="shared" si="6"/>
        <v>1</v>
      </c>
      <c r="D61" s="1128"/>
      <c r="E61" s="313">
        <f t="shared" si="7"/>
        <v>0.05</v>
      </c>
      <c r="F61" s="1128"/>
      <c r="G61" s="313">
        <f t="shared" si="8"/>
        <v>0.1</v>
      </c>
      <c r="H61" s="1128"/>
      <c r="I61" s="313">
        <f t="shared" si="9"/>
        <v>1</v>
      </c>
      <c r="J61" s="1128"/>
      <c r="K61" s="313">
        <f t="shared" si="10"/>
        <v>1</v>
      </c>
      <c r="L61" s="1128"/>
      <c r="M61" s="313">
        <f t="shared" si="11"/>
        <v>1</v>
      </c>
      <c r="N61" s="1128"/>
      <c r="O61" s="313">
        <f t="shared" si="12"/>
        <v>1</v>
      </c>
      <c r="P61" s="1128"/>
      <c r="Q61" s="313">
        <f t="shared" si="13"/>
        <v>0.2</v>
      </c>
      <c r="R61" s="1124">
        <f t="shared" si="14"/>
        <v>0</v>
      </c>
      <c r="S61" s="698">
        <f t="shared" si="5"/>
        <v>0</v>
      </c>
    </row>
    <row r="62" spans="1:19">
      <c r="A62" s="3399"/>
      <c r="B62" s="348"/>
      <c r="C62" s="313">
        <f t="shared" si="6"/>
        <v>1</v>
      </c>
      <c r="D62" s="1128"/>
      <c r="E62" s="313">
        <f t="shared" si="7"/>
        <v>0.05</v>
      </c>
      <c r="F62" s="1128"/>
      <c r="G62" s="313">
        <f t="shared" si="8"/>
        <v>0.1</v>
      </c>
      <c r="H62" s="1128"/>
      <c r="I62" s="313">
        <f t="shared" si="9"/>
        <v>1</v>
      </c>
      <c r="J62" s="1128"/>
      <c r="K62" s="313">
        <f t="shared" si="10"/>
        <v>1</v>
      </c>
      <c r="L62" s="1128"/>
      <c r="M62" s="313">
        <f t="shared" si="11"/>
        <v>1</v>
      </c>
      <c r="N62" s="1128"/>
      <c r="O62" s="313">
        <f t="shared" si="12"/>
        <v>1</v>
      </c>
      <c r="P62" s="1128"/>
      <c r="Q62" s="313">
        <f t="shared" si="13"/>
        <v>0.2</v>
      </c>
      <c r="R62" s="1124">
        <f t="shared" si="14"/>
        <v>0</v>
      </c>
      <c r="S62" s="698">
        <f t="shared" si="5"/>
        <v>0</v>
      </c>
    </row>
    <row r="63" spans="1:19">
      <c r="A63" s="3399"/>
      <c r="B63" s="348"/>
      <c r="C63" s="313">
        <f t="shared" si="6"/>
        <v>1</v>
      </c>
      <c r="D63" s="1128"/>
      <c r="E63" s="313">
        <f t="shared" si="7"/>
        <v>0.05</v>
      </c>
      <c r="F63" s="1128"/>
      <c r="G63" s="313">
        <f t="shared" si="8"/>
        <v>0.1</v>
      </c>
      <c r="H63" s="1128"/>
      <c r="I63" s="313">
        <f t="shared" si="9"/>
        <v>1</v>
      </c>
      <c r="J63" s="1128"/>
      <c r="K63" s="313">
        <f t="shared" si="10"/>
        <v>1</v>
      </c>
      <c r="L63" s="1128"/>
      <c r="M63" s="313">
        <f t="shared" si="11"/>
        <v>1</v>
      </c>
      <c r="N63" s="1128"/>
      <c r="O63" s="313">
        <f t="shared" si="12"/>
        <v>1</v>
      </c>
      <c r="P63" s="1128"/>
      <c r="Q63" s="313">
        <f t="shared" si="13"/>
        <v>0.2</v>
      </c>
      <c r="R63" s="1124">
        <f t="shared" si="14"/>
        <v>0</v>
      </c>
      <c r="S63" s="698">
        <f t="shared" si="5"/>
        <v>0</v>
      </c>
    </row>
    <row r="64" spans="1:19">
      <c r="A64" s="3399"/>
      <c r="B64" s="348"/>
      <c r="C64" s="313">
        <f t="shared" si="6"/>
        <v>1</v>
      </c>
      <c r="D64" s="1128"/>
      <c r="E64" s="313">
        <f t="shared" si="7"/>
        <v>0.05</v>
      </c>
      <c r="F64" s="1128"/>
      <c r="G64" s="313">
        <f t="shared" si="8"/>
        <v>0.1</v>
      </c>
      <c r="H64" s="1128"/>
      <c r="I64" s="313">
        <f t="shared" si="9"/>
        <v>1</v>
      </c>
      <c r="J64" s="1128"/>
      <c r="K64" s="313">
        <f t="shared" si="10"/>
        <v>1</v>
      </c>
      <c r="L64" s="1128"/>
      <c r="M64" s="313">
        <f t="shared" si="11"/>
        <v>1</v>
      </c>
      <c r="N64" s="1128"/>
      <c r="O64" s="313">
        <f t="shared" si="12"/>
        <v>1</v>
      </c>
      <c r="P64" s="1128"/>
      <c r="Q64" s="313">
        <f t="shared" si="13"/>
        <v>0.2</v>
      </c>
      <c r="R64" s="1124">
        <f t="shared" si="14"/>
        <v>0</v>
      </c>
      <c r="S64" s="698">
        <f t="shared" si="5"/>
        <v>0</v>
      </c>
    </row>
    <row r="65" spans="1:19">
      <c r="A65" s="3399"/>
      <c r="B65" s="348"/>
      <c r="C65" s="313">
        <f t="shared" si="6"/>
        <v>1</v>
      </c>
      <c r="D65" s="1128"/>
      <c r="E65" s="313">
        <f t="shared" si="7"/>
        <v>0.05</v>
      </c>
      <c r="F65" s="1128"/>
      <c r="G65" s="313">
        <f t="shared" si="8"/>
        <v>0.1</v>
      </c>
      <c r="H65" s="1128"/>
      <c r="I65" s="313">
        <f t="shared" si="9"/>
        <v>1</v>
      </c>
      <c r="J65" s="1128"/>
      <c r="K65" s="313">
        <f t="shared" si="10"/>
        <v>1</v>
      </c>
      <c r="L65" s="1128"/>
      <c r="M65" s="313">
        <f t="shared" si="11"/>
        <v>1</v>
      </c>
      <c r="N65" s="1128"/>
      <c r="O65" s="313">
        <f t="shared" si="12"/>
        <v>1</v>
      </c>
      <c r="P65" s="1128"/>
      <c r="Q65" s="313">
        <f t="shared" si="13"/>
        <v>0.2</v>
      </c>
      <c r="R65" s="1124">
        <f t="shared" si="14"/>
        <v>0</v>
      </c>
      <c r="S65" s="698">
        <f t="shared" si="5"/>
        <v>0</v>
      </c>
    </row>
    <row r="66" spans="1:19">
      <c r="A66" s="3399"/>
      <c r="B66" s="348"/>
      <c r="C66" s="313">
        <f t="shared" si="6"/>
        <v>1</v>
      </c>
      <c r="D66" s="1128"/>
      <c r="E66" s="313">
        <f t="shared" si="7"/>
        <v>0.05</v>
      </c>
      <c r="F66" s="1128"/>
      <c r="G66" s="313">
        <f t="shared" si="8"/>
        <v>0.1</v>
      </c>
      <c r="H66" s="1128"/>
      <c r="I66" s="313">
        <f t="shared" si="9"/>
        <v>1</v>
      </c>
      <c r="J66" s="1128"/>
      <c r="K66" s="313">
        <f t="shared" si="10"/>
        <v>1</v>
      </c>
      <c r="L66" s="1128"/>
      <c r="M66" s="313">
        <f t="shared" si="11"/>
        <v>1</v>
      </c>
      <c r="N66" s="1128"/>
      <c r="O66" s="313">
        <f t="shared" si="12"/>
        <v>1</v>
      </c>
      <c r="P66" s="1128"/>
      <c r="Q66" s="313">
        <f t="shared" si="13"/>
        <v>0.2</v>
      </c>
      <c r="R66" s="1124">
        <f t="shared" si="14"/>
        <v>0</v>
      </c>
      <c r="S66" s="698">
        <f t="shared" si="5"/>
        <v>0</v>
      </c>
    </row>
    <row r="67" spans="1:19">
      <c r="A67" s="3399"/>
      <c r="B67" s="348"/>
      <c r="C67" s="313">
        <f t="shared" si="6"/>
        <v>1</v>
      </c>
      <c r="D67" s="1128"/>
      <c r="E67" s="313">
        <f t="shared" si="7"/>
        <v>0.05</v>
      </c>
      <c r="F67" s="1128"/>
      <c r="G67" s="313">
        <f t="shared" si="8"/>
        <v>0.1</v>
      </c>
      <c r="H67" s="1128"/>
      <c r="I67" s="313">
        <f t="shared" si="9"/>
        <v>1</v>
      </c>
      <c r="J67" s="1128"/>
      <c r="K67" s="313">
        <f t="shared" si="10"/>
        <v>1</v>
      </c>
      <c r="L67" s="1128"/>
      <c r="M67" s="313">
        <f t="shared" si="11"/>
        <v>1</v>
      </c>
      <c r="N67" s="1128"/>
      <c r="O67" s="313">
        <f t="shared" si="12"/>
        <v>1</v>
      </c>
      <c r="P67" s="1128"/>
      <c r="Q67" s="313">
        <f t="shared" si="13"/>
        <v>0.2</v>
      </c>
      <c r="R67" s="1124">
        <f t="shared" si="14"/>
        <v>0</v>
      </c>
      <c r="S67" s="698">
        <f t="shared" si="5"/>
        <v>0</v>
      </c>
    </row>
    <row r="68" spans="1:19">
      <c r="A68" s="3399"/>
      <c r="B68" s="348"/>
      <c r="C68" s="313">
        <f t="shared" si="6"/>
        <v>1</v>
      </c>
      <c r="D68" s="1128"/>
      <c r="E68" s="313">
        <f t="shared" si="7"/>
        <v>0.05</v>
      </c>
      <c r="F68" s="1128"/>
      <c r="G68" s="313">
        <f t="shared" si="8"/>
        <v>0.1</v>
      </c>
      <c r="H68" s="1128"/>
      <c r="I68" s="313">
        <f t="shared" si="9"/>
        <v>1</v>
      </c>
      <c r="J68" s="1128"/>
      <c r="K68" s="313">
        <f t="shared" si="10"/>
        <v>1</v>
      </c>
      <c r="L68" s="1128"/>
      <c r="M68" s="313">
        <f t="shared" si="11"/>
        <v>1</v>
      </c>
      <c r="N68" s="1128"/>
      <c r="O68" s="313">
        <f t="shared" si="12"/>
        <v>1</v>
      </c>
      <c r="P68" s="1128"/>
      <c r="Q68" s="313">
        <f t="shared" si="13"/>
        <v>0.2</v>
      </c>
      <c r="R68" s="1124">
        <f t="shared" si="14"/>
        <v>0</v>
      </c>
      <c r="S68" s="698">
        <f t="shared" si="5"/>
        <v>0</v>
      </c>
    </row>
    <row r="69" spans="1:19">
      <c r="A69" s="3399"/>
      <c r="B69" s="348"/>
      <c r="C69" s="313">
        <f t="shared" si="6"/>
        <v>1</v>
      </c>
      <c r="D69" s="1128"/>
      <c r="E69" s="313">
        <f t="shared" si="7"/>
        <v>0.05</v>
      </c>
      <c r="F69" s="1128"/>
      <c r="G69" s="313">
        <f t="shared" si="8"/>
        <v>0.1</v>
      </c>
      <c r="H69" s="1128"/>
      <c r="I69" s="313">
        <f t="shared" si="9"/>
        <v>1</v>
      </c>
      <c r="J69" s="1128"/>
      <c r="K69" s="313">
        <f t="shared" si="10"/>
        <v>1</v>
      </c>
      <c r="L69" s="1128"/>
      <c r="M69" s="313">
        <f t="shared" si="11"/>
        <v>1</v>
      </c>
      <c r="N69" s="1128"/>
      <c r="O69" s="313">
        <f t="shared" si="12"/>
        <v>1</v>
      </c>
      <c r="P69" s="1128"/>
      <c r="Q69" s="313">
        <f t="shared" si="13"/>
        <v>0.2</v>
      </c>
      <c r="R69" s="1124">
        <f t="shared" si="14"/>
        <v>0</v>
      </c>
      <c r="S69" s="698">
        <f t="shared" si="5"/>
        <v>0</v>
      </c>
    </row>
    <row r="70" spans="1:19">
      <c r="A70" s="3399"/>
      <c r="B70" s="348"/>
      <c r="C70" s="313">
        <f t="shared" si="6"/>
        <v>1</v>
      </c>
      <c r="D70" s="1128"/>
      <c r="E70" s="313">
        <f t="shared" si="7"/>
        <v>0.05</v>
      </c>
      <c r="F70" s="1128"/>
      <c r="G70" s="313">
        <f t="shared" si="8"/>
        <v>0.1</v>
      </c>
      <c r="H70" s="1128"/>
      <c r="I70" s="313">
        <f t="shared" si="9"/>
        <v>1</v>
      </c>
      <c r="J70" s="1128"/>
      <c r="K70" s="313">
        <f t="shared" si="10"/>
        <v>1</v>
      </c>
      <c r="L70" s="1128"/>
      <c r="M70" s="313">
        <f t="shared" si="11"/>
        <v>1</v>
      </c>
      <c r="N70" s="1128"/>
      <c r="O70" s="313">
        <f t="shared" si="12"/>
        <v>1</v>
      </c>
      <c r="P70" s="1128"/>
      <c r="Q70" s="313">
        <f t="shared" si="13"/>
        <v>0.2</v>
      </c>
      <c r="R70" s="1124">
        <f t="shared" si="14"/>
        <v>0</v>
      </c>
      <c r="S70" s="698">
        <f t="shared" si="5"/>
        <v>0</v>
      </c>
    </row>
    <row r="71" spans="1:19">
      <c r="A71" s="3399"/>
      <c r="B71" s="348"/>
      <c r="C71" s="313">
        <f t="shared" si="6"/>
        <v>1</v>
      </c>
      <c r="D71" s="1128"/>
      <c r="E71" s="313">
        <f t="shared" si="7"/>
        <v>0.05</v>
      </c>
      <c r="F71" s="1128"/>
      <c r="G71" s="313">
        <f t="shared" si="8"/>
        <v>0.1</v>
      </c>
      <c r="H71" s="1128"/>
      <c r="I71" s="313">
        <f t="shared" si="9"/>
        <v>1</v>
      </c>
      <c r="J71" s="1128"/>
      <c r="K71" s="313">
        <f t="shared" si="10"/>
        <v>1</v>
      </c>
      <c r="L71" s="1128"/>
      <c r="M71" s="313">
        <f t="shared" si="11"/>
        <v>1</v>
      </c>
      <c r="N71" s="1128"/>
      <c r="O71" s="313">
        <f t="shared" si="12"/>
        <v>1</v>
      </c>
      <c r="P71" s="1128"/>
      <c r="Q71" s="313">
        <f t="shared" si="13"/>
        <v>0.2</v>
      </c>
      <c r="R71" s="1124">
        <f t="shared" si="14"/>
        <v>0</v>
      </c>
      <c r="S71" s="698">
        <f t="shared" si="5"/>
        <v>0</v>
      </c>
    </row>
    <row r="72" spans="1:19">
      <c r="A72" s="3399"/>
      <c r="B72" s="348"/>
      <c r="C72" s="313">
        <f t="shared" si="6"/>
        <v>1</v>
      </c>
      <c r="D72" s="1128"/>
      <c r="E72" s="313">
        <f t="shared" si="7"/>
        <v>0.05</v>
      </c>
      <c r="F72" s="1128"/>
      <c r="G72" s="313">
        <f t="shared" si="8"/>
        <v>0.1</v>
      </c>
      <c r="H72" s="1128"/>
      <c r="I72" s="313">
        <f t="shared" si="9"/>
        <v>1</v>
      </c>
      <c r="J72" s="1128"/>
      <c r="K72" s="313">
        <f t="shared" si="10"/>
        <v>1</v>
      </c>
      <c r="L72" s="1128"/>
      <c r="M72" s="313">
        <f t="shared" si="11"/>
        <v>1</v>
      </c>
      <c r="N72" s="1128"/>
      <c r="O72" s="313">
        <f t="shared" si="12"/>
        <v>1</v>
      </c>
      <c r="P72" s="1128"/>
      <c r="Q72" s="313">
        <f t="shared" si="13"/>
        <v>0.2</v>
      </c>
      <c r="R72" s="1124">
        <f t="shared" si="14"/>
        <v>0</v>
      </c>
      <c r="S72" s="698">
        <f t="shared" si="5"/>
        <v>0</v>
      </c>
    </row>
    <row r="73" spans="1:19">
      <c r="A73" s="3399"/>
      <c r="B73" s="348"/>
      <c r="C73" s="313">
        <f t="shared" si="6"/>
        <v>1</v>
      </c>
      <c r="D73" s="1128"/>
      <c r="E73" s="313">
        <f t="shared" si="7"/>
        <v>0.05</v>
      </c>
      <c r="F73" s="1128"/>
      <c r="G73" s="313">
        <f t="shared" si="8"/>
        <v>0.1</v>
      </c>
      <c r="H73" s="1128"/>
      <c r="I73" s="313">
        <f t="shared" si="9"/>
        <v>1</v>
      </c>
      <c r="J73" s="1128"/>
      <c r="K73" s="313">
        <f t="shared" si="10"/>
        <v>1</v>
      </c>
      <c r="L73" s="1128"/>
      <c r="M73" s="313">
        <f t="shared" si="11"/>
        <v>1</v>
      </c>
      <c r="N73" s="1128"/>
      <c r="O73" s="313">
        <f t="shared" si="12"/>
        <v>1</v>
      </c>
      <c r="P73" s="1128"/>
      <c r="Q73" s="313">
        <f t="shared" si="13"/>
        <v>0.2</v>
      </c>
      <c r="R73" s="1124">
        <f t="shared" si="14"/>
        <v>0</v>
      </c>
      <c r="S73" s="698">
        <f t="shared" si="5"/>
        <v>0</v>
      </c>
    </row>
    <row r="74" spans="1:19">
      <c r="A74" s="3399"/>
      <c r="B74" s="348"/>
      <c r="C74" s="313">
        <f t="shared" si="6"/>
        <v>1</v>
      </c>
      <c r="D74" s="1128"/>
      <c r="E74" s="313">
        <f t="shared" si="7"/>
        <v>0.05</v>
      </c>
      <c r="F74" s="1128"/>
      <c r="G74" s="313">
        <f t="shared" si="8"/>
        <v>0.1</v>
      </c>
      <c r="H74" s="1128"/>
      <c r="I74" s="313">
        <f t="shared" si="9"/>
        <v>1</v>
      </c>
      <c r="J74" s="1128"/>
      <c r="K74" s="313">
        <f t="shared" si="10"/>
        <v>1</v>
      </c>
      <c r="L74" s="1128"/>
      <c r="M74" s="313">
        <f t="shared" si="11"/>
        <v>1</v>
      </c>
      <c r="N74" s="1128"/>
      <c r="O74" s="313">
        <f t="shared" si="12"/>
        <v>1</v>
      </c>
      <c r="P74" s="1128"/>
      <c r="Q74" s="313">
        <f t="shared" si="13"/>
        <v>0.2</v>
      </c>
      <c r="R74" s="1124">
        <f t="shared" si="14"/>
        <v>0</v>
      </c>
      <c r="S74" s="698">
        <f t="shared" si="5"/>
        <v>0</v>
      </c>
    </row>
    <row r="75" spans="1:19">
      <c r="A75" s="3399"/>
      <c r="B75" s="348"/>
      <c r="C75" s="313">
        <f t="shared" si="6"/>
        <v>1</v>
      </c>
      <c r="D75" s="1128"/>
      <c r="E75" s="313">
        <f t="shared" si="7"/>
        <v>0.05</v>
      </c>
      <c r="F75" s="1128"/>
      <c r="G75" s="313">
        <f t="shared" si="8"/>
        <v>0.1</v>
      </c>
      <c r="H75" s="1128"/>
      <c r="I75" s="313">
        <f t="shared" si="9"/>
        <v>1</v>
      </c>
      <c r="J75" s="1128"/>
      <c r="K75" s="313">
        <f t="shared" si="10"/>
        <v>1</v>
      </c>
      <c r="L75" s="1128"/>
      <c r="M75" s="313">
        <f t="shared" si="11"/>
        <v>1</v>
      </c>
      <c r="N75" s="1128"/>
      <c r="O75" s="313">
        <f t="shared" si="12"/>
        <v>1</v>
      </c>
      <c r="P75" s="1128"/>
      <c r="Q75" s="313">
        <f t="shared" si="13"/>
        <v>0.2</v>
      </c>
      <c r="R75" s="1124">
        <f t="shared" si="14"/>
        <v>0</v>
      </c>
      <c r="S75" s="698">
        <f t="shared" si="5"/>
        <v>0</v>
      </c>
    </row>
    <row r="76" spans="1:19">
      <c r="A76" s="3399"/>
      <c r="B76" s="348"/>
      <c r="C76" s="313">
        <f t="shared" si="6"/>
        <v>1</v>
      </c>
      <c r="D76" s="1128"/>
      <c r="E76" s="313">
        <f t="shared" si="7"/>
        <v>0.05</v>
      </c>
      <c r="F76" s="1128"/>
      <c r="G76" s="313">
        <f t="shared" si="8"/>
        <v>0.1</v>
      </c>
      <c r="H76" s="1128"/>
      <c r="I76" s="313">
        <f t="shared" si="9"/>
        <v>1</v>
      </c>
      <c r="J76" s="1128"/>
      <c r="K76" s="313">
        <f t="shared" si="10"/>
        <v>1</v>
      </c>
      <c r="L76" s="1128"/>
      <c r="M76" s="313">
        <f t="shared" si="11"/>
        <v>1</v>
      </c>
      <c r="N76" s="1128"/>
      <c r="O76" s="313">
        <f t="shared" si="12"/>
        <v>1</v>
      </c>
      <c r="P76" s="1128"/>
      <c r="Q76" s="313">
        <f t="shared" si="13"/>
        <v>0.2</v>
      </c>
      <c r="R76" s="1124">
        <f t="shared" si="14"/>
        <v>0</v>
      </c>
      <c r="S76" s="698">
        <f t="shared" si="5"/>
        <v>0</v>
      </c>
    </row>
    <row r="77" spans="1:19">
      <c r="A77" s="3399"/>
      <c r="B77" s="348"/>
      <c r="C77" s="313">
        <f t="shared" si="6"/>
        <v>1</v>
      </c>
      <c r="D77" s="1128"/>
      <c r="E77" s="313">
        <f t="shared" si="7"/>
        <v>0.05</v>
      </c>
      <c r="F77" s="1128"/>
      <c r="G77" s="313">
        <f t="shared" si="8"/>
        <v>0.1</v>
      </c>
      <c r="H77" s="1128"/>
      <c r="I77" s="313">
        <f t="shared" si="9"/>
        <v>1</v>
      </c>
      <c r="J77" s="1128"/>
      <c r="K77" s="313">
        <f t="shared" si="10"/>
        <v>1</v>
      </c>
      <c r="L77" s="1128"/>
      <c r="M77" s="313">
        <f t="shared" si="11"/>
        <v>1</v>
      </c>
      <c r="N77" s="1128"/>
      <c r="O77" s="313">
        <f t="shared" si="12"/>
        <v>1</v>
      </c>
      <c r="P77" s="1128"/>
      <c r="Q77" s="313">
        <f t="shared" si="13"/>
        <v>0.2</v>
      </c>
      <c r="R77" s="1124">
        <f t="shared" si="14"/>
        <v>0</v>
      </c>
      <c r="S77" s="698">
        <f t="shared" si="5"/>
        <v>0</v>
      </c>
    </row>
    <row r="78" spans="1:19">
      <c r="A78" s="3399"/>
      <c r="B78" s="348"/>
      <c r="C78" s="313">
        <f t="shared" si="6"/>
        <v>1</v>
      </c>
      <c r="D78" s="1128"/>
      <c r="E78" s="313">
        <f t="shared" si="7"/>
        <v>0.05</v>
      </c>
      <c r="F78" s="1128"/>
      <c r="G78" s="313">
        <f t="shared" si="8"/>
        <v>0.1</v>
      </c>
      <c r="H78" s="1128"/>
      <c r="I78" s="313">
        <f t="shared" si="9"/>
        <v>1</v>
      </c>
      <c r="J78" s="1128"/>
      <c r="K78" s="313">
        <f t="shared" si="10"/>
        <v>1</v>
      </c>
      <c r="L78" s="1128"/>
      <c r="M78" s="313">
        <f t="shared" si="11"/>
        <v>1</v>
      </c>
      <c r="N78" s="1128"/>
      <c r="O78" s="313">
        <f t="shared" si="12"/>
        <v>1</v>
      </c>
      <c r="P78" s="1128"/>
      <c r="Q78" s="313">
        <f t="shared" si="13"/>
        <v>0.2</v>
      </c>
      <c r="R78" s="1124">
        <f t="shared" si="14"/>
        <v>0</v>
      </c>
      <c r="S78" s="698">
        <f t="shared" si="5"/>
        <v>0</v>
      </c>
    </row>
    <row r="79" spans="1:19">
      <c r="A79" s="3399"/>
      <c r="B79" s="348"/>
      <c r="C79" s="313">
        <f t="shared" si="6"/>
        <v>1</v>
      </c>
      <c r="D79" s="1128"/>
      <c r="E79" s="313">
        <f t="shared" si="7"/>
        <v>0.05</v>
      </c>
      <c r="F79" s="1128"/>
      <c r="G79" s="313">
        <f t="shared" si="8"/>
        <v>0.1</v>
      </c>
      <c r="H79" s="1128"/>
      <c r="I79" s="313">
        <f t="shared" si="9"/>
        <v>1</v>
      </c>
      <c r="J79" s="1128"/>
      <c r="K79" s="313">
        <f t="shared" si="10"/>
        <v>1</v>
      </c>
      <c r="L79" s="1128"/>
      <c r="M79" s="313">
        <f t="shared" si="11"/>
        <v>1</v>
      </c>
      <c r="N79" s="1128"/>
      <c r="O79" s="313">
        <f t="shared" si="12"/>
        <v>1</v>
      </c>
      <c r="P79" s="1128"/>
      <c r="Q79" s="313">
        <f t="shared" si="13"/>
        <v>0.2</v>
      </c>
      <c r="R79" s="1124">
        <f t="shared" si="14"/>
        <v>0</v>
      </c>
      <c r="S79" s="698">
        <f t="shared" si="5"/>
        <v>0</v>
      </c>
    </row>
    <row r="80" spans="1:19">
      <c r="A80" s="3399"/>
      <c r="B80" s="348"/>
      <c r="C80" s="313">
        <f t="shared" si="6"/>
        <v>1</v>
      </c>
      <c r="D80" s="1128"/>
      <c r="E80" s="313">
        <f t="shared" si="7"/>
        <v>0.05</v>
      </c>
      <c r="F80" s="1128"/>
      <c r="G80" s="313">
        <f t="shared" si="8"/>
        <v>0.1</v>
      </c>
      <c r="H80" s="1128"/>
      <c r="I80" s="313">
        <f t="shared" si="9"/>
        <v>1</v>
      </c>
      <c r="J80" s="1128"/>
      <c r="K80" s="313">
        <f t="shared" si="10"/>
        <v>1</v>
      </c>
      <c r="L80" s="1128"/>
      <c r="M80" s="313">
        <f t="shared" si="11"/>
        <v>1</v>
      </c>
      <c r="N80" s="1128"/>
      <c r="O80" s="313">
        <f t="shared" si="12"/>
        <v>1</v>
      </c>
      <c r="P80" s="1128"/>
      <c r="Q80" s="313">
        <f t="shared" si="13"/>
        <v>0.2</v>
      </c>
      <c r="R80" s="1124">
        <f t="shared" si="14"/>
        <v>0</v>
      </c>
      <c r="S80" s="698">
        <f t="shared" si="5"/>
        <v>0</v>
      </c>
    </row>
    <row r="81" spans="1:19">
      <c r="A81" s="3399"/>
      <c r="B81" s="348"/>
      <c r="C81" s="313">
        <f t="shared" si="6"/>
        <v>1</v>
      </c>
      <c r="D81" s="1128"/>
      <c r="E81" s="313">
        <f t="shared" si="7"/>
        <v>0.05</v>
      </c>
      <c r="F81" s="1128"/>
      <c r="G81" s="313">
        <f t="shared" si="8"/>
        <v>0.1</v>
      </c>
      <c r="H81" s="1128"/>
      <c r="I81" s="313">
        <f t="shared" si="9"/>
        <v>1</v>
      </c>
      <c r="J81" s="1128"/>
      <c r="K81" s="313">
        <f t="shared" si="10"/>
        <v>1</v>
      </c>
      <c r="L81" s="1128"/>
      <c r="M81" s="313">
        <f t="shared" si="11"/>
        <v>1</v>
      </c>
      <c r="N81" s="1128"/>
      <c r="O81" s="313">
        <f t="shared" si="12"/>
        <v>1</v>
      </c>
      <c r="P81" s="1128"/>
      <c r="Q81" s="313">
        <f t="shared" si="13"/>
        <v>0.2</v>
      </c>
      <c r="R81" s="1124">
        <f t="shared" si="14"/>
        <v>0</v>
      </c>
      <c r="S81" s="698">
        <f t="shared" si="5"/>
        <v>0</v>
      </c>
    </row>
    <row r="82" spans="1:19">
      <c r="A82" s="3399"/>
      <c r="B82" s="348"/>
      <c r="C82" s="313">
        <f t="shared" si="6"/>
        <v>1</v>
      </c>
      <c r="D82" s="1128"/>
      <c r="E82" s="313">
        <f t="shared" si="7"/>
        <v>0.05</v>
      </c>
      <c r="F82" s="1128"/>
      <c r="G82" s="313">
        <f t="shared" si="8"/>
        <v>0.1</v>
      </c>
      <c r="H82" s="1128"/>
      <c r="I82" s="313">
        <f t="shared" si="9"/>
        <v>1</v>
      </c>
      <c r="J82" s="1128"/>
      <c r="K82" s="313">
        <f t="shared" si="10"/>
        <v>1</v>
      </c>
      <c r="L82" s="1128"/>
      <c r="M82" s="313">
        <f t="shared" si="11"/>
        <v>1</v>
      </c>
      <c r="N82" s="1128"/>
      <c r="O82" s="313">
        <f t="shared" si="12"/>
        <v>1</v>
      </c>
      <c r="P82" s="1128"/>
      <c r="Q82" s="313">
        <f t="shared" si="13"/>
        <v>0.2</v>
      </c>
      <c r="R82" s="1124">
        <f t="shared" si="14"/>
        <v>0</v>
      </c>
      <c r="S82" s="698">
        <f t="shared" si="5"/>
        <v>0</v>
      </c>
    </row>
    <row r="83" spans="1:19">
      <c r="A83" s="3399"/>
      <c r="B83" s="348"/>
      <c r="C83" s="313">
        <f t="shared" si="6"/>
        <v>1</v>
      </c>
      <c r="D83" s="1128"/>
      <c r="E83" s="313">
        <f t="shared" si="7"/>
        <v>0.05</v>
      </c>
      <c r="F83" s="1128"/>
      <c r="G83" s="313">
        <f t="shared" si="8"/>
        <v>0.1</v>
      </c>
      <c r="H83" s="1128"/>
      <c r="I83" s="313">
        <f t="shared" si="9"/>
        <v>1</v>
      </c>
      <c r="J83" s="1128"/>
      <c r="K83" s="313">
        <f t="shared" si="10"/>
        <v>1</v>
      </c>
      <c r="L83" s="1128"/>
      <c r="M83" s="313">
        <f t="shared" si="11"/>
        <v>1</v>
      </c>
      <c r="N83" s="1128"/>
      <c r="O83" s="313">
        <f t="shared" si="12"/>
        <v>1</v>
      </c>
      <c r="P83" s="1128"/>
      <c r="Q83" s="313">
        <f t="shared" si="13"/>
        <v>0.2</v>
      </c>
      <c r="R83" s="1124">
        <f t="shared" si="14"/>
        <v>0</v>
      </c>
      <c r="S83" s="698">
        <f t="shared" si="5"/>
        <v>0</v>
      </c>
    </row>
    <row r="84" spans="1:19">
      <c r="A84" s="3399"/>
      <c r="B84" s="348"/>
      <c r="C84" s="313">
        <f t="shared" si="6"/>
        <v>1</v>
      </c>
      <c r="D84" s="1128"/>
      <c r="E84" s="313">
        <f t="shared" si="7"/>
        <v>0.05</v>
      </c>
      <c r="F84" s="1128"/>
      <c r="G84" s="313">
        <f t="shared" si="8"/>
        <v>0.1</v>
      </c>
      <c r="H84" s="1128"/>
      <c r="I84" s="313">
        <f t="shared" si="9"/>
        <v>1</v>
      </c>
      <c r="J84" s="1128"/>
      <c r="K84" s="313">
        <f t="shared" si="10"/>
        <v>1</v>
      </c>
      <c r="L84" s="1128"/>
      <c r="M84" s="313">
        <f t="shared" si="11"/>
        <v>1</v>
      </c>
      <c r="N84" s="1128"/>
      <c r="O84" s="313">
        <f t="shared" si="12"/>
        <v>1</v>
      </c>
      <c r="P84" s="1128"/>
      <c r="Q84" s="313">
        <f t="shared" si="13"/>
        <v>0.2</v>
      </c>
      <c r="R84" s="1124">
        <f t="shared" si="14"/>
        <v>0</v>
      </c>
      <c r="S84" s="698">
        <f t="shared" si="5"/>
        <v>0</v>
      </c>
    </row>
    <row r="85" spans="1:19">
      <c r="A85" s="3399"/>
      <c r="B85" s="348"/>
      <c r="C85" s="313">
        <f t="shared" si="6"/>
        <v>1</v>
      </c>
      <c r="D85" s="1128"/>
      <c r="E85" s="313">
        <f t="shared" si="7"/>
        <v>0.05</v>
      </c>
      <c r="F85" s="1128"/>
      <c r="G85" s="313">
        <f t="shared" si="8"/>
        <v>0.1</v>
      </c>
      <c r="H85" s="1128"/>
      <c r="I85" s="313">
        <f t="shared" si="9"/>
        <v>1</v>
      </c>
      <c r="J85" s="1128"/>
      <c r="K85" s="313">
        <f t="shared" si="10"/>
        <v>1</v>
      </c>
      <c r="L85" s="1128"/>
      <c r="M85" s="313">
        <f t="shared" si="11"/>
        <v>1</v>
      </c>
      <c r="N85" s="1128"/>
      <c r="O85" s="313">
        <f t="shared" si="12"/>
        <v>1</v>
      </c>
      <c r="P85" s="1128"/>
      <c r="Q85" s="313">
        <f t="shared" si="13"/>
        <v>0.2</v>
      </c>
      <c r="R85" s="1124">
        <f t="shared" si="14"/>
        <v>0</v>
      </c>
      <c r="S85" s="698">
        <f t="shared" si="5"/>
        <v>0</v>
      </c>
    </row>
    <row r="86" spans="1:19">
      <c r="A86" s="3399"/>
      <c r="B86" s="348"/>
      <c r="C86" s="313">
        <f t="shared" si="6"/>
        <v>1</v>
      </c>
      <c r="D86" s="1128"/>
      <c r="E86" s="313">
        <f t="shared" si="7"/>
        <v>0.05</v>
      </c>
      <c r="F86" s="1128"/>
      <c r="G86" s="313">
        <f t="shared" si="8"/>
        <v>0.1</v>
      </c>
      <c r="H86" s="1128"/>
      <c r="I86" s="313">
        <f t="shared" si="9"/>
        <v>1</v>
      </c>
      <c r="J86" s="1128"/>
      <c r="K86" s="313">
        <f t="shared" si="10"/>
        <v>1</v>
      </c>
      <c r="L86" s="1128"/>
      <c r="M86" s="313">
        <f t="shared" si="11"/>
        <v>1</v>
      </c>
      <c r="N86" s="1128"/>
      <c r="O86" s="313">
        <f t="shared" si="12"/>
        <v>1</v>
      </c>
      <c r="P86" s="1128"/>
      <c r="Q86" s="313">
        <f t="shared" si="13"/>
        <v>0.2</v>
      </c>
      <c r="R86" s="1124">
        <f t="shared" si="14"/>
        <v>0</v>
      </c>
      <c r="S86" s="698">
        <f t="shared" si="5"/>
        <v>0</v>
      </c>
    </row>
    <row r="87" spans="1:19">
      <c r="A87" s="3399"/>
      <c r="B87" s="348"/>
      <c r="C87" s="313">
        <f t="shared" si="6"/>
        <v>1</v>
      </c>
      <c r="D87" s="1128"/>
      <c r="E87" s="313">
        <f t="shared" si="7"/>
        <v>0.05</v>
      </c>
      <c r="F87" s="1128"/>
      <c r="G87" s="313">
        <f t="shared" si="8"/>
        <v>0.1</v>
      </c>
      <c r="H87" s="1128"/>
      <c r="I87" s="313">
        <f t="shared" si="9"/>
        <v>1</v>
      </c>
      <c r="J87" s="1128"/>
      <c r="K87" s="313">
        <f t="shared" si="10"/>
        <v>1</v>
      </c>
      <c r="L87" s="1128"/>
      <c r="M87" s="313">
        <f t="shared" si="11"/>
        <v>1</v>
      </c>
      <c r="N87" s="1128"/>
      <c r="O87" s="313">
        <f t="shared" si="12"/>
        <v>1</v>
      </c>
      <c r="P87" s="1128"/>
      <c r="Q87" s="313">
        <f t="shared" si="13"/>
        <v>0.2</v>
      </c>
      <c r="R87" s="1124">
        <f t="shared" si="14"/>
        <v>0</v>
      </c>
      <c r="S87" s="698">
        <f t="shared" si="5"/>
        <v>0</v>
      </c>
    </row>
    <row r="88" spans="1:19">
      <c r="A88" s="3399"/>
      <c r="B88" s="348"/>
      <c r="C88" s="313">
        <f t="shared" si="6"/>
        <v>1</v>
      </c>
      <c r="D88" s="1128"/>
      <c r="E88" s="313">
        <f t="shared" si="7"/>
        <v>0.05</v>
      </c>
      <c r="F88" s="1128"/>
      <c r="G88" s="313">
        <f t="shared" si="8"/>
        <v>0.1</v>
      </c>
      <c r="H88" s="1128"/>
      <c r="I88" s="313">
        <f t="shared" si="9"/>
        <v>1</v>
      </c>
      <c r="J88" s="1128"/>
      <c r="K88" s="313">
        <f t="shared" si="10"/>
        <v>1</v>
      </c>
      <c r="L88" s="1128"/>
      <c r="M88" s="313">
        <f t="shared" si="11"/>
        <v>1</v>
      </c>
      <c r="N88" s="1128"/>
      <c r="O88" s="313">
        <f t="shared" si="12"/>
        <v>1</v>
      </c>
      <c r="P88" s="1128"/>
      <c r="Q88" s="313">
        <f t="shared" si="13"/>
        <v>0.2</v>
      </c>
      <c r="R88" s="1124">
        <f t="shared" si="14"/>
        <v>0</v>
      </c>
      <c r="S88" s="698">
        <f t="shared" ref="S88:S151" si="15">ROUND(R88*B88/10000,0)</f>
        <v>0</v>
      </c>
    </row>
    <row r="89" spans="1:19">
      <c r="A89" s="3399"/>
      <c r="B89" s="348"/>
      <c r="C89" s="313">
        <f t="shared" si="6"/>
        <v>1</v>
      </c>
      <c r="D89" s="1128"/>
      <c r="E89" s="313">
        <f t="shared" si="7"/>
        <v>0.05</v>
      </c>
      <c r="F89" s="1128"/>
      <c r="G89" s="313">
        <f t="shared" si="8"/>
        <v>0.1</v>
      </c>
      <c r="H89" s="1128"/>
      <c r="I89" s="313">
        <f t="shared" si="9"/>
        <v>1</v>
      </c>
      <c r="J89" s="1128"/>
      <c r="K89" s="313">
        <f t="shared" si="10"/>
        <v>1</v>
      </c>
      <c r="L89" s="1128"/>
      <c r="M89" s="313">
        <f t="shared" si="11"/>
        <v>1</v>
      </c>
      <c r="N89" s="1128"/>
      <c r="O89" s="313">
        <f t="shared" si="12"/>
        <v>1</v>
      </c>
      <c r="P89" s="1128"/>
      <c r="Q89" s="313">
        <f t="shared" si="13"/>
        <v>0.2</v>
      </c>
      <c r="R89" s="1124">
        <f t="shared" si="14"/>
        <v>0</v>
      </c>
      <c r="S89" s="698">
        <f t="shared" si="15"/>
        <v>0</v>
      </c>
    </row>
    <row r="90" spans="1:19">
      <c r="A90" s="3399"/>
      <c r="B90" s="348"/>
      <c r="C90" s="313">
        <f t="shared" ref="C90:C153" si="16">IF(B90="",1,(LOOKUP(B90,$3:$3,$4:$4)-LOOKUP($B$24,$3:$3,$4:$4)+100)/100)</f>
        <v>1</v>
      </c>
      <c r="D90" s="1128"/>
      <c r="E90" s="313">
        <f t="shared" ref="E90:E153" si="17">(SUMIF($5:$5,D90,$6:$6)-SUMIF($5:$5,$D$24,$6:$6)+100)/100</f>
        <v>0.05</v>
      </c>
      <c r="F90" s="1128"/>
      <c r="G90" s="313">
        <f t="shared" ref="G90:G153" si="18">(SUMIF($7:$7,F90,$8:$8)-SUMIF($7:$7,$F$24,$8:$8)+100)/100</f>
        <v>0.1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0.2</v>
      </c>
      <c r="R90" s="1124">
        <f t="shared" ref="R90:R153" si="24">IF(B90="",0,ROUND($R$24*C90*E90*G90*I90*K90*M90*O90*Q90,0))</f>
        <v>0</v>
      </c>
      <c r="S90" s="698">
        <f t="shared" si="15"/>
        <v>0</v>
      </c>
    </row>
    <row r="91" spans="1:19">
      <c r="A91" s="3399"/>
      <c r="B91" s="348"/>
      <c r="C91" s="313">
        <f t="shared" si="16"/>
        <v>1</v>
      </c>
      <c r="D91" s="1128"/>
      <c r="E91" s="313">
        <f t="shared" si="17"/>
        <v>0.05</v>
      </c>
      <c r="F91" s="1128"/>
      <c r="G91" s="313">
        <f t="shared" si="18"/>
        <v>0.1</v>
      </c>
      <c r="H91" s="1128"/>
      <c r="I91" s="313">
        <f t="shared" si="19"/>
        <v>1</v>
      </c>
      <c r="J91" s="1128"/>
      <c r="K91" s="313">
        <f t="shared" si="20"/>
        <v>1</v>
      </c>
      <c r="L91" s="1128"/>
      <c r="M91" s="313">
        <f t="shared" si="21"/>
        <v>1</v>
      </c>
      <c r="N91" s="1128"/>
      <c r="O91" s="313">
        <f t="shared" si="22"/>
        <v>1</v>
      </c>
      <c r="P91" s="1128"/>
      <c r="Q91" s="313">
        <f t="shared" si="23"/>
        <v>0.2</v>
      </c>
      <c r="R91" s="1124">
        <f t="shared" si="24"/>
        <v>0</v>
      </c>
      <c r="S91" s="698">
        <f t="shared" si="15"/>
        <v>0</v>
      </c>
    </row>
    <row r="92" spans="1:19">
      <c r="A92" s="3399"/>
      <c r="B92" s="348"/>
      <c r="C92" s="313">
        <f t="shared" si="16"/>
        <v>1</v>
      </c>
      <c r="D92" s="1128"/>
      <c r="E92" s="313">
        <f t="shared" si="17"/>
        <v>0.05</v>
      </c>
      <c r="F92" s="1128"/>
      <c r="G92" s="313">
        <f t="shared" si="18"/>
        <v>0.1</v>
      </c>
      <c r="H92" s="1128"/>
      <c r="I92" s="313">
        <f t="shared" si="19"/>
        <v>1</v>
      </c>
      <c r="J92" s="1128"/>
      <c r="K92" s="313">
        <f t="shared" si="20"/>
        <v>1</v>
      </c>
      <c r="L92" s="1128"/>
      <c r="M92" s="313">
        <f t="shared" si="21"/>
        <v>1</v>
      </c>
      <c r="N92" s="1128"/>
      <c r="O92" s="313">
        <f t="shared" si="22"/>
        <v>1</v>
      </c>
      <c r="P92" s="1128"/>
      <c r="Q92" s="313">
        <f t="shared" si="23"/>
        <v>0.2</v>
      </c>
      <c r="R92" s="1124">
        <f t="shared" si="24"/>
        <v>0</v>
      </c>
      <c r="S92" s="698">
        <f t="shared" si="15"/>
        <v>0</v>
      </c>
    </row>
    <row r="93" spans="1:19">
      <c r="A93" s="3399"/>
      <c r="B93" s="348"/>
      <c r="C93" s="313">
        <f t="shared" si="16"/>
        <v>1</v>
      </c>
      <c r="D93" s="1128"/>
      <c r="E93" s="313">
        <f t="shared" si="17"/>
        <v>0.05</v>
      </c>
      <c r="F93" s="1128"/>
      <c r="G93" s="313">
        <f t="shared" si="18"/>
        <v>0.1</v>
      </c>
      <c r="H93" s="1128"/>
      <c r="I93" s="313">
        <f t="shared" si="19"/>
        <v>1</v>
      </c>
      <c r="J93" s="1128"/>
      <c r="K93" s="313">
        <f t="shared" si="20"/>
        <v>1</v>
      </c>
      <c r="L93" s="1128"/>
      <c r="M93" s="313">
        <f t="shared" si="21"/>
        <v>1</v>
      </c>
      <c r="N93" s="1128"/>
      <c r="O93" s="313">
        <f t="shared" si="22"/>
        <v>1</v>
      </c>
      <c r="P93" s="1128"/>
      <c r="Q93" s="313">
        <f t="shared" si="23"/>
        <v>0.2</v>
      </c>
      <c r="R93" s="1124">
        <f t="shared" si="24"/>
        <v>0</v>
      </c>
      <c r="S93" s="698">
        <f t="shared" si="15"/>
        <v>0</v>
      </c>
    </row>
    <row r="94" spans="1:19">
      <c r="A94" s="3399"/>
      <c r="B94" s="348"/>
      <c r="C94" s="313">
        <f t="shared" si="16"/>
        <v>1</v>
      </c>
      <c r="D94" s="1128"/>
      <c r="E94" s="313">
        <f t="shared" si="17"/>
        <v>0.05</v>
      </c>
      <c r="F94" s="1128"/>
      <c r="G94" s="313">
        <f t="shared" si="18"/>
        <v>0.1</v>
      </c>
      <c r="H94" s="1128"/>
      <c r="I94" s="313">
        <f t="shared" si="19"/>
        <v>1</v>
      </c>
      <c r="J94" s="1128"/>
      <c r="K94" s="313">
        <f t="shared" si="20"/>
        <v>1</v>
      </c>
      <c r="L94" s="1128"/>
      <c r="M94" s="313">
        <f t="shared" si="21"/>
        <v>1</v>
      </c>
      <c r="N94" s="1128"/>
      <c r="O94" s="313">
        <f t="shared" si="22"/>
        <v>1</v>
      </c>
      <c r="P94" s="1128"/>
      <c r="Q94" s="313">
        <f t="shared" si="23"/>
        <v>0.2</v>
      </c>
      <c r="R94" s="1124">
        <f t="shared" si="24"/>
        <v>0</v>
      </c>
      <c r="S94" s="698">
        <f t="shared" si="15"/>
        <v>0</v>
      </c>
    </row>
    <row r="95" spans="1:19">
      <c r="A95" s="3399"/>
      <c r="B95" s="348"/>
      <c r="C95" s="313">
        <f t="shared" si="16"/>
        <v>1</v>
      </c>
      <c r="D95" s="1128"/>
      <c r="E95" s="313">
        <f t="shared" si="17"/>
        <v>0.05</v>
      </c>
      <c r="F95" s="1128"/>
      <c r="G95" s="313">
        <f t="shared" si="18"/>
        <v>0.1</v>
      </c>
      <c r="H95" s="1128"/>
      <c r="I95" s="313">
        <f t="shared" si="19"/>
        <v>1</v>
      </c>
      <c r="J95" s="1128"/>
      <c r="K95" s="313">
        <f t="shared" si="20"/>
        <v>1</v>
      </c>
      <c r="L95" s="1128"/>
      <c r="M95" s="313">
        <f t="shared" si="21"/>
        <v>1</v>
      </c>
      <c r="N95" s="1128"/>
      <c r="O95" s="313">
        <f t="shared" si="22"/>
        <v>1</v>
      </c>
      <c r="P95" s="1128"/>
      <c r="Q95" s="313">
        <f t="shared" si="23"/>
        <v>0.2</v>
      </c>
      <c r="R95" s="1124">
        <f t="shared" si="24"/>
        <v>0</v>
      </c>
      <c r="S95" s="698">
        <f t="shared" si="15"/>
        <v>0</v>
      </c>
    </row>
    <row r="96" spans="1:19">
      <c r="A96" s="3399"/>
      <c r="B96" s="348"/>
      <c r="C96" s="313">
        <f t="shared" si="16"/>
        <v>1</v>
      </c>
      <c r="D96" s="1128"/>
      <c r="E96" s="313">
        <f t="shared" si="17"/>
        <v>0.05</v>
      </c>
      <c r="F96" s="1128"/>
      <c r="G96" s="313">
        <f t="shared" si="18"/>
        <v>0.1</v>
      </c>
      <c r="H96" s="1128"/>
      <c r="I96" s="313">
        <f t="shared" si="19"/>
        <v>1</v>
      </c>
      <c r="J96" s="1128"/>
      <c r="K96" s="313">
        <f t="shared" si="20"/>
        <v>1</v>
      </c>
      <c r="L96" s="1128"/>
      <c r="M96" s="313">
        <f t="shared" si="21"/>
        <v>1</v>
      </c>
      <c r="N96" s="1128"/>
      <c r="O96" s="313">
        <f t="shared" si="22"/>
        <v>1</v>
      </c>
      <c r="P96" s="1128"/>
      <c r="Q96" s="313">
        <f t="shared" si="23"/>
        <v>0.2</v>
      </c>
      <c r="R96" s="1124">
        <f t="shared" si="24"/>
        <v>0</v>
      </c>
      <c r="S96" s="698">
        <f t="shared" si="15"/>
        <v>0</v>
      </c>
    </row>
    <row r="97" spans="1:19">
      <c r="A97" s="3399"/>
      <c r="B97" s="348"/>
      <c r="C97" s="313">
        <f t="shared" si="16"/>
        <v>1</v>
      </c>
      <c r="D97" s="1128"/>
      <c r="E97" s="313">
        <f t="shared" si="17"/>
        <v>0.05</v>
      </c>
      <c r="F97" s="1128"/>
      <c r="G97" s="313">
        <f t="shared" si="18"/>
        <v>0.1</v>
      </c>
      <c r="H97" s="1128"/>
      <c r="I97" s="313">
        <f t="shared" si="19"/>
        <v>1</v>
      </c>
      <c r="J97" s="1128"/>
      <c r="K97" s="313">
        <f t="shared" si="20"/>
        <v>1</v>
      </c>
      <c r="L97" s="1128"/>
      <c r="M97" s="313">
        <f t="shared" si="21"/>
        <v>1</v>
      </c>
      <c r="N97" s="1128"/>
      <c r="O97" s="313">
        <f t="shared" si="22"/>
        <v>1</v>
      </c>
      <c r="P97" s="1128"/>
      <c r="Q97" s="313">
        <f t="shared" si="23"/>
        <v>0.2</v>
      </c>
      <c r="R97" s="1124">
        <f t="shared" si="24"/>
        <v>0</v>
      </c>
      <c r="S97" s="698">
        <f t="shared" si="15"/>
        <v>0</v>
      </c>
    </row>
    <row r="98" spans="1:19">
      <c r="A98" s="3399"/>
      <c r="B98" s="348"/>
      <c r="C98" s="313">
        <f t="shared" si="16"/>
        <v>1</v>
      </c>
      <c r="D98" s="1128"/>
      <c r="E98" s="313">
        <f t="shared" si="17"/>
        <v>0.05</v>
      </c>
      <c r="F98" s="1128"/>
      <c r="G98" s="313">
        <f t="shared" si="18"/>
        <v>0.1</v>
      </c>
      <c r="H98" s="1128"/>
      <c r="I98" s="313">
        <f t="shared" si="19"/>
        <v>1</v>
      </c>
      <c r="J98" s="1128"/>
      <c r="K98" s="313">
        <f t="shared" si="20"/>
        <v>1</v>
      </c>
      <c r="L98" s="1128"/>
      <c r="M98" s="313">
        <f t="shared" si="21"/>
        <v>1</v>
      </c>
      <c r="N98" s="1128"/>
      <c r="O98" s="313">
        <f t="shared" si="22"/>
        <v>1</v>
      </c>
      <c r="P98" s="1128"/>
      <c r="Q98" s="313">
        <f t="shared" si="23"/>
        <v>0.2</v>
      </c>
      <c r="R98" s="1124">
        <f t="shared" si="24"/>
        <v>0</v>
      </c>
      <c r="S98" s="698">
        <f t="shared" si="15"/>
        <v>0</v>
      </c>
    </row>
    <row r="99" spans="1:19">
      <c r="A99" s="3399"/>
      <c r="B99" s="348"/>
      <c r="C99" s="313">
        <f t="shared" si="16"/>
        <v>1</v>
      </c>
      <c r="D99" s="1128"/>
      <c r="E99" s="313">
        <f t="shared" si="17"/>
        <v>0.05</v>
      </c>
      <c r="F99" s="1128"/>
      <c r="G99" s="313">
        <f t="shared" si="18"/>
        <v>0.1</v>
      </c>
      <c r="H99" s="1128"/>
      <c r="I99" s="313">
        <f t="shared" si="19"/>
        <v>1</v>
      </c>
      <c r="J99" s="1128"/>
      <c r="K99" s="313">
        <f t="shared" si="20"/>
        <v>1</v>
      </c>
      <c r="L99" s="1128"/>
      <c r="M99" s="313">
        <f t="shared" si="21"/>
        <v>1</v>
      </c>
      <c r="N99" s="1128"/>
      <c r="O99" s="313">
        <f t="shared" si="22"/>
        <v>1</v>
      </c>
      <c r="P99" s="1128"/>
      <c r="Q99" s="313">
        <f t="shared" si="23"/>
        <v>0.2</v>
      </c>
      <c r="R99" s="1124">
        <f t="shared" si="24"/>
        <v>0</v>
      </c>
      <c r="S99" s="698">
        <f t="shared" si="15"/>
        <v>0</v>
      </c>
    </row>
    <row r="100" spans="1:19">
      <c r="A100" s="3399"/>
      <c r="B100" s="348"/>
      <c r="C100" s="313">
        <f t="shared" si="16"/>
        <v>1</v>
      </c>
      <c r="D100" s="1128"/>
      <c r="E100" s="313">
        <f t="shared" si="17"/>
        <v>0.05</v>
      </c>
      <c r="F100" s="1128"/>
      <c r="G100" s="313">
        <f t="shared" si="18"/>
        <v>0.1</v>
      </c>
      <c r="H100" s="1128"/>
      <c r="I100" s="313">
        <f t="shared" si="19"/>
        <v>1</v>
      </c>
      <c r="J100" s="1128"/>
      <c r="K100" s="313">
        <f t="shared" si="20"/>
        <v>1</v>
      </c>
      <c r="L100" s="1128"/>
      <c r="M100" s="313">
        <f t="shared" si="21"/>
        <v>1</v>
      </c>
      <c r="N100" s="1128"/>
      <c r="O100" s="313">
        <f t="shared" si="22"/>
        <v>1</v>
      </c>
      <c r="P100" s="1128"/>
      <c r="Q100" s="313">
        <f t="shared" si="23"/>
        <v>0.2</v>
      </c>
      <c r="R100" s="1124">
        <f t="shared" si="24"/>
        <v>0</v>
      </c>
      <c r="S100" s="698">
        <f t="shared" si="15"/>
        <v>0</v>
      </c>
    </row>
    <row r="101" spans="1:19">
      <c r="A101" s="3399"/>
      <c r="B101" s="348"/>
      <c r="C101" s="313">
        <f t="shared" si="16"/>
        <v>1</v>
      </c>
      <c r="D101" s="1128"/>
      <c r="E101" s="313">
        <f t="shared" si="17"/>
        <v>0.05</v>
      </c>
      <c r="F101" s="1128"/>
      <c r="G101" s="313">
        <f t="shared" si="18"/>
        <v>0.1</v>
      </c>
      <c r="H101" s="1128"/>
      <c r="I101" s="313">
        <f t="shared" si="19"/>
        <v>1</v>
      </c>
      <c r="J101" s="1128"/>
      <c r="K101" s="313">
        <f t="shared" si="20"/>
        <v>1</v>
      </c>
      <c r="L101" s="1128"/>
      <c r="M101" s="313">
        <f t="shared" si="21"/>
        <v>1</v>
      </c>
      <c r="N101" s="1128"/>
      <c r="O101" s="313">
        <f t="shared" si="22"/>
        <v>1</v>
      </c>
      <c r="P101" s="1128"/>
      <c r="Q101" s="313">
        <f t="shared" si="23"/>
        <v>0.2</v>
      </c>
      <c r="R101" s="1124">
        <f t="shared" si="24"/>
        <v>0</v>
      </c>
      <c r="S101" s="698">
        <f t="shared" si="15"/>
        <v>0</v>
      </c>
    </row>
    <row r="102" spans="1:19">
      <c r="A102" s="3399"/>
      <c r="B102" s="348"/>
      <c r="C102" s="313">
        <f t="shared" si="16"/>
        <v>1</v>
      </c>
      <c r="D102" s="1128"/>
      <c r="E102" s="313">
        <f t="shared" si="17"/>
        <v>0.05</v>
      </c>
      <c r="F102" s="1128"/>
      <c r="G102" s="313">
        <f t="shared" si="18"/>
        <v>0.1</v>
      </c>
      <c r="H102" s="1128"/>
      <c r="I102" s="313">
        <f t="shared" si="19"/>
        <v>1</v>
      </c>
      <c r="J102" s="1128"/>
      <c r="K102" s="313">
        <f t="shared" si="20"/>
        <v>1</v>
      </c>
      <c r="L102" s="1128"/>
      <c r="M102" s="313">
        <f t="shared" si="21"/>
        <v>1</v>
      </c>
      <c r="N102" s="1128"/>
      <c r="O102" s="313">
        <f t="shared" si="22"/>
        <v>1</v>
      </c>
      <c r="P102" s="1128"/>
      <c r="Q102" s="313">
        <f t="shared" si="23"/>
        <v>0.2</v>
      </c>
      <c r="R102" s="1124">
        <f t="shared" si="24"/>
        <v>0</v>
      </c>
      <c r="S102" s="698">
        <f t="shared" si="15"/>
        <v>0</v>
      </c>
    </row>
    <row r="103" spans="1:19">
      <c r="A103" s="3399"/>
      <c r="B103" s="348"/>
      <c r="C103" s="313">
        <f t="shared" si="16"/>
        <v>1</v>
      </c>
      <c r="D103" s="1128"/>
      <c r="E103" s="313">
        <f t="shared" si="17"/>
        <v>0.05</v>
      </c>
      <c r="F103" s="1128"/>
      <c r="G103" s="313">
        <f t="shared" si="18"/>
        <v>0.1</v>
      </c>
      <c r="H103" s="1128"/>
      <c r="I103" s="313">
        <f t="shared" si="19"/>
        <v>1</v>
      </c>
      <c r="J103" s="1128"/>
      <c r="K103" s="313">
        <f t="shared" si="20"/>
        <v>1</v>
      </c>
      <c r="L103" s="1128"/>
      <c r="M103" s="313">
        <f t="shared" si="21"/>
        <v>1</v>
      </c>
      <c r="N103" s="1128"/>
      <c r="O103" s="313">
        <f t="shared" si="22"/>
        <v>1</v>
      </c>
      <c r="P103" s="1128"/>
      <c r="Q103" s="313">
        <f t="shared" si="23"/>
        <v>0.2</v>
      </c>
      <c r="R103" s="1124">
        <f t="shared" si="24"/>
        <v>0</v>
      </c>
      <c r="S103" s="698">
        <f t="shared" si="15"/>
        <v>0</v>
      </c>
    </row>
    <row r="104" spans="1:19">
      <c r="A104" s="3399"/>
      <c r="B104" s="348"/>
      <c r="C104" s="313">
        <f t="shared" si="16"/>
        <v>1</v>
      </c>
      <c r="D104" s="1128"/>
      <c r="E104" s="313">
        <f t="shared" si="17"/>
        <v>0.05</v>
      </c>
      <c r="F104" s="1128"/>
      <c r="G104" s="313">
        <f t="shared" si="18"/>
        <v>0.1</v>
      </c>
      <c r="H104" s="1128"/>
      <c r="I104" s="313">
        <f t="shared" si="19"/>
        <v>1</v>
      </c>
      <c r="J104" s="1128"/>
      <c r="K104" s="313">
        <f t="shared" si="20"/>
        <v>1</v>
      </c>
      <c r="L104" s="1128"/>
      <c r="M104" s="313">
        <f t="shared" si="21"/>
        <v>1</v>
      </c>
      <c r="N104" s="1128"/>
      <c r="O104" s="313">
        <f t="shared" si="22"/>
        <v>1</v>
      </c>
      <c r="P104" s="1128"/>
      <c r="Q104" s="313">
        <f t="shared" si="23"/>
        <v>0.2</v>
      </c>
      <c r="R104" s="1124">
        <f t="shared" si="24"/>
        <v>0</v>
      </c>
      <c r="S104" s="698">
        <f t="shared" si="15"/>
        <v>0</v>
      </c>
    </row>
    <row r="105" spans="1:19">
      <c r="A105" s="3399"/>
      <c r="B105" s="348"/>
      <c r="C105" s="313">
        <f t="shared" si="16"/>
        <v>1</v>
      </c>
      <c r="D105" s="1128"/>
      <c r="E105" s="313">
        <f t="shared" si="17"/>
        <v>0.05</v>
      </c>
      <c r="F105" s="1128"/>
      <c r="G105" s="313">
        <f t="shared" si="18"/>
        <v>0.1</v>
      </c>
      <c r="H105" s="1128"/>
      <c r="I105" s="313">
        <f t="shared" si="19"/>
        <v>1</v>
      </c>
      <c r="J105" s="1128"/>
      <c r="K105" s="313">
        <f t="shared" si="20"/>
        <v>1</v>
      </c>
      <c r="L105" s="1128"/>
      <c r="M105" s="313">
        <f t="shared" si="21"/>
        <v>1</v>
      </c>
      <c r="N105" s="1128"/>
      <c r="O105" s="313">
        <f t="shared" si="22"/>
        <v>1</v>
      </c>
      <c r="P105" s="1128"/>
      <c r="Q105" s="313">
        <f t="shared" si="23"/>
        <v>0.2</v>
      </c>
      <c r="R105" s="1124">
        <f t="shared" si="24"/>
        <v>0</v>
      </c>
      <c r="S105" s="698">
        <f t="shared" si="15"/>
        <v>0</v>
      </c>
    </row>
    <row r="106" spans="1:19">
      <c r="A106" s="3399"/>
      <c r="B106" s="348"/>
      <c r="C106" s="313">
        <f t="shared" si="16"/>
        <v>1</v>
      </c>
      <c r="D106" s="1128"/>
      <c r="E106" s="313">
        <f t="shared" si="17"/>
        <v>0.05</v>
      </c>
      <c r="F106" s="1128"/>
      <c r="G106" s="313">
        <f t="shared" si="18"/>
        <v>0.1</v>
      </c>
      <c r="H106" s="1128"/>
      <c r="I106" s="313">
        <f t="shared" si="19"/>
        <v>1</v>
      </c>
      <c r="J106" s="1128"/>
      <c r="K106" s="313">
        <f t="shared" si="20"/>
        <v>1</v>
      </c>
      <c r="L106" s="1128"/>
      <c r="M106" s="313">
        <f t="shared" si="21"/>
        <v>1</v>
      </c>
      <c r="N106" s="1128"/>
      <c r="O106" s="313">
        <f t="shared" si="22"/>
        <v>1</v>
      </c>
      <c r="P106" s="1128"/>
      <c r="Q106" s="313">
        <f t="shared" si="23"/>
        <v>0.2</v>
      </c>
      <c r="R106" s="1124">
        <f t="shared" si="24"/>
        <v>0</v>
      </c>
      <c r="S106" s="698">
        <f t="shared" si="15"/>
        <v>0</v>
      </c>
    </row>
    <row r="107" spans="1:19">
      <c r="A107" s="3399"/>
      <c r="B107" s="348"/>
      <c r="C107" s="313">
        <f t="shared" si="16"/>
        <v>1</v>
      </c>
      <c r="D107" s="1128"/>
      <c r="E107" s="313">
        <f t="shared" si="17"/>
        <v>0.05</v>
      </c>
      <c r="F107" s="1128"/>
      <c r="G107" s="313">
        <f t="shared" si="18"/>
        <v>0.1</v>
      </c>
      <c r="H107" s="1128"/>
      <c r="I107" s="313">
        <f t="shared" si="19"/>
        <v>1</v>
      </c>
      <c r="J107" s="1128"/>
      <c r="K107" s="313">
        <f t="shared" si="20"/>
        <v>1</v>
      </c>
      <c r="L107" s="1128"/>
      <c r="M107" s="313">
        <f t="shared" si="21"/>
        <v>1</v>
      </c>
      <c r="N107" s="1128"/>
      <c r="O107" s="313">
        <f t="shared" si="22"/>
        <v>1</v>
      </c>
      <c r="P107" s="1128"/>
      <c r="Q107" s="313">
        <f t="shared" si="23"/>
        <v>0.2</v>
      </c>
      <c r="R107" s="1124">
        <f t="shared" si="24"/>
        <v>0</v>
      </c>
      <c r="S107" s="698">
        <f t="shared" si="15"/>
        <v>0</v>
      </c>
    </row>
    <row r="108" spans="1:19">
      <c r="A108" s="3399"/>
      <c r="B108" s="348"/>
      <c r="C108" s="313">
        <f t="shared" si="16"/>
        <v>1</v>
      </c>
      <c r="D108" s="1128"/>
      <c r="E108" s="313">
        <f t="shared" si="17"/>
        <v>0.05</v>
      </c>
      <c r="F108" s="1128"/>
      <c r="G108" s="313">
        <f t="shared" si="18"/>
        <v>0.1</v>
      </c>
      <c r="H108" s="1128"/>
      <c r="I108" s="313">
        <f t="shared" si="19"/>
        <v>1</v>
      </c>
      <c r="J108" s="1128"/>
      <c r="K108" s="313">
        <f t="shared" si="20"/>
        <v>1</v>
      </c>
      <c r="L108" s="1128"/>
      <c r="M108" s="313">
        <f t="shared" si="21"/>
        <v>1</v>
      </c>
      <c r="N108" s="1128"/>
      <c r="O108" s="313">
        <f t="shared" si="22"/>
        <v>1</v>
      </c>
      <c r="P108" s="1128"/>
      <c r="Q108" s="313">
        <f t="shared" si="23"/>
        <v>0.2</v>
      </c>
      <c r="R108" s="1124">
        <f t="shared" si="24"/>
        <v>0</v>
      </c>
      <c r="S108" s="698">
        <f t="shared" si="15"/>
        <v>0</v>
      </c>
    </row>
    <row r="109" spans="1:19">
      <c r="A109" s="3399"/>
      <c r="B109" s="348"/>
      <c r="C109" s="313">
        <f t="shared" si="16"/>
        <v>1</v>
      </c>
      <c r="D109" s="1128"/>
      <c r="E109" s="313">
        <f t="shared" si="17"/>
        <v>0.05</v>
      </c>
      <c r="F109" s="1128"/>
      <c r="G109" s="313">
        <f t="shared" si="18"/>
        <v>0.1</v>
      </c>
      <c r="H109" s="1128"/>
      <c r="I109" s="313">
        <f t="shared" si="19"/>
        <v>1</v>
      </c>
      <c r="J109" s="1128"/>
      <c r="K109" s="313">
        <f t="shared" si="20"/>
        <v>1</v>
      </c>
      <c r="L109" s="1128"/>
      <c r="M109" s="313">
        <f t="shared" si="21"/>
        <v>1</v>
      </c>
      <c r="N109" s="1128"/>
      <c r="O109" s="313">
        <f t="shared" si="22"/>
        <v>1</v>
      </c>
      <c r="P109" s="1128"/>
      <c r="Q109" s="313">
        <f t="shared" si="23"/>
        <v>0.2</v>
      </c>
      <c r="R109" s="1124">
        <f t="shared" si="24"/>
        <v>0</v>
      </c>
      <c r="S109" s="698">
        <f t="shared" si="15"/>
        <v>0</v>
      </c>
    </row>
    <row r="110" spans="1:19">
      <c r="A110" s="3399"/>
      <c r="B110" s="348"/>
      <c r="C110" s="313">
        <f t="shared" si="16"/>
        <v>1</v>
      </c>
      <c r="D110" s="1128"/>
      <c r="E110" s="313">
        <f t="shared" si="17"/>
        <v>0.05</v>
      </c>
      <c r="F110" s="1128"/>
      <c r="G110" s="313">
        <f t="shared" si="18"/>
        <v>0.1</v>
      </c>
      <c r="H110" s="1128"/>
      <c r="I110" s="313">
        <f t="shared" si="19"/>
        <v>1</v>
      </c>
      <c r="J110" s="1128"/>
      <c r="K110" s="313">
        <f t="shared" si="20"/>
        <v>1</v>
      </c>
      <c r="L110" s="1128"/>
      <c r="M110" s="313">
        <f t="shared" si="21"/>
        <v>1</v>
      </c>
      <c r="N110" s="1128"/>
      <c r="O110" s="313">
        <f t="shared" si="22"/>
        <v>1</v>
      </c>
      <c r="P110" s="1128"/>
      <c r="Q110" s="313">
        <f t="shared" si="23"/>
        <v>0.2</v>
      </c>
      <c r="R110" s="1124">
        <f t="shared" si="24"/>
        <v>0</v>
      </c>
      <c r="S110" s="698">
        <f t="shared" si="15"/>
        <v>0</v>
      </c>
    </row>
    <row r="111" spans="1:19">
      <c r="A111" s="3399"/>
      <c r="B111" s="348"/>
      <c r="C111" s="313">
        <f t="shared" si="16"/>
        <v>1</v>
      </c>
      <c r="D111" s="1128"/>
      <c r="E111" s="313">
        <f t="shared" si="17"/>
        <v>0.05</v>
      </c>
      <c r="F111" s="1128"/>
      <c r="G111" s="313">
        <f t="shared" si="18"/>
        <v>0.1</v>
      </c>
      <c r="H111" s="1128"/>
      <c r="I111" s="313">
        <f t="shared" si="19"/>
        <v>1</v>
      </c>
      <c r="J111" s="1128"/>
      <c r="K111" s="313">
        <f t="shared" si="20"/>
        <v>1</v>
      </c>
      <c r="L111" s="1128"/>
      <c r="M111" s="313">
        <f t="shared" si="21"/>
        <v>1</v>
      </c>
      <c r="N111" s="1128"/>
      <c r="O111" s="313">
        <f t="shared" si="22"/>
        <v>1</v>
      </c>
      <c r="P111" s="1128"/>
      <c r="Q111" s="313">
        <f t="shared" si="23"/>
        <v>0.2</v>
      </c>
      <c r="R111" s="1124">
        <f t="shared" si="24"/>
        <v>0</v>
      </c>
      <c r="S111" s="698">
        <f t="shared" si="15"/>
        <v>0</v>
      </c>
    </row>
    <row r="112" spans="1:19">
      <c r="A112" s="3399"/>
      <c r="B112" s="348"/>
      <c r="C112" s="313">
        <f t="shared" si="16"/>
        <v>1</v>
      </c>
      <c r="D112" s="1128"/>
      <c r="E112" s="313">
        <f t="shared" si="17"/>
        <v>0.05</v>
      </c>
      <c r="F112" s="1128"/>
      <c r="G112" s="313">
        <f t="shared" si="18"/>
        <v>0.1</v>
      </c>
      <c r="H112" s="1128"/>
      <c r="I112" s="313">
        <f t="shared" si="19"/>
        <v>1</v>
      </c>
      <c r="J112" s="1128"/>
      <c r="K112" s="313">
        <f t="shared" si="20"/>
        <v>1</v>
      </c>
      <c r="L112" s="1128"/>
      <c r="M112" s="313">
        <f t="shared" si="21"/>
        <v>1</v>
      </c>
      <c r="N112" s="1128"/>
      <c r="O112" s="313">
        <f t="shared" si="22"/>
        <v>1</v>
      </c>
      <c r="P112" s="1128"/>
      <c r="Q112" s="313">
        <f t="shared" si="23"/>
        <v>0.2</v>
      </c>
      <c r="R112" s="1124">
        <f t="shared" si="24"/>
        <v>0</v>
      </c>
      <c r="S112" s="698">
        <f t="shared" si="15"/>
        <v>0</v>
      </c>
    </row>
    <row r="113" spans="1:19">
      <c r="A113" s="3399"/>
      <c r="B113" s="348"/>
      <c r="C113" s="313">
        <f t="shared" si="16"/>
        <v>1</v>
      </c>
      <c r="D113" s="1128"/>
      <c r="E113" s="313">
        <f t="shared" si="17"/>
        <v>0.05</v>
      </c>
      <c r="F113" s="1128"/>
      <c r="G113" s="313">
        <f t="shared" si="18"/>
        <v>0.1</v>
      </c>
      <c r="H113" s="1128"/>
      <c r="I113" s="313">
        <f t="shared" si="19"/>
        <v>1</v>
      </c>
      <c r="J113" s="1128"/>
      <c r="K113" s="313">
        <f t="shared" si="20"/>
        <v>1</v>
      </c>
      <c r="L113" s="1128"/>
      <c r="M113" s="313">
        <f t="shared" si="21"/>
        <v>1</v>
      </c>
      <c r="N113" s="1128"/>
      <c r="O113" s="313">
        <f t="shared" si="22"/>
        <v>1</v>
      </c>
      <c r="P113" s="1128"/>
      <c r="Q113" s="313">
        <f t="shared" si="23"/>
        <v>0.2</v>
      </c>
      <c r="R113" s="1124">
        <f t="shared" si="24"/>
        <v>0</v>
      </c>
      <c r="S113" s="698">
        <f t="shared" si="15"/>
        <v>0</v>
      </c>
    </row>
    <row r="114" spans="1:19">
      <c r="A114" s="3399"/>
      <c r="B114" s="348"/>
      <c r="C114" s="313">
        <f t="shared" si="16"/>
        <v>1</v>
      </c>
      <c r="D114" s="1128"/>
      <c r="E114" s="313">
        <f t="shared" si="17"/>
        <v>0.05</v>
      </c>
      <c r="F114" s="1128"/>
      <c r="G114" s="313">
        <f t="shared" si="18"/>
        <v>0.1</v>
      </c>
      <c r="H114" s="1128"/>
      <c r="I114" s="313">
        <f t="shared" si="19"/>
        <v>1</v>
      </c>
      <c r="J114" s="1128"/>
      <c r="K114" s="313">
        <f t="shared" si="20"/>
        <v>1</v>
      </c>
      <c r="L114" s="1128"/>
      <c r="M114" s="313">
        <f t="shared" si="21"/>
        <v>1</v>
      </c>
      <c r="N114" s="1128"/>
      <c r="O114" s="313">
        <f t="shared" si="22"/>
        <v>1</v>
      </c>
      <c r="P114" s="1128"/>
      <c r="Q114" s="313">
        <f t="shared" si="23"/>
        <v>0.2</v>
      </c>
      <c r="R114" s="1124">
        <f t="shared" si="24"/>
        <v>0</v>
      </c>
      <c r="S114" s="698">
        <f t="shared" si="15"/>
        <v>0</v>
      </c>
    </row>
    <row r="115" spans="1:19">
      <c r="A115" s="3399"/>
      <c r="B115" s="348"/>
      <c r="C115" s="313">
        <f t="shared" si="16"/>
        <v>1</v>
      </c>
      <c r="D115" s="1128"/>
      <c r="E115" s="313">
        <f t="shared" si="17"/>
        <v>0.05</v>
      </c>
      <c r="F115" s="1128"/>
      <c r="G115" s="313">
        <f t="shared" si="18"/>
        <v>0.1</v>
      </c>
      <c r="H115" s="1128"/>
      <c r="I115" s="313">
        <f t="shared" si="19"/>
        <v>1</v>
      </c>
      <c r="J115" s="1128"/>
      <c r="K115" s="313">
        <f t="shared" si="20"/>
        <v>1</v>
      </c>
      <c r="L115" s="1128"/>
      <c r="M115" s="313">
        <f t="shared" si="21"/>
        <v>1</v>
      </c>
      <c r="N115" s="1128"/>
      <c r="O115" s="313">
        <f t="shared" si="22"/>
        <v>1</v>
      </c>
      <c r="P115" s="1128"/>
      <c r="Q115" s="313">
        <f t="shared" si="23"/>
        <v>0.2</v>
      </c>
      <c r="R115" s="1124">
        <f t="shared" si="24"/>
        <v>0</v>
      </c>
      <c r="S115" s="698">
        <f t="shared" si="15"/>
        <v>0</v>
      </c>
    </row>
    <row r="116" spans="1:19">
      <c r="A116" s="3399"/>
      <c r="B116" s="348"/>
      <c r="C116" s="313">
        <f t="shared" si="16"/>
        <v>1</v>
      </c>
      <c r="D116" s="1128"/>
      <c r="E116" s="313">
        <f t="shared" si="17"/>
        <v>0.05</v>
      </c>
      <c r="F116" s="1128"/>
      <c r="G116" s="313">
        <f t="shared" si="18"/>
        <v>0.1</v>
      </c>
      <c r="H116" s="1128"/>
      <c r="I116" s="313">
        <f t="shared" si="19"/>
        <v>1</v>
      </c>
      <c r="J116" s="1128"/>
      <c r="K116" s="313">
        <f t="shared" si="20"/>
        <v>1</v>
      </c>
      <c r="L116" s="1128"/>
      <c r="M116" s="313">
        <f t="shared" si="21"/>
        <v>1</v>
      </c>
      <c r="N116" s="1128"/>
      <c r="O116" s="313">
        <f t="shared" si="22"/>
        <v>1</v>
      </c>
      <c r="P116" s="1128"/>
      <c r="Q116" s="313">
        <f t="shared" si="23"/>
        <v>0.2</v>
      </c>
      <c r="R116" s="1124">
        <f t="shared" si="24"/>
        <v>0</v>
      </c>
      <c r="S116" s="698">
        <f t="shared" si="15"/>
        <v>0</v>
      </c>
    </row>
    <row r="117" spans="1:19">
      <c r="A117" s="3399"/>
      <c r="B117" s="348"/>
      <c r="C117" s="313">
        <f t="shared" si="16"/>
        <v>1</v>
      </c>
      <c r="D117" s="1128"/>
      <c r="E117" s="313">
        <f t="shared" si="17"/>
        <v>0.05</v>
      </c>
      <c r="F117" s="1128"/>
      <c r="G117" s="313">
        <f t="shared" si="18"/>
        <v>0.1</v>
      </c>
      <c r="H117" s="1128"/>
      <c r="I117" s="313">
        <f t="shared" si="19"/>
        <v>1</v>
      </c>
      <c r="J117" s="1128"/>
      <c r="K117" s="313">
        <f t="shared" si="20"/>
        <v>1</v>
      </c>
      <c r="L117" s="1128"/>
      <c r="M117" s="313">
        <f t="shared" si="21"/>
        <v>1</v>
      </c>
      <c r="N117" s="1128"/>
      <c r="O117" s="313">
        <f t="shared" si="22"/>
        <v>1</v>
      </c>
      <c r="P117" s="1128"/>
      <c r="Q117" s="313">
        <f t="shared" si="23"/>
        <v>0.2</v>
      </c>
      <c r="R117" s="1124">
        <f t="shared" si="24"/>
        <v>0</v>
      </c>
      <c r="S117" s="698">
        <f t="shared" si="15"/>
        <v>0</v>
      </c>
    </row>
    <row r="118" spans="1:19">
      <c r="A118" s="3399"/>
      <c r="B118" s="348"/>
      <c r="C118" s="313">
        <f t="shared" si="16"/>
        <v>1</v>
      </c>
      <c r="D118" s="1128"/>
      <c r="E118" s="313">
        <f t="shared" si="17"/>
        <v>0.05</v>
      </c>
      <c r="F118" s="1128"/>
      <c r="G118" s="313">
        <f t="shared" si="18"/>
        <v>0.1</v>
      </c>
      <c r="H118" s="1128"/>
      <c r="I118" s="313">
        <f t="shared" si="19"/>
        <v>1</v>
      </c>
      <c r="J118" s="1128"/>
      <c r="K118" s="313">
        <f t="shared" si="20"/>
        <v>1</v>
      </c>
      <c r="L118" s="1128"/>
      <c r="M118" s="313">
        <f t="shared" si="21"/>
        <v>1</v>
      </c>
      <c r="N118" s="1128"/>
      <c r="O118" s="313">
        <f t="shared" si="22"/>
        <v>1</v>
      </c>
      <c r="P118" s="1128"/>
      <c r="Q118" s="313">
        <f t="shared" si="23"/>
        <v>0.2</v>
      </c>
      <c r="R118" s="1124">
        <f t="shared" si="24"/>
        <v>0</v>
      </c>
      <c r="S118" s="698">
        <f t="shared" si="15"/>
        <v>0</v>
      </c>
    </row>
    <row r="119" spans="1:19">
      <c r="A119" s="3399"/>
      <c r="B119" s="348"/>
      <c r="C119" s="313">
        <f t="shared" si="16"/>
        <v>1</v>
      </c>
      <c r="D119" s="1128"/>
      <c r="E119" s="313">
        <f t="shared" si="17"/>
        <v>0.05</v>
      </c>
      <c r="F119" s="1128"/>
      <c r="G119" s="313">
        <f t="shared" si="18"/>
        <v>0.1</v>
      </c>
      <c r="H119" s="1128"/>
      <c r="I119" s="313">
        <f t="shared" si="19"/>
        <v>1</v>
      </c>
      <c r="J119" s="1128"/>
      <c r="K119" s="313">
        <f t="shared" si="20"/>
        <v>1</v>
      </c>
      <c r="L119" s="1128"/>
      <c r="M119" s="313">
        <f t="shared" si="21"/>
        <v>1</v>
      </c>
      <c r="N119" s="1128"/>
      <c r="O119" s="313">
        <f t="shared" si="22"/>
        <v>1</v>
      </c>
      <c r="P119" s="1128"/>
      <c r="Q119" s="313">
        <f t="shared" si="23"/>
        <v>0.2</v>
      </c>
      <c r="R119" s="1124">
        <f t="shared" si="24"/>
        <v>0</v>
      </c>
      <c r="S119" s="698">
        <f t="shared" si="15"/>
        <v>0</v>
      </c>
    </row>
    <row r="120" spans="1:19">
      <c r="A120" s="3399"/>
      <c r="B120" s="348"/>
      <c r="C120" s="313">
        <f t="shared" si="16"/>
        <v>1</v>
      </c>
      <c r="D120" s="1128"/>
      <c r="E120" s="313">
        <f t="shared" si="17"/>
        <v>0.05</v>
      </c>
      <c r="F120" s="1128"/>
      <c r="G120" s="313">
        <f t="shared" si="18"/>
        <v>0.1</v>
      </c>
      <c r="H120" s="1128"/>
      <c r="I120" s="313">
        <f t="shared" si="19"/>
        <v>1</v>
      </c>
      <c r="J120" s="1128"/>
      <c r="K120" s="313">
        <f t="shared" si="20"/>
        <v>1</v>
      </c>
      <c r="L120" s="1128"/>
      <c r="M120" s="313">
        <f t="shared" si="21"/>
        <v>1</v>
      </c>
      <c r="N120" s="1128"/>
      <c r="O120" s="313">
        <f t="shared" si="22"/>
        <v>1</v>
      </c>
      <c r="P120" s="1128"/>
      <c r="Q120" s="313">
        <f t="shared" si="23"/>
        <v>0.2</v>
      </c>
      <c r="R120" s="1124">
        <f t="shared" si="24"/>
        <v>0</v>
      </c>
      <c r="S120" s="698">
        <f t="shared" si="15"/>
        <v>0</v>
      </c>
    </row>
    <row r="121" spans="1:19">
      <c r="A121" s="3399"/>
      <c r="B121" s="348"/>
      <c r="C121" s="313">
        <f t="shared" si="16"/>
        <v>1</v>
      </c>
      <c r="D121" s="1128"/>
      <c r="E121" s="313">
        <f t="shared" si="17"/>
        <v>0.05</v>
      </c>
      <c r="F121" s="1128"/>
      <c r="G121" s="313">
        <f t="shared" si="18"/>
        <v>0.1</v>
      </c>
      <c r="H121" s="1128"/>
      <c r="I121" s="313">
        <f t="shared" si="19"/>
        <v>1</v>
      </c>
      <c r="J121" s="1128"/>
      <c r="K121" s="313">
        <f t="shared" si="20"/>
        <v>1</v>
      </c>
      <c r="L121" s="1128"/>
      <c r="M121" s="313">
        <f t="shared" si="21"/>
        <v>1</v>
      </c>
      <c r="N121" s="1128"/>
      <c r="O121" s="313">
        <f t="shared" si="22"/>
        <v>1</v>
      </c>
      <c r="P121" s="1128"/>
      <c r="Q121" s="313">
        <f t="shared" si="23"/>
        <v>0.2</v>
      </c>
      <c r="R121" s="1124">
        <f t="shared" si="24"/>
        <v>0</v>
      </c>
      <c r="S121" s="698">
        <f t="shared" si="15"/>
        <v>0</v>
      </c>
    </row>
    <row r="122" spans="1:19">
      <c r="A122" s="3399"/>
      <c r="B122" s="348"/>
      <c r="C122" s="313">
        <f t="shared" si="16"/>
        <v>1</v>
      </c>
      <c r="D122" s="1128"/>
      <c r="E122" s="313">
        <f t="shared" si="17"/>
        <v>0.05</v>
      </c>
      <c r="F122" s="1128"/>
      <c r="G122" s="313">
        <f t="shared" si="18"/>
        <v>0.1</v>
      </c>
      <c r="H122" s="1128"/>
      <c r="I122" s="313">
        <f t="shared" si="19"/>
        <v>1</v>
      </c>
      <c r="J122" s="1128"/>
      <c r="K122" s="313">
        <f t="shared" si="20"/>
        <v>1</v>
      </c>
      <c r="L122" s="1128"/>
      <c r="M122" s="313">
        <f t="shared" si="21"/>
        <v>1</v>
      </c>
      <c r="N122" s="1128"/>
      <c r="O122" s="313">
        <f t="shared" si="22"/>
        <v>1</v>
      </c>
      <c r="P122" s="1128"/>
      <c r="Q122" s="313">
        <f t="shared" si="23"/>
        <v>0.2</v>
      </c>
      <c r="R122" s="1124">
        <f t="shared" si="24"/>
        <v>0</v>
      </c>
      <c r="S122" s="698">
        <f t="shared" si="15"/>
        <v>0</v>
      </c>
    </row>
    <row r="123" spans="1:19">
      <c r="A123" s="3399"/>
      <c r="B123" s="348"/>
      <c r="C123" s="313">
        <f t="shared" si="16"/>
        <v>1</v>
      </c>
      <c r="D123" s="1128"/>
      <c r="E123" s="313">
        <f t="shared" si="17"/>
        <v>0.05</v>
      </c>
      <c r="F123" s="1128"/>
      <c r="G123" s="313">
        <f t="shared" si="18"/>
        <v>0.1</v>
      </c>
      <c r="H123" s="1128"/>
      <c r="I123" s="313">
        <f t="shared" si="19"/>
        <v>1</v>
      </c>
      <c r="J123" s="1128"/>
      <c r="K123" s="313">
        <f t="shared" si="20"/>
        <v>1</v>
      </c>
      <c r="L123" s="1128"/>
      <c r="M123" s="313">
        <f t="shared" si="21"/>
        <v>1</v>
      </c>
      <c r="N123" s="1128"/>
      <c r="O123" s="313">
        <f t="shared" si="22"/>
        <v>1</v>
      </c>
      <c r="P123" s="1128"/>
      <c r="Q123" s="313">
        <f t="shared" si="23"/>
        <v>0.2</v>
      </c>
      <c r="R123" s="1124">
        <f t="shared" si="24"/>
        <v>0</v>
      </c>
      <c r="S123" s="698">
        <f t="shared" si="15"/>
        <v>0</v>
      </c>
    </row>
    <row r="124" spans="1:19">
      <c r="A124" s="3399"/>
      <c r="B124" s="348"/>
      <c r="C124" s="313">
        <f t="shared" si="16"/>
        <v>1</v>
      </c>
      <c r="D124" s="1128"/>
      <c r="E124" s="313">
        <f t="shared" si="17"/>
        <v>0.05</v>
      </c>
      <c r="F124" s="1128"/>
      <c r="G124" s="313">
        <f t="shared" si="18"/>
        <v>0.1</v>
      </c>
      <c r="H124" s="1128"/>
      <c r="I124" s="313">
        <f t="shared" si="19"/>
        <v>1</v>
      </c>
      <c r="J124" s="1128"/>
      <c r="K124" s="313">
        <f t="shared" si="20"/>
        <v>1</v>
      </c>
      <c r="L124" s="1128"/>
      <c r="M124" s="313">
        <f t="shared" si="21"/>
        <v>1</v>
      </c>
      <c r="N124" s="1128"/>
      <c r="O124" s="313">
        <f t="shared" si="22"/>
        <v>1</v>
      </c>
      <c r="P124" s="1128"/>
      <c r="Q124" s="313">
        <f t="shared" si="23"/>
        <v>0.2</v>
      </c>
      <c r="R124" s="1124">
        <f t="shared" si="24"/>
        <v>0</v>
      </c>
      <c r="S124" s="698">
        <f t="shared" si="15"/>
        <v>0</v>
      </c>
    </row>
    <row r="125" spans="1:19">
      <c r="A125" s="3399"/>
      <c r="B125" s="348"/>
      <c r="C125" s="313">
        <f t="shared" si="16"/>
        <v>1</v>
      </c>
      <c r="D125" s="1128"/>
      <c r="E125" s="313">
        <f t="shared" si="17"/>
        <v>0.05</v>
      </c>
      <c r="F125" s="1128"/>
      <c r="G125" s="313">
        <f t="shared" si="18"/>
        <v>0.1</v>
      </c>
      <c r="H125" s="1128"/>
      <c r="I125" s="313">
        <f t="shared" si="19"/>
        <v>1</v>
      </c>
      <c r="J125" s="1128"/>
      <c r="K125" s="313">
        <f t="shared" si="20"/>
        <v>1</v>
      </c>
      <c r="L125" s="1128"/>
      <c r="M125" s="313">
        <f t="shared" si="21"/>
        <v>1</v>
      </c>
      <c r="N125" s="1128"/>
      <c r="O125" s="313">
        <f t="shared" si="22"/>
        <v>1</v>
      </c>
      <c r="P125" s="1128"/>
      <c r="Q125" s="313">
        <f t="shared" si="23"/>
        <v>0.2</v>
      </c>
      <c r="R125" s="1124">
        <f t="shared" si="24"/>
        <v>0</v>
      </c>
      <c r="S125" s="698">
        <f t="shared" si="15"/>
        <v>0</v>
      </c>
    </row>
    <row r="126" spans="1:19">
      <c r="A126" s="3399"/>
      <c r="B126" s="348"/>
      <c r="C126" s="313">
        <f t="shared" si="16"/>
        <v>1</v>
      </c>
      <c r="D126" s="1128"/>
      <c r="E126" s="313">
        <f t="shared" si="17"/>
        <v>0.05</v>
      </c>
      <c r="F126" s="1128"/>
      <c r="G126" s="313">
        <f t="shared" si="18"/>
        <v>0.1</v>
      </c>
      <c r="H126" s="1128"/>
      <c r="I126" s="313">
        <f t="shared" si="19"/>
        <v>1</v>
      </c>
      <c r="J126" s="1128"/>
      <c r="K126" s="313">
        <f t="shared" si="20"/>
        <v>1</v>
      </c>
      <c r="L126" s="1128"/>
      <c r="M126" s="313">
        <f t="shared" si="21"/>
        <v>1</v>
      </c>
      <c r="N126" s="1128"/>
      <c r="O126" s="313">
        <f t="shared" si="22"/>
        <v>1</v>
      </c>
      <c r="P126" s="1128"/>
      <c r="Q126" s="313">
        <f t="shared" si="23"/>
        <v>0.2</v>
      </c>
      <c r="R126" s="1124">
        <f t="shared" si="24"/>
        <v>0</v>
      </c>
      <c r="S126" s="698">
        <f t="shared" si="15"/>
        <v>0</v>
      </c>
    </row>
    <row r="127" spans="1:19">
      <c r="A127" s="491"/>
      <c r="B127" s="348"/>
      <c r="C127" s="313">
        <f t="shared" si="16"/>
        <v>1</v>
      </c>
      <c r="D127" s="1128"/>
      <c r="E127" s="313">
        <f t="shared" si="17"/>
        <v>0.05</v>
      </c>
      <c r="F127" s="1128"/>
      <c r="G127" s="313">
        <f t="shared" si="18"/>
        <v>0.1</v>
      </c>
      <c r="H127" s="1128"/>
      <c r="I127" s="313">
        <f t="shared" si="19"/>
        <v>1</v>
      </c>
      <c r="J127" s="1128"/>
      <c r="K127" s="313">
        <f t="shared" si="20"/>
        <v>1</v>
      </c>
      <c r="L127" s="1128"/>
      <c r="M127" s="313">
        <f t="shared" si="21"/>
        <v>1</v>
      </c>
      <c r="N127" s="1128"/>
      <c r="O127" s="313">
        <f t="shared" si="22"/>
        <v>1</v>
      </c>
      <c r="P127" s="1128"/>
      <c r="Q127" s="313">
        <f t="shared" si="23"/>
        <v>0.2</v>
      </c>
      <c r="R127" s="1124">
        <f t="shared" si="24"/>
        <v>0</v>
      </c>
      <c r="S127" s="698">
        <f t="shared" si="15"/>
        <v>0</v>
      </c>
    </row>
    <row r="128" spans="1:19">
      <c r="A128" s="491"/>
      <c r="B128" s="348"/>
      <c r="C128" s="313">
        <f t="shared" si="16"/>
        <v>1</v>
      </c>
      <c r="D128" s="1128"/>
      <c r="E128" s="313">
        <f t="shared" si="17"/>
        <v>0.05</v>
      </c>
      <c r="F128" s="1128"/>
      <c r="G128" s="313">
        <f t="shared" si="18"/>
        <v>0.1</v>
      </c>
      <c r="H128" s="1128"/>
      <c r="I128" s="313">
        <f t="shared" si="19"/>
        <v>1</v>
      </c>
      <c r="J128" s="1128"/>
      <c r="K128" s="313">
        <f t="shared" si="20"/>
        <v>1</v>
      </c>
      <c r="L128" s="1128"/>
      <c r="M128" s="313">
        <f t="shared" si="21"/>
        <v>1</v>
      </c>
      <c r="N128" s="1128"/>
      <c r="O128" s="313">
        <f t="shared" si="22"/>
        <v>1</v>
      </c>
      <c r="P128" s="1128"/>
      <c r="Q128" s="313">
        <f t="shared" si="23"/>
        <v>0.2</v>
      </c>
      <c r="R128" s="1124">
        <f t="shared" si="24"/>
        <v>0</v>
      </c>
      <c r="S128" s="698">
        <f t="shared" si="15"/>
        <v>0</v>
      </c>
    </row>
    <row r="129" spans="1:19">
      <c r="A129" s="491"/>
      <c r="B129" s="348"/>
      <c r="C129" s="313">
        <f t="shared" si="16"/>
        <v>1</v>
      </c>
      <c r="D129" s="1128"/>
      <c r="E129" s="313">
        <f t="shared" si="17"/>
        <v>0.05</v>
      </c>
      <c r="F129" s="1128"/>
      <c r="G129" s="313">
        <f t="shared" si="18"/>
        <v>0.1</v>
      </c>
      <c r="H129" s="1128"/>
      <c r="I129" s="313">
        <f t="shared" si="19"/>
        <v>1</v>
      </c>
      <c r="J129" s="1128"/>
      <c r="K129" s="313">
        <f t="shared" si="20"/>
        <v>1</v>
      </c>
      <c r="L129" s="1128"/>
      <c r="M129" s="313">
        <f t="shared" si="21"/>
        <v>1</v>
      </c>
      <c r="N129" s="1128"/>
      <c r="O129" s="313">
        <f t="shared" si="22"/>
        <v>1</v>
      </c>
      <c r="P129" s="1128"/>
      <c r="Q129" s="313">
        <f t="shared" si="23"/>
        <v>0.2</v>
      </c>
      <c r="R129" s="1124">
        <f t="shared" si="24"/>
        <v>0</v>
      </c>
      <c r="S129" s="698">
        <f t="shared" si="15"/>
        <v>0</v>
      </c>
    </row>
    <row r="130" spans="1:19">
      <c r="A130" s="491"/>
      <c r="B130" s="348"/>
      <c r="C130" s="313">
        <f t="shared" si="16"/>
        <v>1</v>
      </c>
      <c r="D130" s="1128"/>
      <c r="E130" s="313">
        <f t="shared" si="17"/>
        <v>0.05</v>
      </c>
      <c r="F130" s="1128"/>
      <c r="G130" s="313">
        <f t="shared" si="18"/>
        <v>0.1</v>
      </c>
      <c r="H130" s="1128"/>
      <c r="I130" s="313">
        <f t="shared" si="19"/>
        <v>1</v>
      </c>
      <c r="J130" s="1128"/>
      <c r="K130" s="313">
        <f t="shared" si="20"/>
        <v>1</v>
      </c>
      <c r="L130" s="1128"/>
      <c r="M130" s="313">
        <f t="shared" si="21"/>
        <v>1</v>
      </c>
      <c r="N130" s="1128"/>
      <c r="O130" s="313">
        <f t="shared" si="22"/>
        <v>1</v>
      </c>
      <c r="P130" s="1128"/>
      <c r="Q130" s="313">
        <f t="shared" si="23"/>
        <v>0.2</v>
      </c>
      <c r="R130" s="1124">
        <f t="shared" si="24"/>
        <v>0</v>
      </c>
      <c r="S130" s="698">
        <f t="shared" si="15"/>
        <v>0</v>
      </c>
    </row>
    <row r="131" spans="1:19">
      <c r="A131" s="491"/>
      <c r="B131" s="348"/>
      <c r="C131" s="313">
        <f t="shared" si="16"/>
        <v>1</v>
      </c>
      <c r="D131" s="1128"/>
      <c r="E131" s="313">
        <f t="shared" si="17"/>
        <v>0.05</v>
      </c>
      <c r="F131" s="1128"/>
      <c r="G131" s="313">
        <f t="shared" si="18"/>
        <v>0.1</v>
      </c>
      <c r="H131" s="1128"/>
      <c r="I131" s="313">
        <f t="shared" si="19"/>
        <v>1</v>
      </c>
      <c r="J131" s="1128"/>
      <c r="K131" s="313">
        <f t="shared" si="20"/>
        <v>1</v>
      </c>
      <c r="L131" s="1128"/>
      <c r="M131" s="313">
        <f t="shared" si="21"/>
        <v>1</v>
      </c>
      <c r="N131" s="1128"/>
      <c r="O131" s="313">
        <f t="shared" si="22"/>
        <v>1</v>
      </c>
      <c r="P131" s="1128"/>
      <c r="Q131" s="313">
        <f t="shared" si="23"/>
        <v>0.2</v>
      </c>
      <c r="R131" s="1124">
        <f t="shared" si="24"/>
        <v>0</v>
      </c>
      <c r="S131" s="698">
        <f t="shared" si="15"/>
        <v>0</v>
      </c>
    </row>
    <row r="132" spans="1:19">
      <c r="A132" s="491"/>
      <c r="B132" s="348"/>
      <c r="C132" s="313">
        <f t="shared" si="16"/>
        <v>1</v>
      </c>
      <c r="D132" s="1128"/>
      <c r="E132" s="313">
        <f t="shared" si="17"/>
        <v>0.05</v>
      </c>
      <c r="F132" s="1128"/>
      <c r="G132" s="313">
        <f t="shared" si="18"/>
        <v>0.1</v>
      </c>
      <c r="H132" s="1128"/>
      <c r="I132" s="313">
        <f t="shared" si="19"/>
        <v>1</v>
      </c>
      <c r="J132" s="1128"/>
      <c r="K132" s="313">
        <f t="shared" si="20"/>
        <v>1</v>
      </c>
      <c r="L132" s="1128"/>
      <c r="M132" s="313">
        <f t="shared" si="21"/>
        <v>1</v>
      </c>
      <c r="N132" s="1128"/>
      <c r="O132" s="313">
        <f t="shared" si="22"/>
        <v>1</v>
      </c>
      <c r="P132" s="1128"/>
      <c r="Q132" s="313">
        <f t="shared" si="23"/>
        <v>0.2</v>
      </c>
      <c r="R132" s="1124">
        <f t="shared" si="24"/>
        <v>0</v>
      </c>
      <c r="S132" s="698">
        <f t="shared" si="15"/>
        <v>0</v>
      </c>
    </row>
    <row r="133" spans="1:19">
      <c r="A133" s="491"/>
      <c r="B133" s="348"/>
      <c r="C133" s="313">
        <f t="shared" si="16"/>
        <v>1</v>
      </c>
      <c r="D133" s="1128"/>
      <c r="E133" s="313">
        <f t="shared" si="17"/>
        <v>0.05</v>
      </c>
      <c r="F133" s="1128"/>
      <c r="G133" s="313">
        <f t="shared" si="18"/>
        <v>0.1</v>
      </c>
      <c r="H133" s="1128"/>
      <c r="I133" s="313">
        <f t="shared" si="19"/>
        <v>1</v>
      </c>
      <c r="J133" s="1128"/>
      <c r="K133" s="313">
        <f t="shared" si="20"/>
        <v>1</v>
      </c>
      <c r="L133" s="1128"/>
      <c r="M133" s="313">
        <f t="shared" si="21"/>
        <v>1</v>
      </c>
      <c r="N133" s="1128"/>
      <c r="O133" s="313">
        <f t="shared" si="22"/>
        <v>1</v>
      </c>
      <c r="P133" s="1128"/>
      <c r="Q133" s="313">
        <f t="shared" si="23"/>
        <v>0.2</v>
      </c>
      <c r="R133" s="1124">
        <f t="shared" si="24"/>
        <v>0</v>
      </c>
      <c r="S133" s="698">
        <f t="shared" si="15"/>
        <v>0</v>
      </c>
    </row>
    <row r="134" spans="1:19">
      <c r="A134" s="491"/>
      <c r="B134" s="348"/>
      <c r="C134" s="313">
        <f t="shared" si="16"/>
        <v>1</v>
      </c>
      <c r="D134" s="1128"/>
      <c r="E134" s="313">
        <f t="shared" si="17"/>
        <v>0.05</v>
      </c>
      <c r="F134" s="1128"/>
      <c r="G134" s="313">
        <f t="shared" si="18"/>
        <v>0.1</v>
      </c>
      <c r="H134" s="1128"/>
      <c r="I134" s="313">
        <f t="shared" si="19"/>
        <v>1</v>
      </c>
      <c r="J134" s="1128"/>
      <c r="K134" s="313">
        <f t="shared" si="20"/>
        <v>1</v>
      </c>
      <c r="L134" s="1128"/>
      <c r="M134" s="313">
        <f t="shared" si="21"/>
        <v>1</v>
      </c>
      <c r="N134" s="1128"/>
      <c r="O134" s="313">
        <f t="shared" si="22"/>
        <v>1</v>
      </c>
      <c r="P134" s="1128"/>
      <c r="Q134" s="313">
        <f t="shared" si="23"/>
        <v>0.2</v>
      </c>
      <c r="R134" s="1124">
        <f t="shared" si="24"/>
        <v>0</v>
      </c>
      <c r="S134" s="698">
        <f t="shared" si="15"/>
        <v>0</v>
      </c>
    </row>
    <row r="135" spans="1:19">
      <c r="A135" s="491"/>
      <c r="B135" s="348"/>
      <c r="C135" s="313">
        <f t="shared" si="16"/>
        <v>1</v>
      </c>
      <c r="D135" s="1128"/>
      <c r="E135" s="313">
        <f t="shared" si="17"/>
        <v>0.05</v>
      </c>
      <c r="F135" s="1128"/>
      <c r="G135" s="313">
        <f t="shared" si="18"/>
        <v>0.1</v>
      </c>
      <c r="H135" s="1128"/>
      <c r="I135" s="313">
        <f t="shared" si="19"/>
        <v>1</v>
      </c>
      <c r="J135" s="1128"/>
      <c r="K135" s="313">
        <f t="shared" si="20"/>
        <v>1</v>
      </c>
      <c r="L135" s="1128"/>
      <c r="M135" s="313">
        <f t="shared" si="21"/>
        <v>1</v>
      </c>
      <c r="N135" s="1128"/>
      <c r="O135" s="313">
        <f t="shared" si="22"/>
        <v>1</v>
      </c>
      <c r="P135" s="1128"/>
      <c r="Q135" s="313">
        <f t="shared" si="23"/>
        <v>0.2</v>
      </c>
      <c r="R135" s="1124">
        <f t="shared" si="24"/>
        <v>0</v>
      </c>
      <c r="S135" s="698">
        <f t="shared" si="15"/>
        <v>0</v>
      </c>
    </row>
    <row r="136" spans="1:19">
      <c r="A136" s="491"/>
      <c r="B136" s="348"/>
      <c r="C136" s="313">
        <f t="shared" si="16"/>
        <v>1</v>
      </c>
      <c r="D136" s="1128"/>
      <c r="E136" s="313">
        <f t="shared" si="17"/>
        <v>0.05</v>
      </c>
      <c r="F136" s="1128"/>
      <c r="G136" s="313">
        <f t="shared" si="18"/>
        <v>0.1</v>
      </c>
      <c r="H136" s="1128"/>
      <c r="I136" s="313">
        <f t="shared" si="19"/>
        <v>1</v>
      </c>
      <c r="J136" s="1128"/>
      <c r="K136" s="313">
        <f t="shared" si="20"/>
        <v>1</v>
      </c>
      <c r="L136" s="1128"/>
      <c r="M136" s="313">
        <f t="shared" si="21"/>
        <v>1</v>
      </c>
      <c r="N136" s="1128"/>
      <c r="O136" s="313">
        <f t="shared" si="22"/>
        <v>1</v>
      </c>
      <c r="P136" s="1128"/>
      <c r="Q136" s="313">
        <f t="shared" si="23"/>
        <v>0.2</v>
      </c>
      <c r="R136" s="1124">
        <f t="shared" si="24"/>
        <v>0</v>
      </c>
      <c r="S136" s="698">
        <f t="shared" si="15"/>
        <v>0</v>
      </c>
    </row>
    <row r="137" spans="1:19">
      <c r="A137" s="491"/>
      <c r="B137" s="348"/>
      <c r="C137" s="313">
        <f t="shared" si="16"/>
        <v>1</v>
      </c>
      <c r="D137" s="1128"/>
      <c r="E137" s="313">
        <f t="shared" si="17"/>
        <v>0.05</v>
      </c>
      <c r="F137" s="1128"/>
      <c r="G137" s="313">
        <f t="shared" si="18"/>
        <v>0.1</v>
      </c>
      <c r="H137" s="1128"/>
      <c r="I137" s="313">
        <f t="shared" si="19"/>
        <v>1</v>
      </c>
      <c r="J137" s="1128"/>
      <c r="K137" s="313">
        <f t="shared" si="20"/>
        <v>1</v>
      </c>
      <c r="L137" s="1128"/>
      <c r="M137" s="313">
        <f t="shared" si="21"/>
        <v>1</v>
      </c>
      <c r="N137" s="1128"/>
      <c r="O137" s="313">
        <f t="shared" si="22"/>
        <v>1</v>
      </c>
      <c r="P137" s="1128"/>
      <c r="Q137" s="313">
        <f t="shared" si="23"/>
        <v>0.2</v>
      </c>
      <c r="R137" s="1124">
        <f t="shared" si="24"/>
        <v>0</v>
      </c>
      <c r="S137" s="698">
        <f t="shared" si="15"/>
        <v>0</v>
      </c>
    </row>
    <row r="138" spans="1:19">
      <c r="A138" s="491"/>
      <c r="B138" s="348"/>
      <c r="C138" s="313">
        <f t="shared" si="16"/>
        <v>1</v>
      </c>
      <c r="D138" s="1128"/>
      <c r="E138" s="313">
        <f t="shared" si="17"/>
        <v>0.05</v>
      </c>
      <c r="F138" s="1128"/>
      <c r="G138" s="313">
        <f t="shared" si="18"/>
        <v>0.1</v>
      </c>
      <c r="H138" s="1128"/>
      <c r="I138" s="313">
        <f t="shared" si="19"/>
        <v>1</v>
      </c>
      <c r="J138" s="1128"/>
      <c r="K138" s="313">
        <f t="shared" si="20"/>
        <v>1</v>
      </c>
      <c r="L138" s="1128"/>
      <c r="M138" s="313">
        <f t="shared" si="21"/>
        <v>1</v>
      </c>
      <c r="N138" s="1128"/>
      <c r="O138" s="313">
        <f t="shared" si="22"/>
        <v>1</v>
      </c>
      <c r="P138" s="1128"/>
      <c r="Q138" s="313">
        <f t="shared" si="23"/>
        <v>0.2</v>
      </c>
      <c r="R138" s="1124">
        <f t="shared" si="24"/>
        <v>0</v>
      </c>
      <c r="S138" s="698">
        <f t="shared" si="15"/>
        <v>0</v>
      </c>
    </row>
    <row r="139" spans="1:19">
      <c r="A139" s="491"/>
      <c r="B139" s="348"/>
      <c r="C139" s="313">
        <f t="shared" si="16"/>
        <v>1</v>
      </c>
      <c r="D139" s="1128"/>
      <c r="E139" s="313">
        <f t="shared" si="17"/>
        <v>0.05</v>
      </c>
      <c r="F139" s="1128"/>
      <c r="G139" s="313">
        <f t="shared" si="18"/>
        <v>0.1</v>
      </c>
      <c r="H139" s="1128"/>
      <c r="I139" s="313">
        <f t="shared" si="19"/>
        <v>1</v>
      </c>
      <c r="J139" s="1128"/>
      <c r="K139" s="313">
        <f t="shared" si="20"/>
        <v>1</v>
      </c>
      <c r="L139" s="1128"/>
      <c r="M139" s="313">
        <f t="shared" si="21"/>
        <v>1</v>
      </c>
      <c r="N139" s="1128"/>
      <c r="O139" s="313">
        <f t="shared" si="22"/>
        <v>1</v>
      </c>
      <c r="P139" s="1128"/>
      <c r="Q139" s="313">
        <f t="shared" si="23"/>
        <v>0.2</v>
      </c>
      <c r="R139" s="1124">
        <f t="shared" si="24"/>
        <v>0</v>
      </c>
      <c r="S139" s="698">
        <f t="shared" si="15"/>
        <v>0</v>
      </c>
    </row>
    <row r="140" spans="1:19">
      <c r="A140" s="491"/>
      <c r="B140" s="348"/>
      <c r="C140" s="313">
        <f t="shared" si="16"/>
        <v>1</v>
      </c>
      <c r="D140" s="1128"/>
      <c r="E140" s="313">
        <f t="shared" si="17"/>
        <v>0.05</v>
      </c>
      <c r="F140" s="1128"/>
      <c r="G140" s="313">
        <f t="shared" si="18"/>
        <v>0.1</v>
      </c>
      <c r="H140" s="1128"/>
      <c r="I140" s="313">
        <f t="shared" si="19"/>
        <v>1</v>
      </c>
      <c r="J140" s="1128"/>
      <c r="K140" s="313">
        <f t="shared" si="20"/>
        <v>1</v>
      </c>
      <c r="L140" s="1128"/>
      <c r="M140" s="313">
        <f t="shared" si="21"/>
        <v>1</v>
      </c>
      <c r="N140" s="1128"/>
      <c r="O140" s="313">
        <f t="shared" si="22"/>
        <v>1</v>
      </c>
      <c r="P140" s="1128"/>
      <c r="Q140" s="313">
        <f t="shared" si="23"/>
        <v>0.2</v>
      </c>
      <c r="R140" s="1124">
        <f t="shared" si="24"/>
        <v>0</v>
      </c>
      <c r="S140" s="698">
        <f t="shared" si="15"/>
        <v>0</v>
      </c>
    </row>
    <row r="141" spans="1:19">
      <c r="A141" s="491"/>
      <c r="B141" s="348"/>
      <c r="C141" s="313">
        <f t="shared" si="16"/>
        <v>1</v>
      </c>
      <c r="D141" s="1128"/>
      <c r="E141" s="313">
        <f t="shared" si="17"/>
        <v>0.05</v>
      </c>
      <c r="F141" s="1128"/>
      <c r="G141" s="313">
        <f t="shared" si="18"/>
        <v>0.1</v>
      </c>
      <c r="H141" s="1128"/>
      <c r="I141" s="313">
        <f t="shared" si="19"/>
        <v>1</v>
      </c>
      <c r="J141" s="1128"/>
      <c r="K141" s="313">
        <f t="shared" si="20"/>
        <v>1</v>
      </c>
      <c r="L141" s="1128"/>
      <c r="M141" s="313">
        <f t="shared" si="21"/>
        <v>1</v>
      </c>
      <c r="N141" s="1128"/>
      <c r="O141" s="313">
        <f t="shared" si="22"/>
        <v>1</v>
      </c>
      <c r="P141" s="1128"/>
      <c r="Q141" s="313">
        <f t="shared" si="23"/>
        <v>0.2</v>
      </c>
      <c r="R141" s="1124">
        <f t="shared" si="24"/>
        <v>0</v>
      </c>
      <c r="S141" s="698">
        <f t="shared" si="15"/>
        <v>0</v>
      </c>
    </row>
    <row r="142" spans="1:19">
      <c r="A142" s="491"/>
      <c r="B142" s="348"/>
      <c r="C142" s="313">
        <f t="shared" si="16"/>
        <v>1</v>
      </c>
      <c r="D142" s="1128"/>
      <c r="E142" s="313">
        <f t="shared" si="17"/>
        <v>0.05</v>
      </c>
      <c r="F142" s="1128"/>
      <c r="G142" s="313">
        <f t="shared" si="18"/>
        <v>0.1</v>
      </c>
      <c r="H142" s="1128"/>
      <c r="I142" s="313">
        <f t="shared" si="19"/>
        <v>1</v>
      </c>
      <c r="J142" s="1128"/>
      <c r="K142" s="313">
        <f t="shared" si="20"/>
        <v>1</v>
      </c>
      <c r="L142" s="1128"/>
      <c r="M142" s="313">
        <f t="shared" si="21"/>
        <v>1</v>
      </c>
      <c r="N142" s="1128"/>
      <c r="O142" s="313">
        <f t="shared" si="22"/>
        <v>1</v>
      </c>
      <c r="P142" s="1128"/>
      <c r="Q142" s="313">
        <f t="shared" si="23"/>
        <v>0.2</v>
      </c>
      <c r="R142" s="1124">
        <f t="shared" si="24"/>
        <v>0</v>
      </c>
      <c r="S142" s="698">
        <f t="shared" si="15"/>
        <v>0</v>
      </c>
    </row>
    <row r="143" spans="1:19">
      <c r="A143" s="491"/>
      <c r="B143" s="348"/>
      <c r="C143" s="313">
        <f t="shared" si="16"/>
        <v>1</v>
      </c>
      <c r="D143" s="1128"/>
      <c r="E143" s="313">
        <f t="shared" si="17"/>
        <v>0.05</v>
      </c>
      <c r="F143" s="1128"/>
      <c r="G143" s="313">
        <f t="shared" si="18"/>
        <v>0.1</v>
      </c>
      <c r="H143" s="1128"/>
      <c r="I143" s="313">
        <f t="shared" si="19"/>
        <v>1</v>
      </c>
      <c r="J143" s="1128"/>
      <c r="K143" s="313">
        <f t="shared" si="20"/>
        <v>1</v>
      </c>
      <c r="L143" s="1128"/>
      <c r="M143" s="313">
        <f t="shared" si="21"/>
        <v>1</v>
      </c>
      <c r="N143" s="1128"/>
      <c r="O143" s="313">
        <f t="shared" si="22"/>
        <v>1</v>
      </c>
      <c r="P143" s="1128"/>
      <c r="Q143" s="313">
        <f t="shared" si="23"/>
        <v>0.2</v>
      </c>
      <c r="R143" s="1124">
        <f t="shared" si="24"/>
        <v>0</v>
      </c>
      <c r="S143" s="698">
        <f t="shared" si="15"/>
        <v>0</v>
      </c>
    </row>
    <row r="144" spans="1:19">
      <c r="A144" s="491"/>
      <c r="B144" s="348"/>
      <c r="C144" s="313">
        <f t="shared" si="16"/>
        <v>1</v>
      </c>
      <c r="D144" s="1128"/>
      <c r="E144" s="313">
        <f t="shared" si="17"/>
        <v>0.05</v>
      </c>
      <c r="F144" s="1128"/>
      <c r="G144" s="313">
        <f t="shared" si="18"/>
        <v>0.1</v>
      </c>
      <c r="H144" s="1128"/>
      <c r="I144" s="313">
        <f t="shared" si="19"/>
        <v>1</v>
      </c>
      <c r="J144" s="1128"/>
      <c r="K144" s="313">
        <f t="shared" si="20"/>
        <v>1</v>
      </c>
      <c r="L144" s="1128"/>
      <c r="M144" s="313">
        <f t="shared" si="21"/>
        <v>1</v>
      </c>
      <c r="N144" s="1128"/>
      <c r="O144" s="313">
        <f t="shared" si="22"/>
        <v>1</v>
      </c>
      <c r="P144" s="1128"/>
      <c r="Q144" s="313">
        <f t="shared" si="23"/>
        <v>0.2</v>
      </c>
      <c r="R144" s="1124">
        <f t="shared" si="24"/>
        <v>0</v>
      </c>
      <c r="S144" s="698">
        <f t="shared" si="15"/>
        <v>0</v>
      </c>
    </row>
    <row r="145" spans="1:19">
      <c r="A145" s="491"/>
      <c r="B145" s="348"/>
      <c r="C145" s="313">
        <f t="shared" si="16"/>
        <v>1</v>
      </c>
      <c r="D145" s="1128"/>
      <c r="E145" s="313">
        <f t="shared" si="17"/>
        <v>0.05</v>
      </c>
      <c r="F145" s="1128"/>
      <c r="G145" s="313">
        <f t="shared" si="18"/>
        <v>0.1</v>
      </c>
      <c r="H145" s="1128"/>
      <c r="I145" s="313">
        <f t="shared" si="19"/>
        <v>1</v>
      </c>
      <c r="J145" s="1128"/>
      <c r="K145" s="313">
        <f t="shared" si="20"/>
        <v>1</v>
      </c>
      <c r="L145" s="1128"/>
      <c r="M145" s="313">
        <f t="shared" si="21"/>
        <v>1</v>
      </c>
      <c r="N145" s="1128"/>
      <c r="O145" s="313">
        <f t="shared" si="22"/>
        <v>1</v>
      </c>
      <c r="P145" s="1128"/>
      <c r="Q145" s="313">
        <f t="shared" si="23"/>
        <v>0.2</v>
      </c>
      <c r="R145" s="1124">
        <f t="shared" si="24"/>
        <v>0</v>
      </c>
      <c r="S145" s="698">
        <f t="shared" si="15"/>
        <v>0</v>
      </c>
    </row>
    <row r="146" spans="1:19">
      <c r="A146" s="491"/>
      <c r="B146" s="348"/>
      <c r="C146" s="313">
        <f t="shared" si="16"/>
        <v>1</v>
      </c>
      <c r="D146" s="1128"/>
      <c r="E146" s="313">
        <f t="shared" si="17"/>
        <v>0.05</v>
      </c>
      <c r="F146" s="1128"/>
      <c r="G146" s="313">
        <f t="shared" si="18"/>
        <v>0.1</v>
      </c>
      <c r="H146" s="1128"/>
      <c r="I146" s="313">
        <f t="shared" si="19"/>
        <v>1</v>
      </c>
      <c r="J146" s="1128"/>
      <c r="K146" s="313">
        <f t="shared" si="20"/>
        <v>1</v>
      </c>
      <c r="L146" s="1128"/>
      <c r="M146" s="313">
        <f t="shared" si="21"/>
        <v>1</v>
      </c>
      <c r="N146" s="1128"/>
      <c r="O146" s="313">
        <f t="shared" si="22"/>
        <v>1</v>
      </c>
      <c r="P146" s="1128"/>
      <c r="Q146" s="313">
        <f t="shared" si="23"/>
        <v>0.2</v>
      </c>
      <c r="R146" s="1124">
        <f t="shared" si="24"/>
        <v>0</v>
      </c>
      <c r="S146" s="698">
        <f t="shared" si="15"/>
        <v>0</v>
      </c>
    </row>
    <row r="147" spans="1:19">
      <c r="A147" s="491"/>
      <c r="B147" s="348"/>
      <c r="C147" s="313">
        <f t="shared" si="16"/>
        <v>1</v>
      </c>
      <c r="D147" s="1128"/>
      <c r="E147" s="313">
        <f t="shared" si="17"/>
        <v>0.05</v>
      </c>
      <c r="F147" s="1128"/>
      <c r="G147" s="313">
        <f t="shared" si="18"/>
        <v>0.1</v>
      </c>
      <c r="H147" s="1128"/>
      <c r="I147" s="313">
        <f t="shared" si="19"/>
        <v>1</v>
      </c>
      <c r="J147" s="1128"/>
      <c r="K147" s="313">
        <f t="shared" si="20"/>
        <v>1</v>
      </c>
      <c r="L147" s="1128"/>
      <c r="M147" s="313">
        <f t="shared" si="21"/>
        <v>1</v>
      </c>
      <c r="N147" s="1128"/>
      <c r="O147" s="313">
        <f t="shared" si="22"/>
        <v>1</v>
      </c>
      <c r="P147" s="1128"/>
      <c r="Q147" s="313">
        <f t="shared" si="23"/>
        <v>0.2</v>
      </c>
      <c r="R147" s="1124">
        <f t="shared" si="24"/>
        <v>0</v>
      </c>
      <c r="S147" s="698">
        <f t="shared" si="15"/>
        <v>0</v>
      </c>
    </row>
    <row r="148" spans="1:19">
      <c r="A148" s="491"/>
      <c r="B148" s="348"/>
      <c r="C148" s="313">
        <f t="shared" si="16"/>
        <v>1</v>
      </c>
      <c r="D148" s="1128"/>
      <c r="E148" s="313">
        <f t="shared" si="17"/>
        <v>0.05</v>
      </c>
      <c r="F148" s="1128"/>
      <c r="G148" s="313">
        <f t="shared" si="18"/>
        <v>0.1</v>
      </c>
      <c r="H148" s="1128"/>
      <c r="I148" s="313">
        <f t="shared" si="19"/>
        <v>1</v>
      </c>
      <c r="J148" s="1128"/>
      <c r="K148" s="313">
        <f t="shared" si="20"/>
        <v>1</v>
      </c>
      <c r="L148" s="1128"/>
      <c r="M148" s="313">
        <f t="shared" si="21"/>
        <v>1</v>
      </c>
      <c r="N148" s="1128"/>
      <c r="O148" s="313">
        <f t="shared" si="22"/>
        <v>1</v>
      </c>
      <c r="P148" s="1128"/>
      <c r="Q148" s="313">
        <f t="shared" si="23"/>
        <v>0.2</v>
      </c>
      <c r="R148" s="1124">
        <f t="shared" si="24"/>
        <v>0</v>
      </c>
      <c r="S148" s="698">
        <f t="shared" si="15"/>
        <v>0</v>
      </c>
    </row>
    <row r="149" spans="1:19">
      <c r="A149" s="491"/>
      <c r="B149" s="348"/>
      <c r="C149" s="313">
        <f t="shared" si="16"/>
        <v>1</v>
      </c>
      <c r="D149" s="1128"/>
      <c r="E149" s="313">
        <f t="shared" si="17"/>
        <v>0.05</v>
      </c>
      <c r="F149" s="1128"/>
      <c r="G149" s="313">
        <f t="shared" si="18"/>
        <v>0.1</v>
      </c>
      <c r="H149" s="1128"/>
      <c r="I149" s="313">
        <f t="shared" si="19"/>
        <v>1</v>
      </c>
      <c r="J149" s="1128"/>
      <c r="K149" s="313">
        <f t="shared" si="20"/>
        <v>1</v>
      </c>
      <c r="L149" s="1128"/>
      <c r="M149" s="313">
        <f t="shared" si="21"/>
        <v>1</v>
      </c>
      <c r="N149" s="1128"/>
      <c r="O149" s="313">
        <f t="shared" si="22"/>
        <v>1</v>
      </c>
      <c r="P149" s="1128"/>
      <c r="Q149" s="313">
        <f t="shared" si="23"/>
        <v>0.2</v>
      </c>
      <c r="R149" s="1124">
        <f t="shared" si="24"/>
        <v>0</v>
      </c>
      <c r="S149" s="698">
        <f t="shared" si="15"/>
        <v>0</v>
      </c>
    </row>
    <row r="150" spans="1:19">
      <c r="A150" s="491"/>
      <c r="B150" s="348"/>
      <c r="C150" s="313">
        <f t="shared" si="16"/>
        <v>1</v>
      </c>
      <c r="D150" s="1128"/>
      <c r="E150" s="313">
        <f t="shared" si="17"/>
        <v>0.05</v>
      </c>
      <c r="F150" s="1128"/>
      <c r="G150" s="313">
        <f t="shared" si="18"/>
        <v>0.1</v>
      </c>
      <c r="H150" s="1128"/>
      <c r="I150" s="313">
        <f t="shared" si="19"/>
        <v>1</v>
      </c>
      <c r="J150" s="1128"/>
      <c r="K150" s="313">
        <f t="shared" si="20"/>
        <v>1</v>
      </c>
      <c r="L150" s="1128"/>
      <c r="M150" s="313">
        <f t="shared" si="21"/>
        <v>1</v>
      </c>
      <c r="N150" s="1128"/>
      <c r="O150" s="313">
        <f t="shared" si="22"/>
        <v>1</v>
      </c>
      <c r="P150" s="1128"/>
      <c r="Q150" s="313">
        <f t="shared" si="23"/>
        <v>0.2</v>
      </c>
      <c r="R150" s="1124">
        <f t="shared" si="24"/>
        <v>0</v>
      </c>
      <c r="S150" s="698">
        <f t="shared" si="15"/>
        <v>0</v>
      </c>
    </row>
    <row r="151" spans="1:19">
      <c r="A151" s="491"/>
      <c r="B151" s="348"/>
      <c r="C151" s="313">
        <f t="shared" si="16"/>
        <v>1</v>
      </c>
      <c r="D151" s="1128"/>
      <c r="E151" s="313">
        <f t="shared" si="17"/>
        <v>0.05</v>
      </c>
      <c r="F151" s="1128"/>
      <c r="G151" s="313">
        <f t="shared" si="18"/>
        <v>0.1</v>
      </c>
      <c r="H151" s="1128"/>
      <c r="I151" s="313">
        <f t="shared" si="19"/>
        <v>1</v>
      </c>
      <c r="J151" s="1128"/>
      <c r="K151" s="313">
        <f t="shared" si="20"/>
        <v>1</v>
      </c>
      <c r="L151" s="1128"/>
      <c r="M151" s="313">
        <f t="shared" si="21"/>
        <v>1</v>
      </c>
      <c r="N151" s="1128"/>
      <c r="O151" s="313">
        <f t="shared" si="22"/>
        <v>1</v>
      </c>
      <c r="P151" s="1128"/>
      <c r="Q151" s="313">
        <f t="shared" si="23"/>
        <v>0.2</v>
      </c>
      <c r="R151" s="1124">
        <f t="shared" si="24"/>
        <v>0</v>
      </c>
      <c r="S151" s="698">
        <f t="shared" si="15"/>
        <v>0</v>
      </c>
    </row>
    <row r="152" spans="1:19">
      <c r="A152" s="491"/>
      <c r="B152" s="348"/>
      <c r="C152" s="313">
        <f t="shared" si="16"/>
        <v>1</v>
      </c>
      <c r="D152" s="1128"/>
      <c r="E152" s="313">
        <f t="shared" si="17"/>
        <v>0.05</v>
      </c>
      <c r="F152" s="1128"/>
      <c r="G152" s="313">
        <f t="shared" si="18"/>
        <v>0.1</v>
      </c>
      <c r="H152" s="1128"/>
      <c r="I152" s="313">
        <f t="shared" si="19"/>
        <v>1</v>
      </c>
      <c r="J152" s="1128"/>
      <c r="K152" s="313">
        <f t="shared" si="20"/>
        <v>1</v>
      </c>
      <c r="L152" s="1128"/>
      <c r="M152" s="313">
        <f t="shared" si="21"/>
        <v>1</v>
      </c>
      <c r="N152" s="1128"/>
      <c r="O152" s="313">
        <f t="shared" si="22"/>
        <v>1</v>
      </c>
      <c r="P152" s="1128"/>
      <c r="Q152" s="313">
        <f t="shared" si="23"/>
        <v>0.2</v>
      </c>
      <c r="R152" s="1124">
        <f t="shared" si="24"/>
        <v>0</v>
      </c>
      <c r="S152" s="698">
        <f t="shared" ref="S152:S215" si="25">ROUND(R152*B152/10000,0)</f>
        <v>0</v>
      </c>
    </row>
    <row r="153" spans="1:19">
      <c r="A153" s="491"/>
      <c r="B153" s="348"/>
      <c r="C153" s="313">
        <f t="shared" si="16"/>
        <v>1</v>
      </c>
      <c r="D153" s="1128"/>
      <c r="E153" s="313">
        <f t="shared" si="17"/>
        <v>0.05</v>
      </c>
      <c r="F153" s="1128"/>
      <c r="G153" s="313">
        <f t="shared" si="18"/>
        <v>0.1</v>
      </c>
      <c r="H153" s="1128"/>
      <c r="I153" s="313">
        <f t="shared" si="19"/>
        <v>1</v>
      </c>
      <c r="J153" s="1128"/>
      <c r="K153" s="313">
        <f t="shared" si="20"/>
        <v>1</v>
      </c>
      <c r="L153" s="1128"/>
      <c r="M153" s="313">
        <f t="shared" si="21"/>
        <v>1</v>
      </c>
      <c r="N153" s="1128"/>
      <c r="O153" s="313">
        <f t="shared" si="22"/>
        <v>1</v>
      </c>
      <c r="P153" s="1128"/>
      <c r="Q153" s="313">
        <f t="shared" si="23"/>
        <v>0.2</v>
      </c>
      <c r="R153" s="1124">
        <f t="shared" si="24"/>
        <v>0</v>
      </c>
      <c r="S153" s="698">
        <f t="shared" si="25"/>
        <v>0</v>
      </c>
    </row>
    <row r="154" spans="1:19">
      <c r="A154" s="491"/>
      <c r="B154" s="348"/>
      <c r="C154" s="313">
        <f t="shared" ref="C154:C217" si="26">IF(B154="",1,(LOOKUP(B154,$3:$3,$4:$4)-LOOKUP($B$24,$3:$3,$4:$4)+100)/100)</f>
        <v>1</v>
      </c>
      <c r="D154" s="1128"/>
      <c r="E154" s="313">
        <f t="shared" ref="E154:E217" si="27">(SUMIF($5:$5,D154,$6:$6)-SUMIF($5:$5,$D$24,$6:$6)+100)/100</f>
        <v>0.05</v>
      </c>
      <c r="F154" s="1128"/>
      <c r="G154" s="313">
        <f t="shared" ref="G154:G217" si="28">(SUMIF($7:$7,F154,$8:$8)-SUMIF($7:$7,$F$24,$8:$8)+100)/100</f>
        <v>0.1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0.2</v>
      </c>
      <c r="R154" s="1124">
        <f t="shared" ref="R154:R217" si="34">IF(B154="",0,ROUND($R$24*C154*E154*G154*I154*K154*M154*O154*Q154,0))</f>
        <v>0</v>
      </c>
      <c r="S154" s="698">
        <f t="shared" si="25"/>
        <v>0</v>
      </c>
    </row>
    <row r="155" spans="1:19">
      <c r="A155" s="491"/>
      <c r="B155" s="348"/>
      <c r="C155" s="313">
        <f t="shared" si="26"/>
        <v>1</v>
      </c>
      <c r="D155" s="1128"/>
      <c r="E155" s="313">
        <f t="shared" si="27"/>
        <v>0.05</v>
      </c>
      <c r="F155" s="1128"/>
      <c r="G155" s="313">
        <f t="shared" si="28"/>
        <v>0.1</v>
      </c>
      <c r="H155" s="1128"/>
      <c r="I155" s="313">
        <f t="shared" si="29"/>
        <v>1</v>
      </c>
      <c r="J155" s="1128"/>
      <c r="K155" s="313">
        <f t="shared" si="30"/>
        <v>1</v>
      </c>
      <c r="L155" s="1128"/>
      <c r="M155" s="313">
        <f t="shared" si="31"/>
        <v>1</v>
      </c>
      <c r="N155" s="1128"/>
      <c r="O155" s="313">
        <f t="shared" si="32"/>
        <v>1</v>
      </c>
      <c r="P155" s="1128"/>
      <c r="Q155" s="313">
        <f t="shared" si="33"/>
        <v>0.2</v>
      </c>
      <c r="R155" s="1124">
        <f t="shared" si="34"/>
        <v>0</v>
      </c>
      <c r="S155" s="698">
        <f t="shared" si="25"/>
        <v>0</v>
      </c>
    </row>
    <row r="156" spans="1:19">
      <c r="A156" s="491"/>
      <c r="B156" s="348"/>
      <c r="C156" s="313">
        <f t="shared" si="26"/>
        <v>1</v>
      </c>
      <c r="D156" s="1128"/>
      <c r="E156" s="313">
        <f t="shared" si="27"/>
        <v>0.05</v>
      </c>
      <c r="F156" s="1128"/>
      <c r="G156" s="313">
        <f t="shared" si="28"/>
        <v>0.1</v>
      </c>
      <c r="H156" s="1128"/>
      <c r="I156" s="313">
        <f t="shared" si="29"/>
        <v>1</v>
      </c>
      <c r="J156" s="1128"/>
      <c r="K156" s="313">
        <f t="shared" si="30"/>
        <v>1</v>
      </c>
      <c r="L156" s="1128"/>
      <c r="M156" s="313">
        <f t="shared" si="31"/>
        <v>1</v>
      </c>
      <c r="N156" s="1128"/>
      <c r="O156" s="313">
        <f t="shared" si="32"/>
        <v>1</v>
      </c>
      <c r="P156" s="1128"/>
      <c r="Q156" s="313">
        <f t="shared" si="33"/>
        <v>0.2</v>
      </c>
      <c r="R156" s="1124">
        <f t="shared" si="34"/>
        <v>0</v>
      </c>
      <c r="S156" s="698">
        <f t="shared" si="25"/>
        <v>0</v>
      </c>
    </row>
    <row r="157" spans="1:19">
      <c r="A157" s="491"/>
      <c r="B157" s="348"/>
      <c r="C157" s="313">
        <f t="shared" si="26"/>
        <v>1</v>
      </c>
      <c r="D157" s="1128"/>
      <c r="E157" s="313">
        <f t="shared" si="27"/>
        <v>0.05</v>
      </c>
      <c r="F157" s="1128"/>
      <c r="G157" s="313">
        <f t="shared" si="28"/>
        <v>0.1</v>
      </c>
      <c r="H157" s="1128"/>
      <c r="I157" s="313">
        <f t="shared" si="29"/>
        <v>1</v>
      </c>
      <c r="J157" s="1128"/>
      <c r="K157" s="313">
        <f t="shared" si="30"/>
        <v>1</v>
      </c>
      <c r="L157" s="1128"/>
      <c r="M157" s="313">
        <f t="shared" si="31"/>
        <v>1</v>
      </c>
      <c r="N157" s="1128"/>
      <c r="O157" s="313">
        <f t="shared" si="32"/>
        <v>1</v>
      </c>
      <c r="P157" s="1128"/>
      <c r="Q157" s="313">
        <f t="shared" si="33"/>
        <v>0.2</v>
      </c>
      <c r="R157" s="1124">
        <f t="shared" si="34"/>
        <v>0</v>
      </c>
      <c r="S157" s="698">
        <f t="shared" si="25"/>
        <v>0</v>
      </c>
    </row>
    <row r="158" spans="1:19">
      <c r="A158" s="491"/>
      <c r="B158" s="348"/>
      <c r="C158" s="313">
        <f t="shared" si="26"/>
        <v>1</v>
      </c>
      <c r="D158" s="1128"/>
      <c r="E158" s="313">
        <f t="shared" si="27"/>
        <v>0.05</v>
      </c>
      <c r="F158" s="1128"/>
      <c r="G158" s="313">
        <f t="shared" si="28"/>
        <v>0.1</v>
      </c>
      <c r="H158" s="1128"/>
      <c r="I158" s="313">
        <f t="shared" si="29"/>
        <v>1</v>
      </c>
      <c r="J158" s="1128"/>
      <c r="K158" s="313">
        <f t="shared" si="30"/>
        <v>1</v>
      </c>
      <c r="L158" s="1128"/>
      <c r="M158" s="313">
        <f t="shared" si="31"/>
        <v>1</v>
      </c>
      <c r="N158" s="1128"/>
      <c r="O158" s="313">
        <f t="shared" si="32"/>
        <v>1</v>
      </c>
      <c r="P158" s="1128"/>
      <c r="Q158" s="313">
        <f t="shared" si="33"/>
        <v>0.2</v>
      </c>
      <c r="R158" s="1124">
        <f t="shared" si="34"/>
        <v>0</v>
      </c>
      <c r="S158" s="698">
        <f t="shared" si="25"/>
        <v>0</v>
      </c>
    </row>
    <row r="159" spans="1:19">
      <c r="A159" s="491"/>
      <c r="B159" s="348"/>
      <c r="C159" s="313">
        <f t="shared" si="26"/>
        <v>1</v>
      </c>
      <c r="D159" s="1128"/>
      <c r="E159" s="313">
        <f t="shared" si="27"/>
        <v>0.05</v>
      </c>
      <c r="F159" s="1128"/>
      <c r="G159" s="313">
        <f t="shared" si="28"/>
        <v>0.1</v>
      </c>
      <c r="H159" s="1128"/>
      <c r="I159" s="313">
        <f t="shared" si="29"/>
        <v>1</v>
      </c>
      <c r="J159" s="1128"/>
      <c r="K159" s="313">
        <f t="shared" si="30"/>
        <v>1</v>
      </c>
      <c r="L159" s="1128"/>
      <c r="M159" s="313">
        <f t="shared" si="31"/>
        <v>1</v>
      </c>
      <c r="N159" s="1128"/>
      <c r="O159" s="313">
        <f t="shared" si="32"/>
        <v>1</v>
      </c>
      <c r="P159" s="1128"/>
      <c r="Q159" s="313">
        <f t="shared" si="33"/>
        <v>0.2</v>
      </c>
      <c r="R159" s="1124">
        <f t="shared" si="34"/>
        <v>0</v>
      </c>
      <c r="S159" s="698">
        <f t="shared" si="25"/>
        <v>0</v>
      </c>
    </row>
    <row r="160" spans="1:19">
      <c r="A160" s="491"/>
      <c r="B160" s="348"/>
      <c r="C160" s="313">
        <f t="shared" si="26"/>
        <v>1</v>
      </c>
      <c r="D160" s="1128"/>
      <c r="E160" s="313">
        <f t="shared" si="27"/>
        <v>0.05</v>
      </c>
      <c r="F160" s="1128"/>
      <c r="G160" s="313">
        <f t="shared" si="28"/>
        <v>0.1</v>
      </c>
      <c r="H160" s="1128"/>
      <c r="I160" s="313">
        <f t="shared" si="29"/>
        <v>1</v>
      </c>
      <c r="J160" s="1128"/>
      <c r="K160" s="313">
        <f t="shared" si="30"/>
        <v>1</v>
      </c>
      <c r="L160" s="1128"/>
      <c r="M160" s="313">
        <f t="shared" si="31"/>
        <v>1</v>
      </c>
      <c r="N160" s="1128"/>
      <c r="O160" s="313">
        <f t="shared" si="32"/>
        <v>1</v>
      </c>
      <c r="P160" s="1128"/>
      <c r="Q160" s="313">
        <f t="shared" si="33"/>
        <v>0.2</v>
      </c>
      <c r="R160" s="1124">
        <f t="shared" si="34"/>
        <v>0</v>
      </c>
      <c r="S160" s="698">
        <f t="shared" si="25"/>
        <v>0</v>
      </c>
    </row>
    <row r="161" spans="1:19">
      <c r="A161" s="491"/>
      <c r="B161" s="348"/>
      <c r="C161" s="313">
        <f t="shared" si="26"/>
        <v>1</v>
      </c>
      <c r="D161" s="1128"/>
      <c r="E161" s="313">
        <f t="shared" si="27"/>
        <v>0.05</v>
      </c>
      <c r="F161" s="1128"/>
      <c r="G161" s="313">
        <f t="shared" si="28"/>
        <v>0.1</v>
      </c>
      <c r="H161" s="1128"/>
      <c r="I161" s="313">
        <f t="shared" si="29"/>
        <v>1</v>
      </c>
      <c r="J161" s="1128"/>
      <c r="K161" s="313">
        <f t="shared" si="30"/>
        <v>1</v>
      </c>
      <c r="L161" s="1128"/>
      <c r="M161" s="313">
        <f t="shared" si="31"/>
        <v>1</v>
      </c>
      <c r="N161" s="1128"/>
      <c r="O161" s="313">
        <f t="shared" si="32"/>
        <v>1</v>
      </c>
      <c r="P161" s="1128"/>
      <c r="Q161" s="313">
        <f t="shared" si="33"/>
        <v>0.2</v>
      </c>
      <c r="R161" s="1124">
        <f t="shared" si="34"/>
        <v>0</v>
      </c>
      <c r="S161" s="698">
        <f t="shared" si="25"/>
        <v>0</v>
      </c>
    </row>
    <row r="162" spans="1:19">
      <c r="A162" s="491"/>
      <c r="B162" s="348"/>
      <c r="C162" s="313">
        <f t="shared" si="26"/>
        <v>1</v>
      </c>
      <c r="D162" s="1128"/>
      <c r="E162" s="313">
        <f t="shared" si="27"/>
        <v>0.05</v>
      </c>
      <c r="F162" s="1128"/>
      <c r="G162" s="313">
        <f t="shared" si="28"/>
        <v>0.1</v>
      </c>
      <c r="H162" s="1128"/>
      <c r="I162" s="313">
        <f t="shared" si="29"/>
        <v>1</v>
      </c>
      <c r="J162" s="1128"/>
      <c r="K162" s="313">
        <f t="shared" si="30"/>
        <v>1</v>
      </c>
      <c r="L162" s="1128"/>
      <c r="M162" s="313">
        <f t="shared" si="31"/>
        <v>1</v>
      </c>
      <c r="N162" s="1128"/>
      <c r="O162" s="313">
        <f t="shared" si="32"/>
        <v>1</v>
      </c>
      <c r="P162" s="1128"/>
      <c r="Q162" s="313">
        <f t="shared" si="33"/>
        <v>0.2</v>
      </c>
      <c r="R162" s="1124">
        <f t="shared" si="34"/>
        <v>0</v>
      </c>
      <c r="S162" s="698">
        <f t="shared" si="25"/>
        <v>0</v>
      </c>
    </row>
    <row r="163" spans="1:19">
      <c r="A163" s="491"/>
      <c r="B163" s="348"/>
      <c r="C163" s="313">
        <f t="shared" si="26"/>
        <v>1</v>
      </c>
      <c r="D163" s="1128"/>
      <c r="E163" s="313">
        <f t="shared" si="27"/>
        <v>0.05</v>
      </c>
      <c r="F163" s="1128"/>
      <c r="G163" s="313">
        <f t="shared" si="28"/>
        <v>0.1</v>
      </c>
      <c r="H163" s="1128"/>
      <c r="I163" s="313">
        <f t="shared" si="29"/>
        <v>1</v>
      </c>
      <c r="J163" s="1128"/>
      <c r="K163" s="313">
        <f t="shared" si="30"/>
        <v>1</v>
      </c>
      <c r="L163" s="1128"/>
      <c r="M163" s="313">
        <f t="shared" si="31"/>
        <v>1</v>
      </c>
      <c r="N163" s="1128"/>
      <c r="O163" s="313">
        <f t="shared" si="32"/>
        <v>1</v>
      </c>
      <c r="P163" s="1128"/>
      <c r="Q163" s="313">
        <f t="shared" si="33"/>
        <v>0.2</v>
      </c>
      <c r="R163" s="1124">
        <f t="shared" si="34"/>
        <v>0</v>
      </c>
      <c r="S163" s="698">
        <f t="shared" si="25"/>
        <v>0</v>
      </c>
    </row>
    <row r="164" spans="1:19">
      <c r="A164" s="491"/>
      <c r="B164" s="348"/>
      <c r="C164" s="313">
        <f t="shared" si="26"/>
        <v>1</v>
      </c>
      <c r="D164" s="1128"/>
      <c r="E164" s="313">
        <f t="shared" si="27"/>
        <v>0.05</v>
      </c>
      <c r="F164" s="1128"/>
      <c r="G164" s="313">
        <f t="shared" si="28"/>
        <v>0.1</v>
      </c>
      <c r="H164" s="1128"/>
      <c r="I164" s="313">
        <f t="shared" si="29"/>
        <v>1</v>
      </c>
      <c r="J164" s="1128"/>
      <c r="K164" s="313">
        <f t="shared" si="30"/>
        <v>1</v>
      </c>
      <c r="L164" s="1128"/>
      <c r="M164" s="313">
        <f t="shared" si="31"/>
        <v>1</v>
      </c>
      <c r="N164" s="1128"/>
      <c r="O164" s="313">
        <f t="shared" si="32"/>
        <v>1</v>
      </c>
      <c r="P164" s="1128"/>
      <c r="Q164" s="313">
        <f t="shared" si="33"/>
        <v>0.2</v>
      </c>
      <c r="R164" s="1124">
        <f t="shared" si="34"/>
        <v>0</v>
      </c>
      <c r="S164" s="698">
        <f t="shared" si="25"/>
        <v>0</v>
      </c>
    </row>
    <row r="165" spans="1:19">
      <c r="A165" s="491"/>
      <c r="B165" s="348"/>
      <c r="C165" s="313">
        <f t="shared" si="26"/>
        <v>1</v>
      </c>
      <c r="D165" s="1128"/>
      <c r="E165" s="313">
        <f t="shared" si="27"/>
        <v>0.05</v>
      </c>
      <c r="F165" s="1128"/>
      <c r="G165" s="313">
        <f t="shared" si="28"/>
        <v>0.1</v>
      </c>
      <c r="H165" s="1128"/>
      <c r="I165" s="313">
        <f t="shared" si="29"/>
        <v>1</v>
      </c>
      <c r="J165" s="1128"/>
      <c r="K165" s="313">
        <f t="shared" si="30"/>
        <v>1</v>
      </c>
      <c r="L165" s="1128"/>
      <c r="M165" s="313">
        <f t="shared" si="31"/>
        <v>1</v>
      </c>
      <c r="N165" s="1128"/>
      <c r="O165" s="313">
        <f t="shared" si="32"/>
        <v>1</v>
      </c>
      <c r="P165" s="1128"/>
      <c r="Q165" s="313">
        <f t="shared" si="33"/>
        <v>0.2</v>
      </c>
      <c r="R165" s="1124">
        <f t="shared" si="34"/>
        <v>0</v>
      </c>
      <c r="S165" s="698">
        <f t="shared" si="25"/>
        <v>0</v>
      </c>
    </row>
    <row r="166" spans="1:19">
      <c r="A166" s="491"/>
      <c r="B166" s="348"/>
      <c r="C166" s="313">
        <f t="shared" si="26"/>
        <v>1</v>
      </c>
      <c r="D166" s="1128"/>
      <c r="E166" s="313">
        <f t="shared" si="27"/>
        <v>0.05</v>
      </c>
      <c r="F166" s="1128"/>
      <c r="G166" s="313">
        <f t="shared" si="28"/>
        <v>0.1</v>
      </c>
      <c r="H166" s="1128"/>
      <c r="I166" s="313">
        <f t="shared" si="29"/>
        <v>1</v>
      </c>
      <c r="J166" s="1128"/>
      <c r="K166" s="313">
        <f t="shared" si="30"/>
        <v>1</v>
      </c>
      <c r="L166" s="1128"/>
      <c r="M166" s="313">
        <f t="shared" si="31"/>
        <v>1</v>
      </c>
      <c r="N166" s="1128"/>
      <c r="O166" s="313">
        <f t="shared" si="32"/>
        <v>1</v>
      </c>
      <c r="P166" s="1128"/>
      <c r="Q166" s="313">
        <f t="shared" si="33"/>
        <v>0.2</v>
      </c>
      <c r="R166" s="1124">
        <f t="shared" si="34"/>
        <v>0</v>
      </c>
      <c r="S166" s="698">
        <f t="shared" si="25"/>
        <v>0</v>
      </c>
    </row>
    <row r="167" spans="1:19">
      <c r="A167" s="491"/>
      <c r="B167" s="348"/>
      <c r="C167" s="313">
        <f t="shared" si="26"/>
        <v>1</v>
      </c>
      <c r="D167" s="1128"/>
      <c r="E167" s="313">
        <f t="shared" si="27"/>
        <v>0.05</v>
      </c>
      <c r="F167" s="1128"/>
      <c r="G167" s="313">
        <f t="shared" si="28"/>
        <v>0.1</v>
      </c>
      <c r="H167" s="1128"/>
      <c r="I167" s="313">
        <f t="shared" si="29"/>
        <v>1</v>
      </c>
      <c r="J167" s="1128"/>
      <c r="K167" s="313">
        <f t="shared" si="30"/>
        <v>1</v>
      </c>
      <c r="L167" s="1128"/>
      <c r="M167" s="313">
        <f t="shared" si="31"/>
        <v>1</v>
      </c>
      <c r="N167" s="1128"/>
      <c r="O167" s="313">
        <f t="shared" si="32"/>
        <v>1</v>
      </c>
      <c r="P167" s="1128"/>
      <c r="Q167" s="313">
        <f t="shared" si="33"/>
        <v>0.2</v>
      </c>
      <c r="R167" s="1124">
        <f t="shared" si="34"/>
        <v>0</v>
      </c>
      <c r="S167" s="698">
        <f t="shared" si="25"/>
        <v>0</v>
      </c>
    </row>
    <row r="168" spans="1:19">
      <c r="A168" s="491"/>
      <c r="B168" s="348"/>
      <c r="C168" s="313">
        <f t="shared" si="26"/>
        <v>1</v>
      </c>
      <c r="D168" s="1128"/>
      <c r="E168" s="313">
        <f t="shared" si="27"/>
        <v>0.05</v>
      </c>
      <c r="F168" s="1128"/>
      <c r="G168" s="313">
        <f t="shared" si="28"/>
        <v>0.1</v>
      </c>
      <c r="H168" s="1128"/>
      <c r="I168" s="313">
        <f t="shared" si="29"/>
        <v>1</v>
      </c>
      <c r="J168" s="1128"/>
      <c r="K168" s="313">
        <f t="shared" si="30"/>
        <v>1</v>
      </c>
      <c r="L168" s="1128"/>
      <c r="M168" s="313">
        <f t="shared" si="31"/>
        <v>1</v>
      </c>
      <c r="N168" s="1128"/>
      <c r="O168" s="313">
        <f t="shared" si="32"/>
        <v>1</v>
      </c>
      <c r="P168" s="1128"/>
      <c r="Q168" s="313">
        <f t="shared" si="33"/>
        <v>0.2</v>
      </c>
      <c r="R168" s="1124">
        <f t="shared" si="34"/>
        <v>0</v>
      </c>
      <c r="S168" s="698">
        <f t="shared" si="25"/>
        <v>0</v>
      </c>
    </row>
    <row r="169" spans="1:19">
      <c r="A169" s="491"/>
      <c r="B169" s="348"/>
      <c r="C169" s="313">
        <f t="shared" si="26"/>
        <v>1</v>
      </c>
      <c r="D169" s="1128"/>
      <c r="E169" s="313">
        <f t="shared" si="27"/>
        <v>0.05</v>
      </c>
      <c r="F169" s="1128"/>
      <c r="G169" s="313">
        <f t="shared" si="28"/>
        <v>0.1</v>
      </c>
      <c r="H169" s="1128"/>
      <c r="I169" s="313">
        <f t="shared" si="29"/>
        <v>1</v>
      </c>
      <c r="J169" s="1128"/>
      <c r="K169" s="313">
        <f t="shared" si="30"/>
        <v>1</v>
      </c>
      <c r="L169" s="1128"/>
      <c r="M169" s="313">
        <f t="shared" si="31"/>
        <v>1</v>
      </c>
      <c r="N169" s="1128"/>
      <c r="O169" s="313">
        <f t="shared" si="32"/>
        <v>1</v>
      </c>
      <c r="P169" s="1128"/>
      <c r="Q169" s="313">
        <f t="shared" si="33"/>
        <v>0.2</v>
      </c>
      <c r="R169" s="1124">
        <f t="shared" si="34"/>
        <v>0</v>
      </c>
      <c r="S169" s="698">
        <f t="shared" si="25"/>
        <v>0</v>
      </c>
    </row>
    <row r="170" spans="1:19">
      <c r="A170" s="491"/>
      <c r="B170" s="348"/>
      <c r="C170" s="313">
        <f t="shared" si="26"/>
        <v>1</v>
      </c>
      <c r="D170" s="1128"/>
      <c r="E170" s="313">
        <f t="shared" si="27"/>
        <v>0.05</v>
      </c>
      <c r="F170" s="1128"/>
      <c r="G170" s="313">
        <f t="shared" si="28"/>
        <v>0.1</v>
      </c>
      <c r="H170" s="1128"/>
      <c r="I170" s="313">
        <f t="shared" si="29"/>
        <v>1</v>
      </c>
      <c r="J170" s="1128"/>
      <c r="K170" s="313">
        <f t="shared" si="30"/>
        <v>1</v>
      </c>
      <c r="L170" s="1128"/>
      <c r="M170" s="313">
        <f t="shared" si="31"/>
        <v>1</v>
      </c>
      <c r="N170" s="1128"/>
      <c r="O170" s="313">
        <f t="shared" si="32"/>
        <v>1</v>
      </c>
      <c r="P170" s="1128"/>
      <c r="Q170" s="313">
        <f t="shared" si="33"/>
        <v>0.2</v>
      </c>
      <c r="R170" s="1124">
        <f t="shared" si="34"/>
        <v>0</v>
      </c>
      <c r="S170" s="698">
        <f t="shared" si="25"/>
        <v>0</v>
      </c>
    </row>
    <row r="171" spans="1:19">
      <c r="A171" s="491"/>
      <c r="B171" s="348"/>
      <c r="C171" s="313">
        <f t="shared" si="26"/>
        <v>1</v>
      </c>
      <c r="D171" s="1128"/>
      <c r="E171" s="313">
        <f t="shared" si="27"/>
        <v>0.05</v>
      </c>
      <c r="F171" s="1128"/>
      <c r="G171" s="313">
        <f t="shared" si="28"/>
        <v>0.1</v>
      </c>
      <c r="H171" s="1128"/>
      <c r="I171" s="313">
        <f t="shared" si="29"/>
        <v>1</v>
      </c>
      <c r="J171" s="1128"/>
      <c r="K171" s="313">
        <f t="shared" si="30"/>
        <v>1</v>
      </c>
      <c r="L171" s="1128"/>
      <c r="M171" s="313">
        <f t="shared" si="31"/>
        <v>1</v>
      </c>
      <c r="N171" s="1128"/>
      <c r="O171" s="313">
        <f t="shared" si="32"/>
        <v>1</v>
      </c>
      <c r="P171" s="1128"/>
      <c r="Q171" s="313">
        <f t="shared" si="33"/>
        <v>0.2</v>
      </c>
      <c r="R171" s="1124">
        <f t="shared" si="34"/>
        <v>0</v>
      </c>
      <c r="S171" s="698">
        <f t="shared" si="25"/>
        <v>0</v>
      </c>
    </row>
    <row r="172" spans="1:19">
      <c r="A172" s="491"/>
      <c r="B172" s="348"/>
      <c r="C172" s="313">
        <f t="shared" si="26"/>
        <v>1</v>
      </c>
      <c r="D172" s="1128"/>
      <c r="E172" s="313">
        <f t="shared" si="27"/>
        <v>0.05</v>
      </c>
      <c r="F172" s="1128"/>
      <c r="G172" s="313">
        <f t="shared" si="28"/>
        <v>0.1</v>
      </c>
      <c r="H172" s="1128"/>
      <c r="I172" s="313">
        <f t="shared" si="29"/>
        <v>1</v>
      </c>
      <c r="J172" s="1128"/>
      <c r="K172" s="313">
        <f t="shared" si="30"/>
        <v>1</v>
      </c>
      <c r="L172" s="1128"/>
      <c r="M172" s="313">
        <f t="shared" si="31"/>
        <v>1</v>
      </c>
      <c r="N172" s="1128"/>
      <c r="O172" s="313">
        <f t="shared" si="32"/>
        <v>1</v>
      </c>
      <c r="P172" s="1128"/>
      <c r="Q172" s="313">
        <f t="shared" si="33"/>
        <v>0.2</v>
      </c>
      <c r="R172" s="1124">
        <f t="shared" si="34"/>
        <v>0</v>
      </c>
      <c r="S172" s="698">
        <f t="shared" si="25"/>
        <v>0</v>
      </c>
    </row>
    <row r="173" spans="1:19">
      <c r="A173" s="491"/>
      <c r="B173" s="348"/>
      <c r="C173" s="313">
        <f t="shared" si="26"/>
        <v>1</v>
      </c>
      <c r="D173" s="1128"/>
      <c r="E173" s="313">
        <f t="shared" si="27"/>
        <v>0.05</v>
      </c>
      <c r="F173" s="1128"/>
      <c r="G173" s="313">
        <f t="shared" si="28"/>
        <v>0.1</v>
      </c>
      <c r="H173" s="1128"/>
      <c r="I173" s="313">
        <f t="shared" si="29"/>
        <v>1</v>
      </c>
      <c r="J173" s="1128"/>
      <c r="K173" s="313">
        <f t="shared" si="30"/>
        <v>1</v>
      </c>
      <c r="L173" s="1128"/>
      <c r="M173" s="313">
        <f t="shared" si="31"/>
        <v>1</v>
      </c>
      <c r="N173" s="1128"/>
      <c r="O173" s="313">
        <f t="shared" si="32"/>
        <v>1</v>
      </c>
      <c r="P173" s="1128"/>
      <c r="Q173" s="313">
        <f t="shared" si="33"/>
        <v>0.2</v>
      </c>
      <c r="R173" s="1124">
        <f t="shared" si="34"/>
        <v>0</v>
      </c>
      <c r="S173" s="698">
        <f t="shared" si="25"/>
        <v>0</v>
      </c>
    </row>
    <row r="174" spans="1:19">
      <c r="A174" s="491"/>
      <c r="B174" s="348"/>
      <c r="C174" s="313">
        <f t="shared" si="26"/>
        <v>1</v>
      </c>
      <c r="D174" s="1128"/>
      <c r="E174" s="313">
        <f t="shared" si="27"/>
        <v>0.05</v>
      </c>
      <c r="F174" s="1128"/>
      <c r="G174" s="313">
        <f t="shared" si="28"/>
        <v>0.1</v>
      </c>
      <c r="H174" s="1128"/>
      <c r="I174" s="313">
        <f t="shared" si="29"/>
        <v>1</v>
      </c>
      <c r="J174" s="1128"/>
      <c r="K174" s="313">
        <f t="shared" si="30"/>
        <v>1</v>
      </c>
      <c r="L174" s="1128"/>
      <c r="M174" s="313">
        <f t="shared" si="31"/>
        <v>1</v>
      </c>
      <c r="N174" s="1128"/>
      <c r="O174" s="313">
        <f t="shared" si="32"/>
        <v>1</v>
      </c>
      <c r="P174" s="1128"/>
      <c r="Q174" s="313">
        <f t="shared" si="33"/>
        <v>0.2</v>
      </c>
      <c r="R174" s="1124">
        <f t="shared" si="34"/>
        <v>0</v>
      </c>
      <c r="S174" s="698">
        <f t="shared" si="25"/>
        <v>0</v>
      </c>
    </row>
    <row r="175" spans="1:19">
      <c r="A175" s="491"/>
      <c r="B175" s="348"/>
      <c r="C175" s="313">
        <f t="shared" si="26"/>
        <v>1</v>
      </c>
      <c r="D175" s="1128"/>
      <c r="E175" s="313">
        <f t="shared" si="27"/>
        <v>0.05</v>
      </c>
      <c r="F175" s="1128"/>
      <c r="G175" s="313">
        <f t="shared" si="28"/>
        <v>0.1</v>
      </c>
      <c r="H175" s="1128"/>
      <c r="I175" s="313">
        <f t="shared" si="29"/>
        <v>1</v>
      </c>
      <c r="J175" s="1128"/>
      <c r="K175" s="313">
        <f t="shared" si="30"/>
        <v>1</v>
      </c>
      <c r="L175" s="1128"/>
      <c r="M175" s="313">
        <f t="shared" si="31"/>
        <v>1</v>
      </c>
      <c r="N175" s="1128"/>
      <c r="O175" s="313">
        <f t="shared" si="32"/>
        <v>1</v>
      </c>
      <c r="P175" s="1128"/>
      <c r="Q175" s="313">
        <f t="shared" si="33"/>
        <v>0.2</v>
      </c>
      <c r="R175" s="1124">
        <f t="shared" si="34"/>
        <v>0</v>
      </c>
      <c r="S175" s="698">
        <f t="shared" si="25"/>
        <v>0</v>
      </c>
    </row>
    <row r="176" spans="1:19">
      <c r="A176" s="491"/>
      <c r="B176" s="348"/>
      <c r="C176" s="313">
        <f t="shared" si="26"/>
        <v>1</v>
      </c>
      <c r="D176" s="1128"/>
      <c r="E176" s="313">
        <f t="shared" si="27"/>
        <v>0.05</v>
      </c>
      <c r="F176" s="1128"/>
      <c r="G176" s="313">
        <f t="shared" si="28"/>
        <v>0.1</v>
      </c>
      <c r="H176" s="1128"/>
      <c r="I176" s="313">
        <f t="shared" si="29"/>
        <v>1</v>
      </c>
      <c r="J176" s="1128"/>
      <c r="K176" s="313">
        <f t="shared" si="30"/>
        <v>1</v>
      </c>
      <c r="L176" s="1128"/>
      <c r="M176" s="313">
        <f t="shared" si="31"/>
        <v>1</v>
      </c>
      <c r="N176" s="1128"/>
      <c r="O176" s="313">
        <f t="shared" si="32"/>
        <v>1</v>
      </c>
      <c r="P176" s="1128"/>
      <c r="Q176" s="313">
        <f t="shared" si="33"/>
        <v>0.2</v>
      </c>
      <c r="R176" s="1124">
        <f t="shared" si="34"/>
        <v>0</v>
      </c>
      <c r="S176" s="698">
        <f t="shared" si="25"/>
        <v>0</v>
      </c>
    </row>
    <row r="177" spans="1:19">
      <c r="A177" s="491"/>
      <c r="B177" s="348"/>
      <c r="C177" s="313">
        <f t="shared" si="26"/>
        <v>1</v>
      </c>
      <c r="D177" s="1128"/>
      <c r="E177" s="313">
        <f t="shared" si="27"/>
        <v>0.05</v>
      </c>
      <c r="F177" s="1128"/>
      <c r="G177" s="313">
        <f t="shared" si="28"/>
        <v>0.1</v>
      </c>
      <c r="H177" s="1128"/>
      <c r="I177" s="313">
        <f t="shared" si="29"/>
        <v>1</v>
      </c>
      <c r="J177" s="1128"/>
      <c r="K177" s="313">
        <f t="shared" si="30"/>
        <v>1</v>
      </c>
      <c r="L177" s="1128"/>
      <c r="M177" s="313">
        <f t="shared" si="31"/>
        <v>1</v>
      </c>
      <c r="N177" s="1128"/>
      <c r="O177" s="313">
        <f t="shared" si="32"/>
        <v>1</v>
      </c>
      <c r="P177" s="1128"/>
      <c r="Q177" s="313">
        <f t="shared" si="33"/>
        <v>0.2</v>
      </c>
      <c r="R177" s="1124">
        <f t="shared" si="34"/>
        <v>0</v>
      </c>
      <c r="S177" s="698">
        <f t="shared" si="25"/>
        <v>0</v>
      </c>
    </row>
    <row r="178" spans="1:19">
      <c r="A178" s="491"/>
      <c r="B178" s="348"/>
      <c r="C178" s="313">
        <f t="shared" si="26"/>
        <v>1</v>
      </c>
      <c r="D178" s="1128"/>
      <c r="E178" s="313">
        <f t="shared" si="27"/>
        <v>0.05</v>
      </c>
      <c r="F178" s="1128"/>
      <c r="G178" s="313">
        <f t="shared" si="28"/>
        <v>0.1</v>
      </c>
      <c r="H178" s="1128"/>
      <c r="I178" s="313">
        <f t="shared" si="29"/>
        <v>1</v>
      </c>
      <c r="J178" s="1128"/>
      <c r="K178" s="313">
        <f t="shared" si="30"/>
        <v>1</v>
      </c>
      <c r="L178" s="1128"/>
      <c r="M178" s="313">
        <f t="shared" si="31"/>
        <v>1</v>
      </c>
      <c r="N178" s="1128"/>
      <c r="O178" s="313">
        <f t="shared" si="32"/>
        <v>1</v>
      </c>
      <c r="P178" s="1128"/>
      <c r="Q178" s="313">
        <f t="shared" si="33"/>
        <v>0.2</v>
      </c>
      <c r="R178" s="1124">
        <f t="shared" si="34"/>
        <v>0</v>
      </c>
      <c r="S178" s="698">
        <f t="shared" si="25"/>
        <v>0</v>
      </c>
    </row>
    <row r="179" spans="1:19">
      <c r="A179" s="491"/>
      <c r="B179" s="348"/>
      <c r="C179" s="313">
        <f t="shared" si="26"/>
        <v>1</v>
      </c>
      <c r="D179" s="1128"/>
      <c r="E179" s="313">
        <f t="shared" si="27"/>
        <v>0.05</v>
      </c>
      <c r="F179" s="1128"/>
      <c r="G179" s="313">
        <f t="shared" si="28"/>
        <v>0.1</v>
      </c>
      <c r="H179" s="1128"/>
      <c r="I179" s="313">
        <f t="shared" si="29"/>
        <v>1</v>
      </c>
      <c r="J179" s="1128"/>
      <c r="K179" s="313">
        <f t="shared" si="30"/>
        <v>1</v>
      </c>
      <c r="L179" s="1128"/>
      <c r="M179" s="313">
        <f t="shared" si="31"/>
        <v>1</v>
      </c>
      <c r="N179" s="1128"/>
      <c r="O179" s="313">
        <f t="shared" si="32"/>
        <v>1</v>
      </c>
      <c r="P179" s="1128"/>
      <c r="Q179" s="313">
        <f t="shared" si="33"/>
        <v>0.2</v>
      </c>
      <c r="R179" s="1124">
        <f t="shared" si="34"/>
        <v>0</v>
      </c>
      <c r="S179" s="698">
        <f t="shared" si="25"/>
        <v>0</v>
      </c>
    </row>
    <row r="180" spans="1:19">
      <c r="A180" s="491"/>
      <c r="B180" s="348"/>
      <c r="C180" s="313">
        <f t="shared" si="26"/>
        <v>1</v>
      </c>
      <c r="D180" s="1128"/>
      <c r="E180" s="313">
        <f t="shared" si="27"/>
        <v>0.05</v>
      </c>
      <c r="F180" s="1128"/>
      <c r="G180" s="313">
        <f t="shared" si="28"/>
        <v>0.1</v>
      </c>
      <c r="H180" s="1128"/>
      <c r="I180" s="313">
        <f t="shared" si="29"/>
        <v>1</v>
      </c>
      <c r="J180" s="1128"/>
      <c r="K180" s="313">
        <f t="shared" si="30"/>
        <v>1</v>
      </c>
      <c r="L180" s="1128"/>
      <c r="M180" s="313">
        <f t="shared" si="31"/>
        <v>1</v>
      </c>
      <c r="N180" s="1128"/>
      <c r="O180" s="313">
        <f t="shared" si="32"/>
        <v>1</v>
      </c>
      <c r="P180" s="1128"/>
      <c r="Q180" s="313">
        <f t="shared" si="33"/>
        <v>0.2</v>
      </c>
      <c r="R180" s="1124">
        <f t="shared" si="34"/>
        <v>0</v>
      </c>
      <c r="S180" s="698">
        <f t="shared" si="25"/>
        <v>0</v>
      </c>
    </row>
    <row r="181" spans="1:19">
      <c r="A181" s="491"/>
      <c r="B181" s="348"/>
      <c r="C181" s="313">
        <f t="shared" si="26"/>
        <v>1</v>
      </c>
      <c r="D181" s="1128"/>
      <c r="E181" s="313">
        <f t="shared" si="27"/>
        <v>0.05</v>
      </c>
      <c r="F181" s="1128"/>
      <c r="G181" s="313">
        <f t="shared" si="28"/>
        <v>0.1</v>
      </c>
      <c r="H181" s="1128"/>
      <c r="I181" s="313">
        <f t="shared" si="29"/>
        <v>1</v>
      </c>
      <c r="J181" s="1128"/>
      <c r="K181" s="313">
        <f t="shared" si="30"/>
        <v>1</v>
      </c>
      <c r="L181" s="1128"/>
      <c r="M181" s="313">
        <f t="shared" si="31"/>
        <v>1</v>
      </c>
      <c r="N181" s="1128"/>
      <c r="O181" s="313">
        <f t="shared" si="32"/>
        <v>1</v>
      </c>
      <c r="P181" s="1128"/>
      <c r="Q181" s="313">
        <f t="shared" si="33"/>
        <v>0.2</v>
      </c>
      <c r="R181" s="1124">
        <f t="shared" si="34"/>
        <v>0</v>
      </c>
      <c r="S181" s="698">
        <f t="shared" si="25"/>
        <v>0</v>
      </c>
    </row>
    <row r="182" spans="1:19">
      <c r="A182" s="491"/>
      <c r="B182" s="348"/>
      <c r="C182" s="313">
        <f t="shared" si="26"/>
        <v>1</v>
      </c>
      <c r="D182" s="1128"/>
      <c r="E182" s="313">
        <f t="shared" si="27"/>
        <v>0.05</v>
      </c>
      <c r="F182" s="1128"/>
      <c r="G182" s="313">
        <f t="shared" si="28"/>
        <v>0.1</v>
      </c>
      <c r="H182" s="1128"/>
      <c r="I182" s="313">
        <f t="shared" si="29"/>
        <v>1</v>
      </c>
      <c r="J182" s="1128"/>
      <c r="K182" s="313">
        <f t="shared" si="30"/>
        <v>1</v>
      </c>
      <c r="L182" s="1128"/>
      <c r="M182" s="313">
        <f t="shared" si="31"/>
        <v>1</v>
      </c>
      <c r="N182" s="1128"/>
      <c r="O182" s="313">
        <f t="shared" si="32"/>
        <v>1</v>
      </c>
      <c r="P182" s="1128"/>
      <c r="Q182" s="313">
        <f t="shared" si="33"/>
        <v>0.2</v>
      </c>
      <c r="R182" s="1124">
        <f t="shared" si="34"/>
        <v>0</v>
      </c>
      <c r="S182" s="698">
        <f t="shared" si="25"/>
        <v>0</v>
      </c>
    </row>
    <row r="183" spans="1:19">
      <c r="A183" s="491"/>
      <c r="B183" s="348"/>
      <c r="C183" s="313">
        <f t="shared" si="26"/>
        <v>1</v>
      </c>
      <c r="D183" s="1128"/>
      <c r="E183" s="313">
        <f t="shared" si="27"/>
        <v>0.05</v>
      </c>
      <c r="F183" s="1128"/>
      <c r="G183" s="313">
        <f t="shared" si="28"/>
        <v>0.1</v>
      </c>
      <c r="H183" s="1128"/>
      <c r="I183" s="313">
        <f t="shared" si="29"/>
        <v>1</v>
      </c>
      <c r="J183" s="1128"/>
      <c r="K183" s="313">
        <f t="shared" si="30"/>
        <v>1</v>
      </c>
      <c r="L183" s="1128"/>
      <c r="M183" s="313">
        <f t="shared" si="31"/>
        <v>1</v>
      </c>
      <c r="N183" s="1128"/>
      <c r="O183" s="313">
        <f t="shared" si="32"/>
        <v>1</v>
      </c>
      <c r="P183" s="1128"/>
      <c r="Q183" s="313">
        <f t="shared" si="33"/>
        <v>0.2</v>
      </c>
      <c r="R183" s="1124">
        <f t="shared" si="34"/>
        <v>0</v>
      </c>
      <c r="S183" s="698">
        <f t="shared" si="25"/>
        <v>0</v>
      </c>
    </row>
    <row r="184" spans="1:19">
      <c r="A184" s="491"/>
      <c r="B184" s="348"/>
      <c r="C184" s="313">
        <f t="shared" si="26"/>
        <v>1</v>
      </c>
      <c r="D184" s="1128"/>
      <c r="E184" s="313">
        <f t="shared" si="27"/>
        <v>0.05</v>
      </c>
      <c r="F184" s="1128"/>
      <c r="G184" s="313">
        <f t="shared" si="28"/>
        <v>0.1</v>
      </c>
      <c r="H184" s="1128"/>
      <c r="I184" s="313">
        <f t="shared" si="29"/>
        <v>1</v>
      </c>
      <c r="J184" s="1128"/>
      <c r="K184" s="313">
        <f t="shared" si="30"/>
        <v>1</v>
      </c>
      <c r="L184" s="1128"/>
      <c r="M184" s="313">
        <f t="shared" si="31"/>
        <v>1</v>
      </c>
      <c r="N184" s="1128"/>
      <c r="O184" s="313">
        <f t="shared" si="32"/>
        <v>1</v>
      </c>
      <c r="P184" s="1128"/>
      <c r="Q184" s="313">
        <f t="shared" si="33"/>
        <v>0.2</v>
      </c>
      <c r="R184" s="1124">
        <f t="shared" si="34"/>
        <v>0</v>
      </c>
      <c r="S184" s="698">
        <f t="shared" si="25"/>
        <v>0</v>
      </c>
    </row>
    <row r="185" spans="1:19">
      <c r="A185" s="491"/>
      <c r="B185" s="348"/>
      <c r="C185" s="313">
        <f t="shared" si="26"/>
        <v>1</v>
      </c>
      <c r="D185" s="1128"/>
      <c r="E185" s="313">
        <f t="shared" si="27"/>
        <v>0.05</v>
      </c>
      <c r="F185" s="1128"/>
      <c r="G185" s="313">
        <f t="shared" si="28"/>
        <v>0.1</v>
      </c>
      <c r="H185" s="1128"/>
      <c r="I185" s="313">
        <f t="shared" si="29"/>
        <v>1</v>
      </c>
      <c r="J185" s="1128"/>
      <c r="K185" s="313">
        <f t="shared" si="30"/>
        <v>1</v>
      </c>
      <c r="L185" s="1128"/>
      <c r="M185" s="313">
        <f t="shared" si="31"/>
        <v>1</v>
      </c>
      <c r="N185" s="1128"/>
      <c r="O185" s="313">
        <f t="shared" si="32"/>
        <v>1</v>
      </c>
      <c r="P185" s="1128"/>
      <c r="Q185" s="313">
        <f t="shared" si="33"/>
        <v>0.2</v>
      </c>
      <c r="R185" s="1124">
        <f t="shared" si="34"/>
        <v>0</v>
      </c>
      <c r="S185" s="698">
        <f t="shared" si="25"/>
        <v>0</v>
      </c>
    </row>
    <row r="186" spans="1:19">
      <c r="A186" s="491"/>
      <c r="B186" s="348"/>
      <c r="C186" s="313">
        <f t="shared" si="26"/>
        <v>1</v>
      </c>
      <c r="D186" s="1128"/>
      <c r="E186" s="313">
        <f t="shared" si="27"/>
        <v>0.05</v>
      </c>
      <c r="F186" s="1128"/>
      <c r="G186" s="313">
        <f t="shared" si="28"/>
        <v>0.1</v>
      </c>
      <c r="H186" s="1128"/>
      <c r="I186" s="313">
        <f t="shared" si="29"/>
        <v>1</v>
      </c>
      <c r="J186" s="1128"/>
      <c r="K186" s="313">
        <f t="shared" si="30"/>
        <v>1</v>
      </c>
      <c r="L186" s="1128"/>
      <c r="M186" s="313">
        <f t="shared" si="31"/>
        <v>1</v>
      </c>
      <c r="N186" s="1128"/>
      <c r="O186" s="313">
        <f t="shared" si="32"/>
        <v>1</v>
      </c>
      <c r="P186" s="1128"/>
      <c r="Q186" s="313">
        <f t="shared" si="33"/>
        <v>0.2</v>
      </c>
      <c r="R186" s="1124">
        <f t="shared" si="34"/>
        <v>0</v>
      </c>
      <c r="S186" s="698">
        <f t="shared" si="25"/>
        <v>0</v>
      </c>
    </row>
    <row r="187" spans="1:19">
      <c r="A187" s="491"/>
      <c r="B187" s="348"/>
      <c r="C187" s="313">
        <f t="shared" si="26"/>
        <v>1</v>
      </c>
      <c r="D187" s="1128"/>
      <c r="E187" s="313">
        <f t="shared" si="27"/>
        <v>0.05</v>
      </c>
      <c r="F187" s="1128"/>
      <c r="G187" s="313">
        <f t="shared" si="28"/>
        <v>0.1</v>
      </c>
      <c r="H187" s="1128"/>
      <c r="I187" s="313">
        <f t="shared" si="29"/>
        <v>1</v>
      </c>
      <c r="J187" s="1128"/>
      <c r="K187" s="313">
        <f t="shared" si="30"/>
        <v>1</v>
      </c>
      <c r="L187" s="1128"/>
      <c r="M187" s="313">
        <f t="shared" si="31"/>
        <v>1</v>
      </c>
      <c r="N187" s="1128"/>
      <c r="O187" s="313">
        <f t="shared" si="32"/>
        <v>1</v>
      </c>
      <c r="P187" s="1128"/>
      <c r="Q187" s="313">
        <f t="shared" si="33"/>
        <v>0.2</v>
      </c>
      <c r="R187" s="1124">
        <f t="shared" si="34"/>
        <v>0</v>
      </c>
      <c r="S187" s="698">
        <f t="shared" si="25"/>
        <v>0</v>
      </c>
    </row>
    <row r="188" spans="1:19">
      <c r="A188" s="491"/>
      <c r="B188" s="348"/>
      <c r="C188" s="313">
        <f t="shared" si="26"/>
        <v>1</v>
      </c>
      <c r="D188" s="1128"/>
      <c r="E188" s="313">
        <f t="shared" si="27"/>
        <v>0.05</v>
      </c>
      <c r="F188" s="1128"/>
      <c r="G188" s="313">
        <f t="shared" si="28"/>
        <v>0.1</v>
      </c>
      <c r="H188" s="1128"/>
      <c r="I188" s="313">
        <f t="shared" si="29"/>
        <v>1</v>
      </c>
      <c r="J188" s="1128"/>
      <c r="K188" s="313">
        <f t="shared" si="30"/>
        <v>1</v>
      </c>
      <c r="L188" s="1128"/>
      <c r="M188" s="313">
        <f t="shared" si="31"/>
        <v>1</v>
      </c>
      <c r="N188" s="1128"/>
      <c r="O188" s="313">
        <f t="shared" si="32"/>
        <v>1</v>
      </c>
      <c r="P188" s="1128"/>
      <c r="Q188" s="313">
        <f t="shared" si="33"/>
        <v>0.2</v>
      </c>
      <c r="R188" s="1124">
        <f t="shared" si="34"/>
        <v>0</v>
      </c>
      <c r="S188" s="698">
        <f t="shared" si="25"/>
        <v>0</v>
      </c>
    </row>
    <row r="189" spans="1:19">
      <c r="A189" s="491"/>
      <c r="B189" s="348"/>
      <c r="C189" s="313">
        <f t="shared" si="26"/>
        <v>1</v>
      </c>
      <c r="D189" s="1128"/>
      <c r="E189" s="313">
        <f t="shared" si="27"/>
        <v>0.05</v>
      </c>
      <c r="F189" s="1128"/>
      <c r="G189" s="313">
        <f t="shared" si="28"/>
        <v>0.1</v>
      </c>
      <c r="H189" s="1128"/>
      <c r="I189" s="313">
        <f t="shared" si="29"/>
        <v>1</v>
      </c>
      <c r="J189" s="1128"/>
      <c r="K189" s="313">
        <f t="shared" si="30"/>
        <v>1</v>
      </c>
      <c r="L189" s="1128"/>
      <c r="M189" s="313">
        <f t="shared" si="31"/>
        <v>1</v>
      </c>
      <c r="N189" s="1128"/>
      <c r="O189" s="313">
        <f t="shared" si="32"/>
        <v>1</v>
      </c>
      <c r="P189" s="1128"/>
      <c r="Q189" s="313">
        <f t="shared" si="33"/>
        <v>0.2</v>
      </c>
      <c r="R189" s="1124">
        <f t="shared" si="34"/>
        <v>0</v>
      </c>
      <c r="S189" s="698">
        <f t="shared" si="25"/>
        <v>0</v>
      </c>
    </row>
    <row r="190" spans="1:19">
      <c r="A190" s="491"/>
      <c r="B190" s="348"/>
      <c r="C190" s="313">
        <f t="shared" si="26"/>
        <v>1</v>
      </c>
      <c r="D190" s="1128"/>
      <c r="E190" s="313">
        <f t="shared" si="27"/>
        <v>0.05</v>
      </c>
      <c r="F190" s="1128"/>
      <c r="G190" s="313">
        <f t="shared" si="28"/>
        <v>0.1</v>
      </c>
      <c r="H190" s="1128"/>
      <c r="I190" s="313">
        <f t="shared" si="29"/>
        <v>1</v>
      </c>
      <c r="J190" s="1128"/>
      <c r="K190" s="313">
        <f t="shared" si="30"/>
        <v>1</v>
      </c>
      <c r="L190" s="1128"/>
      <c r="M190" s="313">
        <f t="shared" si="31"/>
        <v>1</v>
      </c>
      <c r="N190" s="1128"/>
      <c r="O190" s="313">
        <f t="shared" si="32"/>
        <v>1</v>
      </c>
      <c r="P190" s="1128"/>
      <c r="Q190" s="313">
        <f t="shared" si="33"/>
        <v>0.2</v>
      </c>
      <c r="R190" s="1124">
        <f t="shared" si="34"/>
        <v>0</v>
      </c>
      <c r="S190" s="698">
        <f t="shared" si="25"/>
        <v>0</v>
      </c>
    </row>
    <row r="191" spans="1:19">
      <c r="A191" s="491"/>
      <c r="B191" s="348"/>
      <c r="C191" s="313">
        <f t="shared" si="26"/>
        <v>1</v>
      </c>
      <c r="D191" s="1128"/>
      <c r="E191" s="313">
        <f t="shared" si="27"/>
        <v>0.05</v>
      </c>
      <c r="F191" s="1128"/>
      <c r="G191" s="313">
        <f t="shared" si="28"/>
        <v>0.1</v>
      </c>
      <c r="H191" s="1128"/>
      <c r="I191" s="313">
        <f t="shared" si="29"/>
        <v>1</v>
      </c>
      <c r="J191" s="1128"/>
      <c r="K191" s="313">
        <f t="shared" si="30"/>
        <v>1</v>
      </c>
      <c r="L191" s="1128"/>
      <c r="M191" s="313">
        <f t="shared" si="31"/>
        <v>1</v>
      </c>
      <c r="N191" s="1128"/>
      <c r="O191" s="313">
        <f t="shared" si="32"/>
        <v>1</v>
      </c>
      <c r="P191" s="1128"/>
      <c r="Q191" s="313">
        <f t="shared" si="33"/>
        <v>0.2</v>
      </c>
      <c r="R191" s="1124">
        <f t="shared" si="34"/>
        <v>0</v>
      </c>
      <c r="S191" s="698">
        <f t="shared" si="25"/>
        <v>0</v>
      </c>
    </row>
    <row r="192" spans="1:19">
      <c r="A192" s="491"/>
      <c r="B192" s="348"/>
      <c r="C192" s="313">
        <f t="shared" si="26"/>
        <v>1</v>
      </c>
      <c r="D192" s="1128"/>
      <c r="E192" s="313">
        <f t="shared" si="27"/>
        <v>0.05</v>
      </c>
      <c r="F192" s="1128"/>
      <c r="G192" s="313">
        <f t="shared" si="28"/>
        <v>0.1</v>
      </c>
      <c r="H192" s="1128"/>
      <c r="I192" s="313">
        <f t="shared" si="29"/>
        <v>1</v>
      </c>
      <c r="J192" s="1128"/>
      <c r="K192" s="313">
        <f t="shared" si="30"/>
        <v>1</v>
      </c>
      <c r="L192" s="1128"/>
      <c r="M192" s="313">
        <f t="shared" si="31"/>
        <v>1</v>
      </c>
      <c r="N192" s="1128"/>
      <c r="O192" s="313">
        <f t="shared" si="32"/>
        <v>1</v>
      </c>
      <c r="P192" s="1128"/>
      <c r="Q192" s="313">
        <f t="shared" si="33"/>
        <v>0.2</v>
      </c>
      <c r="R192" s="1124">
        <f t="shared" si="34"/>
        <v>0</v>
      </c>
      <c r="S192" s="698">
        <f t="shared" si="25"/>
        <v>0</v>
      </c>
    </row>
    <row r="193" spans="1:19">
      <c r="A193" s="491"/>
      <c r="B193" s="348"/>
      <c r="C193" s="313">
        <f t="shared" si="26"/>
        <v>1</v>
      </c>
      <c r="D193" s="1128"/>
      <c r="E193" s="313">
        <f t="shared" si="27"/>
        <v>0.05</v>
      </c>
      <c r="F193" s="1128"/>
      <c r="G193" s="313">
        <f t="shared" si="28"/>
        <v>0.1</v>
      </c>
      <c r="H193" s="1128"/>
      <c r="I193" s="313">
        <f t="shared" si="29"/>
        <v>1</v>
      </c>
      <c r="J193" s="1128"/>
      <c r="K193" s="313">
        <f t="shared" si="30"/>
        <v>1</v>
      </c>
      <c r="L193" s="1128"/>
      <c r="M193" s="313">
        <f t="shared" si="31"/>
        <v>1</v>
      </c>
      <c r="N193" s="1128"/>
      <c r="O193" s="313">
        <f t="shared" si="32"/>
        <v>1</v>
      </c>
      <c r="P193" s="1128"/>
      <c r="Q193" s="313">
        <f t="shared" si="33"/>
        <v>0.2</v>
      </c>
      <c r="R193" s="1124">
        <f t="shared" si="34"/>
        <v>0</v>
      </c>
      <c r="S193" s="698">
        <f t="shared" si="25"/>
        <v>0</v>
      </c>
    </row>
    <row r="194" spans="1:19">
      <c r="A194" s="491"/>
      <c r="B194" s="348"/>
      <c r="C194" s="313">
        <f t="shared" si="26"/>
        <v>1</v>
      </c>
      <c r="D194" s="1128"/>
      <c r="E194" s="313">
        <f t="shared" si="27"/>
        <v>0.05</v>
      </c>
      <c r="F194" s="1128"/>
      <c r="G194" s="313">
        <f t="shared" si="28"/>
        <v>0.1</v>
      </c>
      <c r="H194" s="1128"/>
      <c r="I194" s="313">
        <f t="shared" si="29"/>
        <v>1</v>
      </c>
      <c r="J194" s="1128"/>
      <c r="K194" s="313">
        <f t="shared" si="30"/>
        <v>1</v>
      </c>
      <c r="L194" s="1128"/>
      <c r="M194" s="313">
        <f t="shared" si="31"/>
        <v>1</v>
      </c>
      <c r="N194" s="1128"/>
      <c r="O194" s="313">
        <f t="shared" si="32"/>
        <v>1</v>
      </c>
      <c r="P194" s="1128"/>
      <c r="Q194" s="313">
        <f t="shared" si="33"/>
        <v>0.2</v>
      </c>
      <c r="R194" s="1124">
        <f t="shared" si="34"/>
        <v>0</v>
      </c>
      <c r="S194" s="698">
        <f t="shared" si="25"/>
        <v>0</v>
      </c>
    </row>
    <row r="195" spans="1:19">
      <c r="A195" s="491"/>
      <c r="B195" s="348"/>
      <c r="C195" s="313">
        <f t="shared" si="26"/>
        <v>1</v>
      </c>
      <c r="D195" s="1128"/>
      <c r="E195" s="313">
        <f t="shared" si="27"/>
        <v>0.05</v>
      </c>
      <c r="F195" s="1128"/>
      <c r="G195" s="313">
        <f t="shared" si="28"/>
        <v>0.1</v>
      </c>
      <c r="H195" s="1128"/>
      <c r="I195" s="313">
        <f t="shared" si="29"/>
        <v>1</v>
      </c>
      <c r="J195" s="1128"/>
      <c r="K195" s="313">
        <f t="shared" si="30"/>
        <v>1</v>
      </c>
      <c r="L195" s="1128"/>
      <c r="M195" s="313">
        <f t="shared" si="31"/>
        <v>1</v>
      </c>
      <c r="N195" s="1128"/>
      <c r="O195" s="313">
        <f t="shared" si="32"/>
        <v>1</v>
      </c>
      <c r="P195" s="1128"/>
      <c r="Q195" s="313">
        <f t="shared" si="33"/>
        <v>0.2</v>
      </c>
      <c r="R195" s="1124">
        <f t="shared" si="34"/>
        <v>0</v>
      </c>
      <c r="S195" s="698">
        <f t="shared" si="25"/>
        <v>0</v>
      </c>
    </row>
    <row r="196" spans="1:19">
      <c r="A196" s="491"/>
      <c r="B196" s="348"/>
      <c r="C196" s="313">
        <f t="shared" si="26"/>
        <v>1</v>
      </c>
      <c r="D196" s="1128"/>
      <c r="E196" s="313">
        <f t="shared" si="27"/>
        <v>0.05</v>
      </c>
      <c r="F196" s="1128"/>
      <c r="G196" s="313">
        <f t="shared" si="28"/>
        <v>0.1</v>
      </c>
      <c r="H196" s="1128"/>
      <c r="I196" s="313">
        <f t="shared" si="29"/>
        <v>1</v>
      </c>
      <c r="J196" s="1128"/>
      <c r="K196" s="313">
        <f t="shared" si="30"/>
        <v>1</v>
      </c>
      <c r="L196" s="1128"/>
      <c r="M196" s="313">
        <f t="shared" si="31"/>
        <v>1</v>
      </c>
      <c r="N196" s="1128"/>
      <c r="O196" s="313">
        <f t="shared" si="32"/>
        <v>1</v>
      </c>
      <c r="P196" s="1128"/>
      <c r="Q196" s="313">
        <f t="shared" si="33"/>
        <v>0.2</v>
      </c>
      <c r="R196" s="1124">
        <f t="shared" si="34"/>
        <v>0</v>
      </c>
      <c r="S196" s="698">
        <f t="shared" si="25"/>
        <v>0</v>
      </c>
    </row>
    <row r="197" spans="1:19">
      <c r="A197" s="491"/>
      <c r="B197" s="348"/>
      <c r="C197" s="313">
        <f t="shared" si="26"/>
        <v>1</v>
      </c>
      <c r="D197" s="1128"/>
      <c r="E197" s="313">
        <f t="shared" si="27"/>
        <v>0.05</v>
      </c>
      <c r="F197" s="1128"/>
      <c r="G197" s="313">
        <f t="shared" si="28"/>
        <v>0.1</v>
      </c>
      <c r="H197" s="1128"/>
      <c r="I197" s="313">
        <f t="shared" si="29"/>
        <v>1</v>
      </c>
      <c r="J197" s="1128"/>
      <c r="K197" s="313">
        <f t="shared" si="30"/>
        <v>1</v>
      </c>
      <c r="L197" s="1128"/>
      <c r="M197" s="313">
        <f t="shared" si="31"/>
        <v>1</v>
      </c>
      <c r="N197" s="1128"/>
      <c r="O197" s="313">
        <f t="shared" si="32"/>
        <v>1</v>
      </c>
      <c r="P197" s="1128"/>
      <c r="Q197" s="313">
        <f t="shared" si="33"/>
        <v>0.2</v>
      </c>
      <c r="R197" s="1124">
        <f t="shared" si="34"/>
        <v>0</v>
      </c>
      <c r="S197" s="698">
        <f t="shared" si="25"/>
        <v>0</v>
      </c>
    </row>
    <row r="198" spans="1:19">
      <c r="A198" s="491"/>
      <c r="B198" s="348"/>
      <c r="C198" s="313">
        <f t="shared" si="26"/>
        <v>1</v>
      </c>
      <c r="D198" s="1128"/>
      <c r="E198" s="313">
        <f t="shared" si="27"/>
        <v>0.05</v>
      </c>
      <c r="F198" s="1128"/>
      <c r="G198" s="313">
        <f t="shared" si="28"/>
        <v>0.1</v>
      </c>
      <c r="H198" s="1128"/>
      <c r="I198" s="313">
        <f t="shared" si="29"/>
        <v>1</v>
      </c>
      <c r="J198" s="1128"/>
      <c r="K198" s="313">
        <f t="shared" si="30"/>
        <v>1</v>
      </c>
      <c r="L198" s="1128"/>
      <c r="M198" s="313">
        <f t="shared" si="31"/>
        <v>1</v>
      </c>
      <c r="N198" s="1128"/>
      <c r="O198" s="313">
        <f t="shared" si="32"/>
        <v>1</v>
      </c>
      <c r="P198" s="1128"/>
      <c r="Q198" s="313">
        <f t="shared" si="33"/>
        <v>0.2</v>
      </c>
      <c r="R198" s="1124">
        <f t="shared" si="34"/>
        <v>0</v>
      </c>
      <c r="S198" s="698">
        <f t="shared" si="25"/>
        <v>0</v>
      </c>
    </row>
    <row r="199" spans="1:19">
      <c r="A199" s="491"/>
      <c r="B199" s="348"/>
      <c r="C199" s="313">
        <f t="shared" si="26"/>
        <v>1</v>
      </c>
      <c r="D199" s="1128"/>
      <c r="E199" s="313">
        <f t="shared" si="27"/>
        <v>0.05</v>
      </c>
      <c r="F199" s="1128"/>
      <c r="G199" s="313">
        <f t="shared" si="28"/>
        <v>0.1</v>
      </c>
      <c r="H199" s="1128"/>
      <c r="I199" s="313">
        <f t="shared" si="29"/>
        <v>1</v>
      </c>
      <c r="J199" s="1128"/>
      <c r="K199" s="313">
        <f t="shared" si="30"/>
        <v>1</v>
      </c>
      <c r="L199" s="1128"/>
      <c r="M199" s="313">
        <f t="shared" si="31"/>
        <v>1</v>
      </c>
      <c r="N199" s="1128"/>
      <c r="O199" s="313">
        <f t="shared" si="32"/>
        <v>1</v>
      </c>
      <c r="P199" s="1128"/>
      <c r="Q199" s="313">
        <f t="shared" si="33"/>
        <v>0.2</v>
      </c>
      <c r="R199" s="1124">
        <f t="shared" si="34"/>
        <v>0</v>
      </c>
      <c r="S199" s="698">
        <f t="shared" si="25"/>
        <v>0</v>
      </c>
    </row>
    <row r="200" spans="1:19">
      <c r="A200" s="491"/>
      <c r="B200" s="348"/>
      <c r="C200" s="313">
        <f t="shared" si="26"/>
        <v>1</v>
      </c>
      <c r="D200" s="1128"/>
      <c r="E200" s="313">
        <f t="shared" si="27"/>
        <v>0.05</v>
      </c>
      <c r="F200" s="1128"/>
      <c r="G200" s="313">
        <f t="shared" si="28"/>
        <v>0.1</v>
      </c>
      <c r="H200" s="1128"/>
      <c r="I200" s="313">
        <f t="shared" si="29"/>
        <v>1</v>
      </c>
      <c r="J200" s="1128"/>
      <c r="K200" s="313">
        <f t="shared" si="30"/>
        <v>1</v>
      </c>
      <c r="L200" s="1128"/>
      <c r="M200" s="313">
        <f t="shared" si="31"/>
        <v>1</v>
      </c>
      <c r="N200" s="1128"/>
      <c r="O200" s="313">
        <f t="shared" si="32"/>
        <v>1</v>
      </c>
      <c r="P200" s="1128"/>
      <c r="Q200" s="313">
        <f t="shared" si="33"/>
        <v>0.2</v>
      </c>
      <c r="R200" s="1124">
        <f t="shared" si="34"/>
        <v>0</v>
      </c>
      <c r="S200" s="698">
        <f t="shared" si="25"/>
        <v>0</v>
      </c>
    </row>
    <row r="201" spans="1:19">
      <c r="A201" s="491"/>
      <c r="B201" s="348"/>
      <c r="C201" s="313">
        <f t="shared" si="26"/>
        <v>1</v>
      </c>
      <c r="D201" s="1128"/>
      <c r="E201" s="313">
        <f t="shared" si="27"/>
        <v>0.05</v>
      </c>
      <c r="F201" s="1128"/>
      <c r="G201" s="313">
        <f t="shared" si="28"/>
        <v>0.1</v>
      </c>
      <c r="H201" s="1128"/>
      <c r="I201" s="313">
        <f t="shared" si="29"/>
        <v>1</v>
      </c>
      <c r="J201" s="1128"/>
      <c r="K201" s="313">
        <f t="shared" si="30"/>
        <v>1</v>
      </c>
      <c r="L201" s="1128"/>
      <c r="M201" s="313">
        <f t="shared" si="31"/>
        <v>1</v>
      </c>
      <c r="N201" s="1128"/>
      <c r="O201" s="313">
        <f t="shared" si="32"/>
        <v>1</v>
      </c>
      <c r="P201" s="1128"/>
      <c r="Q201" s="313">
        <f t="shared" si="33"/>
        <v>0.2</v>
      </c>
      <c r="R201" s="1124">
        <f t="shared" si="34"/>
        <v>0</v>
      </c>
      <c r="S201" s="698">
        <f t="shared" si="25"/>
        <v>0</v>
      </c>
    </row>
    <row r="202" spans="1:19">
      <c r="A202" s="491"/>
      <c r="B202" s="348"/>
      <c r="C202" s="313">
        <f t="shared" si="26"/>
        <v>1</v>
      </c>
      <c r="D202" s="1128"/>
      <c r="E202" s="313">
        <f t="shared" si="27"/>
        <v>0.05</v>
      </c>
      <c r="F202" s="1128"/>
      <c r="G202" s="313">
        <f t="shared" si="28"/>
        <v>0.1</v>
      </c>
      <c r="H202" s="1128"/>
      <c r="I202" s="313">
        <f t="shared" si="29"/>
        <v>1</v>
      </c>
      <c r="J202" s="1128"/>
      <c r="K202" s="313">
        <f t="shared" si="30"/>
        <v>1</v>
      </c>
      <c r="L202" s="1128"/>
      <c r="M202" s="313">
        <f t="shared" si="31"/>
        <v>1</v>
      </c>
      <c r="N202" s="1128"/>
      <c r="O202" s="313">
        <f t="shared" si="32"/>
        <v>1</v>
      </c>
      <c r="P202" s="1128"/>
      <c r="Q202" s="313">
        <f t="shared" si="33"/>
        <v>0.2</v>
      </c>
      <c r="R202" s="1124">
        <f t="shared" si="34"/>
        <v>0</v>
      </c>
      <c r="S202" s="698">
        <f t="shared" si="25"/>
        <v>0</v>
      </c>
    </row>
    <row r="203" spans="1:19">
      <c r="A203" s="491"/>
      <c r="B203" s="348"/>
      <c r="C203" s="313">
        <f t="shared" si="26"/>
        <v>1</v>
      </c>
      <c r="D203" s="1128"/>
      <c r="E203" s="313">
        <f t="shared" si="27"/>
        <v>0.05</v>
      </c>
      <c r="F203" s="1128"/>
      <c r="G203" s="313">
        <f t="shared" si="28"/>
        <v>0.1</v>
      </c>
      <c r="H203" s="1128"/>
      <c r="I203" s="313">
        <f t="shared" si="29"/>
        <v>1</v>
      </c>
      <c r="J203" s="1128"/>
      <c r="K203" s="313">
        <f t="shared" si="30"/>
        <v>1</v>
      </c>
      <c r="L203" s="1128"/>
      <c r="M203" s="313">
        <f t="shared" si="31"/>
        <v>1</v>
      </c>
      <c r="N203" s="1128"/>
      <c r="O203" s="313">
        <f t="shared" si="32"/>
        <v>1</v>
      </c>
      <c r="P203" s="1128"/>
      <c r="Q203" s="313">
        <f t="shared" si="33"/>
        <v>0.2</v>
      </c>
      <c r="R203" s="1124">
        <f t="shared" si="34"/>
        <v>0</v>
      </c>
      <c r="S203" s="698">
        <f t="shared" si="25"/>
        <v>0</v>
      </c>
    </row>
    <row r="204" spans="1:19">
      <c r="A204" s="491"/>
      <c r="B204" s="348"/>
      <c r="C204" s="313">
        <f t="shared" si="26"/>
        <v>1</v>
      </c>
      <c r="D204" s="1128"/>
      <c r="E204" s="313">
        <f t="shared" si="27"/>
        <v>0.05</v>
      </c>
      <c r="F204" s="1128"/>
      <c r="G204" s="313">
        <f t="shared" si="28"/>
        <v>0.1</v>
      </c>
      <c r="H204" s="1128"/>
      <c r="I204" s="313">
        <f t="shared" si="29"/>
        <v>1</v>
      </c>
      <c r="J204" s="1128"/>
      <c r="K204" s="313">
        <f t="shared" si="30"/>
        <v>1</v>
      </c>
      <c r="L204" s="1128"/>
      <c r="M204" s="313">
        <f t="shared" si="31"/>
        <v>1</v>
      </c>
      <c r="N204" s="1128"/>
      <c r="O204" s="313">
        <f t="shared" si="32"/>
        <v>1</v>
      </c>
      <c r="P204" s="1128"/>
      <c r="Q204" s="313">
        <f t="shared" si="33"/>
        <v>0.2</v>
      </c>
      <c r="R204" s="1124">
        <f t="shared" si="34"/>
        <v>0</v>
      </c>
      <c r="S204" s="698">
        <f t="shared" si="25"/>
        <v>0</v>
      </c>
    </row>
    <row r="205" spans="1:19">
      <c r="A205" s="491"/>
      <c r="B205" s="348"/>
      <c r="C205" s="313">
        <f t="shared" si="26"/>
        <v>1</v>
      </c>
      <c r="D205" s="1128"/>
      <c r="E205" s="313">
        <f t="shared" si="27"/>
        <v>0.05</v>
      </c>
      <c r="F205" s="1128"/>
      <c r="G205" s="313">
        <f t="shared" si="28"/>
        <v>0.1</v>
      </c>
      <c r="H205" s="1128"/>
      <c r="I205" s="313">
        <f t="shared" si="29"/>
        <v>1</v>
      </c>
      <c r="J205" s="1128"/>
      <c r="K205" s="313">
        <f t="shared" si="30"/>
        <v>1</v>
      </c>
      <c r="L205" s="1128"/>
      <c r="M205" s="313">
        <f t="shared" si="31"/>
        <v>1</v>
      </c>
      <c r="N205" s="1128"/>
      <c r="O205" s="313">
        <f t="shared" si="32"/>
        <v>1</v>
      </c>
      <c r="P205" s="1128"/>
      <c r="Q205" s="313">
        <f t="shared" si="33"/>
        <v>0.2</v>
      </c>
      <c r="R205" s="1124">
        <f t="shared" si="34"/>
        <v>0</v>
      </c>
      <c r="S205" s="698">
        <f t="shared" si="25"/>
        <v>0</v>
      </c>
    </row>
    <row r="206" spans="1:19">
      <c r="A206" s="491"/>
      <c r="B206" s="348"/>
      <c r="C206" s="313">
        <f t="shared" si="26"/>
        <v>1</v>
      </c>
      <c r="D206" s="1128"/>
      <c r="E206" s="313">
        <f t="shared" si="27"/>
        <v>0.05</v>
      </c>
      <c r="F206" s="1128"/>
      <c r="G206" s="313">
        <f t="shared" si="28"/>
        <v>0.1</v>
      </c>
      <c r="H206" s="1128"/>
      <c r="I206" s="313">
        <f t="shared" si="29"/>
        <v>1</v>
      </c>
      <c r="J206" s="1128"/>
      <c r="K206" s="313">
        <f t="shared" si="30"/>
        <v>1</v>
      </c>
      <c r="L206" s="1128"/>
      <c r="M206" s="313">
        <f t="shared" si="31"/>
        <v>1</v>
      </c>
      <c r="N206" s="1128"/>
      <c r="O206" s="313">
        <f t="shared" si="32"/>
        <v>1</v>
      </c>
      <c r="P206" s="1128"/>
      <c r="Q206" s="313">
        <f t="shared" si="33"/>
        <v>0.2</v>
      </c>
      <c r="R206" s="1124">
        <f t="shared" si="34"/>
        <v>0</v>
      </c>
      <c r="S206" s="698">
        <f t="shared" si="25"/>
        <v>0</v>
      </c>
    </row>
    <row r="207" spans="1:19">
      <c r="A207" s="491"/>
      <c r="B207" s="348"/>
      <c r="C207" s="313">
        <f t="shared" si="26"/>
        <v>1</v>
      </c>
      <c r="D207" s="1128"/>
      <c r="E207" s="313">
        <f t="shared" si="27"/>
        <v>0.05</v>
      </c>
      <c r="F207" s="1128"/>
      <c r="G207" s="313">
        <f t="shared" si="28"/>
        <v>0.1</v>
      </c>
      <c r="H207" s="1128"/>
      <c r="I207" s="313">
        <f t="shared" si="29"/>
        <v>1</v>
      </c>
      <c r="J207" s="1128"/>
      <c r="K207" s="313">
        <f t="shared" si="30"/>
        <v>1</v>
      </c>
      <c r="L207" s="1128"/>
      <c r="M207" s="313">
        <f t="shared" si="31"/>
        <v>1</v>
      </c>
      <c r="N207" s="1128"/>
      <c r="O207" s="313">
        <f t="shared" si="32"/>
        <v>1</v>
      </c>
      <c r="P207" s="1128"/>
      <c r="Q207" s="313">
        <f t="shared" si="33"/>
        <v>0.2</v>
      </c>
      <c r="R207" s="1124">
        <f t="shared" si="34"/>
        <v>0</v>
      </c>
      <c r="S207" s="698">
        <f t="shared" si="25"/>
        <v>0</v>
      </c>
    </row>
    <row r="208" spans="1:19">
      <c r="A208" s="491"/>
      <c r="B208" s="348"/>
      <c r="C208" s="313">
        <f t="shared" si="26"/>
        <v>1</v>
      </c>
      <c r="D208" s="1128"/>
      <c r="E208" s="313">
        <f t="shared" si="27"/>
        <v>0.05</v>
      </c>
      <c r="F208" s="1128"/>
      <c r="G208" s="313">
        <f t="shared" si="28"/>
        <v>0.1</v>
      </c>
      <c r="H208" s="1128"/>
      <c r="I208" s="313">
        <f t="shared" si="29"/>
        <v>1</v>
      </c>
      <c r="J208" s="1128"/>
      <c r="K208" s="313">
        <f t="shared" si="30"/>
        <v>1</v>
      </c>
      <c r="L208" s="1128"/>
      <c r="M208" s="313">
        <f t="shared" si="31"/>
        <v>1</v>
      </c>
      <c r="N208" s="1128"/>
      <c r="O208" s="313">
        <f t="shared" si="32"/>
        <v>1</v>
      </c>
      <c r="P208" s="1128"/>
      <c r="Q208" s="313">
        <f t="shared" si="33"/>
        <v>0.2</v>
      </c>
      <c r="R208" s="1124">
        <f t="shared" si="34"/>
        <v>0</v>
      </c>
      <c r="S208" s="698">
        <f t="shared" si="25"/>
        <v>0</v>
      </c>
    </row>
    <row r="209" spans="1:19">
      <c r="A209" s="491"/>
      <c r="B209" s="348"/>
      <c r="C209" s="313">
        <f t="shared" si="26"/>
        <v>1</v>
      </c>
      <c r="D209" s="1128"/>
      <c r="E209" s="313">
        <f t="shared" si="27"/>
        <v>0.05</v>
      </c>
      <c r="F209" s="1128"/>
      <c r="G209" s="313">
        <f t="shared" si="28"/>
        <v>0.1</v>
      </c>
      <c r="H209" s="1128"/>
      <c r="I209" s="313">
        <f t="shared" si="29"/>
        <v>1</v>
      </c>
      <c r="J209" s="1128"/>
      <c r="K209" s="313">
        <f t="shared" si="30"/>
        <v>1</v>
      </c>
      <c r="L209" s="1128"/>
      <c r="M209" s="313">
        <f t="shared" si="31"/>
        <v>1</v>
      </c>
      <c r="N209" s="1128"/>
      <c r="O209" s="313">
        <f t="shared" si="32"/>
        <v>1</v>
      </c>
      <c r="P209" s="1128"/>
      <c r="Q209" s="313">
        <f t="shared" si="33"/>
        <v>0.2</v>
      </c>
      <c r="R209" s="1124">
        <f t="shared" si="34"/>
        <v>0</v>
      </c>
      <c r="S209" s="698">
        <f t="shared" si="25"/>
        <v>0</v>
      </c>
    </row>
    <row r="210" spans="1:19">
      <c r="A210" s="491"/>
      <c r="B210" s="348"/>
      <c r="C210" s="313">
        <f t="shared" si="26"/>
        <v>1</v>
      </c>
      <c r="D210" s="1128"/>
      <c r="E210" s="313">
        <f t="shared" si="27"/>
        <v>0.05</v>
      </c>
      <c r="F210" s="1128"/>
      <c r="G210" s="313">
        <f t="shared" si="28"/>
        <v>0.1</v>
      </c>
      <c r="H210" s="1128"/>
      <c r="I210" s="313">
        <f t="shared" si="29"/>
        <v>1</v>
      </c>
      <c r="J210" s="1128"/>
      <c r="K210" s="313">
        <f t="shared" si="30"/>
        <v>1</v>
      </c>
      <c r="L210" s="1128"/>
      <c r="M210" s="313">
        <f t="shared" si="31"/>
        <v>1</v>
      </c>
      <c r="N210" s="1128"/>
      <c r="O210" s="313">
        <f t="shared" si="32"/>
        <v>1</v>
      </c>
      <c r="P210" s="1128"/>
      <c r="Q210" s="313">
        <f t="shared" si="33"/>
        <v>0.2</v>
      </c>
      <c r="R210" s="1124">
        <f t="shared" si="34"/>
        <v>0</v>
      </c>
      <c r="S210" s="698">
        <f t="shared" si="25"/>
        <v>0</v>
      </c>
    </row>
    <row r="211" spans="1:19">
      <c r="A211" s="491"/>
      <c r="B211" s="348"/>
      <c r="C211" s="313">
        <f t="shared" si="26"/>
        <v>1</v>
      </c>
      <c r="D211" s="1128"/>
      <c r="E211" s="313">
        <f t="shared" si="27"/>
        <v>0.05</v>
      </c>
      <c r="F211" s="1128"/>
      <c r="G211" s="313">
        <f t="shared" si="28"/>
        <v>0.1</v>
      </c>
      <c r="H211" s="1128"/>
      <c r="I211" s="313">
        <f t="shared" si="29"/>
        <v>1</v>
      </c>
      <c r="J211" s="1128"/>
      <c r="K211" s="313">
        <f t="shared" si="30"/>
        <v>1</v>
      </c>
      <c r="L211" s="1128"/>
      <c r="M211" s="313">
        <f t="shared" si="31"/>
        <v>1</v>
      </c>
      <c r="N211" s="1128"/>
      <c r="O211" s="313">
        <f t="shared" si="32"/>
        <v>1</v>
      </c>
      <c r="P211" s="1128"/>
      <c r="Q211" s="313">
        <f t="shared" si="33"/>
        <v>0.2</v>
      </c>
      <c r="R211" s="1124">
        <f t="shared" si="34"/>
        <v>0</v>
      </c>
      <c r="S211" s="698">
        <f t="shared" si="25"/>
        <v>0</v>
      </c>
    </row>
    <row r="212" spans="1:19">
      <c r="A212" s="491"/>
      <c r="B212" s="348"/>
      <c r="C212" s="313">
        <f t="shared" si="26"/>
        <v>1</v>
      </c>
      <c r="D212" s="1128"/>
      <c r="E212" s="313">
        <f t="shared" si="27"/>
        <v>0.05</v>
      </c>
      <c r="F212" s="1128"/>
      <c r="G212" s="313">
        <f t="shared" si="28"/>
        <v>0.1</v>
      </c>
      <c r="H212" s="1128"/>
      <c r="I212" s="313">
        <f t="shared" si="29"/>
        <v>1</v>
      </c>
      <c r="J212" s="1128"/>
      <c r="K212" s="313">
        <f t="shared" si="30"/>
        <v>1</v>
      </c>
      <c r="L212" s="1128"/>
      <c r="M212" s="313">
        <f t="shared" si="31"/>
        <v>1</v>
      </c>
      <c r="N212" s="1128"/>
      <c r="O212" s="313">
        <f t="shared" si="32"/>
        <v>1</v>
      </c>
      <c r="P212" s="1128"/>
      <c r="Q212" s="313">
        <f t="shared" si="33"/>
        <v>0.2</v>
      </c>
      <c r="R212" s="1124">
        <f t="shared" si="34"/>
        <v>0</v>
      </c>
      <c r="S212" s="698">
        <f t="shared" si="25"/>
        <v>0</v>
      </c>
    </row>
    <row r="213" spans="1:19">
      <c r="A213" s="491"/>
      <c r="B213" s="348"/>
      <c r="C213" s="313">
        <f t="shared" si="26"/>
        <v>1</v>
      </c>
      <c r="D213" s="1128"/>
      <c r="E213" s="313">
        <f t="shared" si="27"/>
        <v>0.05</v>
      </c>
      <c r="F213" s="1128"/>
      <c r="G213" s="313">
        <f t="shared" si="28"/>
        <v>0.1</v>
      </c>
      <c r="H213" s="1128"/>
      <c r="I213" s="313">
        <f t="shared" si="29"/>
        <v>1</v>
      </c>
      <c r="J213" s="1128"/>
      <c r="K213" s="313">
        <f t="shared" si="30"/>
        <v>1</v>
      </c>
      <c r="L213" s="1128"/>
      <c r="M213" s="313">
        <f t="shared" si="31"/>
        <v>1</v>
      </c>
      <c r="N213" s="1128"/>
      <c r="O213" s="313">
        <f t="shared" si="32"/>
        <v>1</v>
      </c>
      <c r="P213" s="1128"/>
      <c r="Q213" s="313">
        <f t="shared" si="33"/>
        <v>0.2</v>
      </c>
      <c r="R213" s="1124">
        <f t="shared" si="34"/>
        <v>0</v>
      </c>
      <c r="S213" s="698">
        <f t="shared" si="25"/>
        <v>0</v>
      </c>
    </row>
    <row r="214" spans="1:19">
      <c r="A214" s="491"/>
      <c r="B214" s="348"/>
      <c r="C214" s="313">
        <f t="shared" si="26"/>
        <v>1</v>
      </c>
      <c r="D214" s="1128"/>
      <c r="E214" s="313">
        <f t="shared" si="27"/>
        <v>0.05</v>
      </c>
      <c r="F214" s="1128"/>
      <c r="G214" s="313">
        <f t="shared" si="28"/>
        <v>0.1</v>
      </c>
      <c r="H214" s="1128"/>
      <c r="I214" s="313">
        <f t="shared" si="29"/>
        <v>1</v>
      </c>
      <c r="J214" s="1128"/>
      <c r="K214" s="313">
        <f t="shared" si="30"/>
        <v>1</v>
      </c>
      <c r="L214" s="1128"/>
      <c r="M214" s="313">
        <f t="shared" si="31"/>
        <v>1</v>
      </c>
      <c r="N214" s="1128"/>
      <c r="O214" s="313">
        <f t="shared" si="32"/>
        <v>1</v>
      </c>
      <c r="P214" s="1128"/>
      <c r="Q214" s="313">
        <f t="shared" si="33"/>
        <v>0.2</v>
      </c>
      <c r="R214" s="1124">
        <f t="shared" si="34"/>
        <v>0</v>
      </c>
      <c r="S214" s="698">
        <f t="shared" si="25"/>
        <v>0</v>
      </c>
    </row>
    <row r="215" spans="1:19">
      <c r="A215" s="491"/>
      <c r="B215" s="348"/>
      <c r="C215" s="313">
        <f t="shared" si="26"/>
        <v>1</v>
      </c>
      <c r="D215" s="1128"/>
      <c r="E215" s="313">
        <f t="shared" si="27"/>
        <v>0.05</v>
      </c>
      <c r="F215" s="1128"/>
      <c r="G215" s="313">
        <f t="shared" si="28"/>
        <v>0.1</v>
      </c>
      <c r="H215" s="1128"/>
      <c r="I215" s="313">
        <f t="shared" si="29"/>
        <v>1</v>
      </c>
      <c r="J215" s="1128"/>
      <c r="K215" s="313">
        <f t="shared" si="30"/>
        <v>1</v>
      </c>
      <c r="L215" s="1128"/>
      <c r="M215" s="313">
        <f t="shared" si="31"/>
        <v>1</v>
      </c>
      <c r="N215" s="1128"/>
      <c r="O215" s="313">
        <f t="shared" si="32"/>
        <v>1</v>
      </c>
      <c r="P215" s="1128"/>
      <c r="Q215" s="313">
        <f t="shared" si="33"/>
        <v>0.2</v>
      </c>
      <c r="R215" s="1124">
        <f t="shared" si="34"/>
        <v>0</v>
      </c>
      <c r="S215" s="698">
        <f t="shared" si="25"/>
        <v>0</v>
      </c>
    </row>
    <row r="216" spans="1:19">
      <c r="A216" s="491"/>
      <c r="B216" s="348"/>
      <c r="C216" s="313">
        <f t="shared" si="26"/>
        <v>1</v>
      </c>
      <c r="D216" s="1128"/>
      <c r="E216" s="313">
        <f t="shared" si="27"/>
        <v>0.05</v>
      </c>
      <c r="F216" s="1128"/>
      <c r="G216" s="313">
        <f t="shared" si="28"/>
        <v>0.1</v>
      </c>
      <c r="H216" s="1128"/>
      <c r="I216" s="313">
        <f t="shared" si="29"/>
        <v>1</v>
      </c>
      <c r="J216" s="1128"/>
      <c r="K216" s="313">
        <f t="shared" si="30"/>
        <v>1</v>
      </c>
      <c r="L216" s="1128"/>
      <c r="M216" s="313">
        <f t="shared" si="31"/>
        <v>1</v>
      </c>
      <c r="N216" s="1128"/>
      <c r="O216" s="313">
        <f t="shared" si="32"/>
        <v>1</v>
      </c>
      <c r="P216" s="1128"/>
      <c r="Q216" s="313">
        <f t="shared" si="33"/>
        <v>0.2</v>
      </c>
      <c r="R216" s="1124">
        <f t="shared" si="34"/>
        <v>0</v>
      </c>
      <c r="S216" s="698">
        <f t="shared" ref="S216:S279" si="35">ROUND(R216*B216/10000,0)</f>
        <v>0</v>
      </c>
    </row>
    <row r="217" spans="1:19">
      <c r="A217" s="491"/>
      <c r="B217" s="348"/>
      <c r="C217" s="313">
        <f t="shared" si="26"/>
        <v>1</v>
      </c>
      <c r="D217" s="1128"/>
      <c r="E217" s="313">
        <f t="shared" si="27"/>
        <v>0.05</v>
      </c>
      <c r="F217" s="1128"/>
      <c r="G217" s="313">
        <f t="shared" si="28"/>
        <v>0.1</v>
      </c>
      <c r="H217" s="1128"/>
      <c r="I217" s="313">
        <f t="shared" si="29"/>
        <v>1</v>
      </c>
      <c r="J217" s="1128"/>
      <c r="K217" s="313">
        <f t="shared" si="30"/>
        <v>1</v>
      </c>
      <c r="L217" s="1128"/>
      <c r="M217" s="313">
        <f t="shared" si="31"/>
        <v>1</v>
      </c>
      <c r="N217" s="1128"/>
      <c r="O217" s="313">
        <f t="shared" si="32"/>
        <v>1</v>
      </c>
      <c r="P217" s="1128"/>
      <c r="Q217" s="313">
        <f t="shared" si="33"/>
        <v>0.2</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0.05</v>
      </c>
      <c r="F218" s="1128"/>
      <c r="G218" s="313">
        <f t="shared" ref="G218:G281" si="38">(SUMIF($7:$7,F218,$8:$8)-SUMIF($7:$7,$F$24,$8:$8)+100)/100</f>
        <v>0.1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0.2</v>
      </c>
      <c r="R218" s="1124">
        <f t="shared" ref="R218:R281" si="44">IF(B218="",0,ROUND($R$24*C218*E218*G218*I218*K218*M218*O218*Q218,0))</f>
        <v>0</v>
      </c>
      <c r="S218" s="698">
        <f t="shared" si="35"/>
        <v>0</v>
      </c>
    </row>
    <row r="219" spans="1:19">
      <c r="A219" s="491"/>
      <c r="B219" s="348"/>
      <c r="C219" s="313">
        <f t="shared" si="36"/>
        <v>1</v>
      </c>
      <c r="D219" s="1128"/>
      <c r="E219" s="313">
        <f t="shared" si="37"/>
        <v>0.05</v>
      </c>
      <c r="F219" s="1128"/>
      <c r="G219" s="313">
        <f t="shared" si="38"/>
        <v>0.1</v>
      </c>
      <c r="H219" s="1128"/>
      <c r="I219" s="313">
        <f t="shared" si="39"/>
        <v>1</v>
      </c>
      <c r="J219" s="1128"/>
      <c r="K219" s="313">
        <f t="shared" si="40"/>
        <v>1</v>
      </c>
      <c r="L219" s="1128"/>
      <c r="M219" s="313">
        <f t="shared" si="41"/>
        <v>1</v>
      </c>
      <c r="N219" s="1128"/>
      <c r="O219" s="313">
        <f t="shared" si="42"/>
        <v>1</v>
      </c>
      <c r="P219" s="1128"/>
      <c r="Q219" s="313">
        <f t="shared" si="43"/>
        <v>0.2</v>
      </c>
      <c r="R219" s="1124">
        <f t="shared" si="44"/>
        <v>0</v>
      </c>
      <c r="S219" s="698">
        <f t="shared" si="35"/>
        <v>0</v>
      </c>
    </row>
    <row r="220" spans="1:19">
      <c r="A220" s="491"/>
      <c r="B220" s="348"/>
      <c r="C220" s="313">
        <f t="shared" si="36"/>
        <v>1</v>
      </c>
      <c r="D220" s="1128"/>
      <c r="E220" s="313">
        <f t="shared" si="37"/>
        <v>0.05</v>
      </c>
      <c r="F220" s="1128"/>
      <c r="G220" s="313">
        <f t="shared" si="38"/>
        <v>0.1</v>
      </c>
      <c r="H220" s="1128"/>
      <c r="I220" s="313">
        <f t="shared" si="39"/>
        <v>1</v>
      </c>
      <c r="J220" s="1128"/>
      <c r="K220" s="313">
        <f t="shared" si="40"/>
        <v>1</v>
      </c>
      <c r="L220" s="1128"/>
      <c r="M220" s="313">
        <f t="shared" si="41"/>
        <v>1</v>
      </c>
      <c r="N220" s="1128"/>
      <c r="O220" s="313">
        <f t="shared" si="42"/>
        <v>1</v>
      </c>
      <c r="P220" s="1128"/>
      <c r="Q220" s="313">
        <f t="shared" si="43"/>
        <v>0.2</v>
      </c>
      <c r="R220" s="1124">
        <f t="shared" si="44"/>
        <v>0</v>
      </c>
      <c r="S220" s="698">
        <f t="shared" si="35"/>
        <v>0</v>
      </c>
    </row>
    <row r="221" spans="1:19">
      <c r="A221" s="491"/>
      <c r="B221" s="348"/>
      <c r="C221" s="313">
        <f t="shared" si="36"/>
        <v>1</v>
      </c>
      <c r="D221" s="1128"/>
      <c r="E221" s="313">
        <f t="shared" si="37"/>
        <v>0.05</v>
      </c>
      <c r="F221" s="1128"/>
      <c r="G221" s="313">
        <f t="shared" si="38"/>
        <v>0.1</v>
      </c>
      <c r="H221" s="1128"/>
      <c r="I221" s="313">
        <f t="shared" si="39"/>
        <v>1</v>
      </c>
      <c r="J221" s="1128"/>
      <c r="K221" s="313">
        <f t="shared" si="40"/>
        <v>1</v>
      </c>
      <c r="L221" s="1128"/>
      <c r="M221" s="313">
        <f t="shared" si="41"/>
        <v>1</v>
      </c>
      <c r="N221" s="1128"/>
      <c r="O221" s="313">
        <f t="shared" si="42"/>
        <v>1</v>
      </c>
      <c r="P221" s="1128"/>
      <c r="Q221" s="313">
        <f t="shared" si="43"/>
        <v>0.2</v>
      </c>
      <c r="R221" s="1124">
        <f t="shared" si="44"/>
        <v>0</v>
      </c>
      <c r="S221" s="698">
        <f t="shared" si="35"/>
        <v>0</v>
      </c>
    </row>
    <row r="222" spans="1:19">
      <c r="A222" s="491"/>
      <c r="B222" s="348"/>
      <c r="C222" s="313">
        <f t="shared" si="36"/>
        <v>1</v>
      </c>
      <c r="D222" s="1128"/>
      <c r="E222" s="313">
        <f t="shared" si="37"/>
        <v>0.05</v>
      </c>
      <c r="F222" s="1128"/>
      <c r="G222" s="313">
        <f t="shared" si="38"/>
        <v>0.1</v>
      </c>
      <c r="H222" s="1128"/>
      <c r="I222" s="313">
        <f t="shared" si="39"/>
        <v>1</v>
      </c>
      <c r="J222" s="1128"/>
      <c r="K222" s="313">
        <f t="shared" si="40"/>
        <v>1</v>
      </c>
      <c r="L222" s="1128"/>
      <c r="M222" s="313">
        <f t="shared" si="41"/>
        <v>1</v>
      </c>
      <c r="N222" s="1128"/>
      <c r="O222" s="313">
        <f t="shared" si="42"/>
        <v>1</v>
      </c>
      <c r="P222" s="1128"/>
      <c r="Q222" s="313">
        <f t="shared" si="43"/>
        <v>0.2</v>
      </c>
      <c r="R222" s="1124">
        <f t="shared" si="44"/>
        <v>0</v>
      </c>
      <c r="S222" s="698">
        <f t="shared" si="35"/>
        <v>0</v>
      </c>
    </row>
    <row r="223" spans="1:19">
      <c r="A223" s="491"/>
      <c r="B223" s="348"/>
      <c r="C223" s="313">
        <f t="shared" si="36"/>
        <v>1</v>
      </c>
      <c r="D223" s="1128"/>
      <c r="E223" s="313">
        <f t="shared" si="37"/>
        <v>0.05</v>
      </c>
      <c r="F223" s="1128"/>
      <c r="G223" s="313">
        <f t="shared" si="38"/>
        <v>0.1</v>
      </c>
      <c r="H223" s="1128"/>
      <c r="I223" s="313">
        <f t="shared" si="39"/>
        <v>1</v>
      </c>
      <c r="J223" s="1128"/>
      <c r="K223" s="313">
        <f t="shared" si="40"/>
        <v>1</v>
      </c>
      <c r="L223" s="1128"/>
      <c r="M223" s="313">
        <f t="shared" si="41"/>
        <v>1</v>
      </c>
      <c r="N223" s="1128"/>
      <c r="O223" s="313">
        <f t="shared" si="42"/>
        <v>1</v>
      </c>
      <c r="P223" s="1128"/>
      <c r="Q223" s="313">
        <f t="shared" si="43"/>
        <v>0.2</v>
      </c>
      <c r="R223" s="1124">
        <f t="shared" si="44"/>
        <v>0</v>
      </c>
      <c r="S223" s="698">
        <f t="shared" si="35"/>
        <v>0</v>
      </c>
    </row>
    <row r="224" spans="1:19">
      <c r="A224" s="491"/>
      <c r="B224" s="348"/>
      <c r="C224" s="313">
        <f t="shared" si="36"/>
        <v>1</v>
      </c>
      <c r="D224" s="1128"/>
      <c r="E224" s="313">
        <f t="shared" si="37"/>
        <v>0.05</v>
      </c>
      <c r="F224" s="1128"/>
      <c r="G224" s="313">
        <f t="shared" si="38"/>
        <v>0.1</v>
      </c>
      <c r="H224" s="1128"/>
      <c r="I224" s="313">
        <f t="shared" si="39"/>
        <v>1</v>
      </c>
      <c r="J224" s="1128"/>
      <c r="K224" s="313">
        <f t="shared" si="40"/>
        <v>1</v>
      </c>
      <c r="L224" s="1128"/>
      <c r="M224" s="313">
        <f t="shared" si="41"/>
        <v>1</v>
      </c>
      <c r="N224" s="1128"/>
      <c r="O224" s="313">
        <f t="shared" si="42"/>
        <v>1</v>
      </c>
      <c r="P224" s="1128"/>
      <c r="Q224" s="313">
        <f t="shared" si="43"/>
        <v>0.2</v>
      </c>
      <c r="R224" s="1124">
        <f t="shared" si="44"/>
        <v>0</v>
      </c>
      <c r="S224" s="698">
        <f t="shared" si="35"/>
        <v>0</v>
      </c>
    </row>
    <row r="225" spans="1:19">
      <c r="A225" s="491"/>
      <c r="B225" s="348"/>
      <c r="C225" s="313">
        <f t="shared" si="36"/>
        <v>1</v>
      </c>
      <c r="D225" s="1128"/>
      <c r="E225" s="313">
        <f t="shared" si="37"/>
        <v>0.05</v>
      </c>
      <c r="F225" s="1128"/>
      <c r="G225" s="313">
        <f t="shared" si="38"/>
        <v>0.1</v>
      </c>
      <c r="H225" s="1128"/>
      <c r="I225" s="313">
        <f t="shared" si="39"/>
        <v>1</v>
      </c>
      <c r="J225" s="1128"/>
      <c r="K225" s="313">
        <f t="shared" si="40"/>
        <v>1</v>
      </c>
      <c r="L225" s="1128"/>
      <c r="M225" s="313">
        <f t="shared" si="41"/>
        <v>1</v>
      </c>
      <c r="N225" s="1128"/>
      <c r="O225" s="313">
        <f t="shared" si="42"/>
        <v>1</v>
      </c>
      <c r="P225" s="1128"/>
      <c r="Q225" s="313">
        <f t="shared" si="43"/>
        <v>0.2</v>
      </c>
      <c r="R225" s="1124">
        <f t="shared" si="44"/>
        <v>0</v>
      </c>
      <c r="S225" s="698">
        <f t="shared" si="35"/>
        <v>0</v>
      </c>
    </row>
    <row r="226" spans="1:19">
      <c r="A226" s="491"/>
      <c r="B226" s="348"/>
      <c r="C226" s="313">
        <f t="shared" si="36"/>
        <v>1</v>
      </c>
      <c r="D226" s="1128"/>
      <c r="E226" s="313">
        <f t="shared" si="37"/>
        <v>0.05</v>
      </c>
      <c r="F226" s="1128"/>
      <c r="G226" s="313">
        <f t="shared" si="38"/>
        <v>0.1</v>
      </c>
      <c r="H226" s="1128"/>
      <c r="I226" s="313">
        <f t="shared" si="39"/>
        <v>1</v>
      </c>
      <c r="J226" s="1128"/>
      <c r="K226" s="313">
        <f t="shared" si="40"/>
        <v>1</v>
      </c>
      <c r="L226" s="1128"/>
      <c r="M226" s="313">
        <f t="shared" si="41"/>
        <v>1</v>
      </c>
      <c r="N226" s="1128"/>
      <c r="O226" s="313">
        <f t="shared" si="42"/>
        <v>1</v>
      </c>
      <c r="P226" s="1128"/>
      <c r="Q226" s="313">
        <f t="shared" si="43"/>
        <v>0.2</v>
      </c>
      <c r="R226" s="1124">
        <f t="shared" si="44"/>
        <v>0</v>
      </c>
      <c r="S226" s="698">
        <f t="shared" si="35"/>
        <v>0</v>
      </c>
    </row>
    <row r="227" spans="1:19">
      <c r="A227" s="491"/>
      <c r="B227" s="348"/>
      <c r="C227" s="313">
        <f t="shared" si="36"/>
        <v>1</v>
      </c>
      <c r="D227" s="1128"/>
      <c r="E227" s="313">
        <f t="shared" si="37"/>
        <v>0.05</v>
      </c>
      <c r="F227" s="1128"/>
      <c r="G227" s="313">
        <f t="shared" si="38"/>
        <v>0.1</v>
      </c>
      <c r="H227" s="1128"/>
      <c r="I227" s="313">
        <f t="shared" si="39"/>
        <v>1</v>
      </c>
      <c r="J227" s="1128"/>
      <c r="K227" s="313">
        <f t="shared" si="40"/>
        <v>1</v>
      </c>
      <c r="L227" s="1128"/>
      <c r="M227" s="313">
        <f t="shared" si="41"/>
        <v>1</v>
      </c>
      <c r="N227" s="1128"/>
      <c r="O227" s="313">
        <f t="shared" si="42"/>
        <v>1</v>
      </c>
      <c r="P227" s="1128"/>
      <c r="Q227" s="313">
        <f t="shared" si="43"/>
        <v>0.2</v>
      </c>
      <c r="R227" s="1124">
        <f t="shared" si="44"/>
        <v>0</v>
      </c>
      <c r="S227" s="698">
        <f t="shared" si="35"/>
        <v>0</v>
      </c>
    </row>
    <row r="228" spans="1:19">
      <c r="A228" s="491"/>
      <c r="B228" s="348"/>
      <c r="C228" s="313">
        <f t="shared" si="36"/>
        <v>1</v>
      </c>
      <c r="D228" s="1128"/>
      <c r="E228" s="313">
        <f t="shared" si="37"/>
        <v>0.05</v>
      </c>
      <c r="F228" s="1128"/>
      <c r="G228" s="313">
        <f t="shared" si="38"/>
        <v>0.1</v>
      </c>
      <c r="H228" s="1128"/>
      <c r="I228" s="313">
        <f t="shared" si="39"/>
        <v>1</v>
      </c>
      <c r="J228" s="1128"/>
      <c r="K228" s="313">
        <f t="shared" si="40"/>
        <v>1</v>
      </c>
      <c r="L228" s="1128"/>
      <c r="M228" s="313">
        <f t="shared" si="41"/>
        <v>1</v>
      </c>
      <c r="N228" s="1128"/>
      <c r="O228" s="313">
        <f t="shared" si="42"/>
        <v>1</v>
      </c>
      <c r="P228" s="1128"/>
      <c r="Q228" s="313">
        <f t="shared" si="43"/>
        <v>0.2</v>
      </c>
      <c r="R228" s="1124">
        <f t="shared" si="44"/>
        <v>0</v>
      </c>
      <c r="S228" s="698">
        <f t="shared" si="35"/>
        <v>0</v>
      </c>
    </row>
    <row r="229" spans="1:19">
      <c r="A229" s="491"/>
      <c r="B229" s="348"/>
      <c r="C229" s="313">
        <f t="shared" si="36"/>
        <v>1</v>
      </c>
      <c r="D229" s="1128"/>
      <c r="E229" s="313">
        <f t="shared" si="37"/>
        <v>0.05</v>
      </c>
      <c r="F229" s="1128"/>
      <c r="G229" s="313">
        <f t="shared" si="38"/>
        <v>0.1</v>
      </c>
      <c r="H229" s="1128"/>
      <c r="I229" s="313">
        <f t="shared" si="39"/>
        <v>1</v>
      </c>
      <c r="J229" s="1128"/>
      <c r="K229" s="313">
        <f t="shared" si="40"/>
        <v>1</v>
      </c>
      <c r="L229" s="1128"/>
      <c r="M229" s="313">
        <f t="shared" si="41"/>
        <v>1</v>
      </c>
      <c r="N229" s="1128"/>
      <c r="O229" s="313">
        <f t="shared" si="42"/>
        <v>1</v>
      </c>
      <c r="P229" s="1128"/>
      <c r="Q229" s="313">
        <f t="shared" si="43"/>
        <v>0.2</v>
      </c>
      <c r="R229" s="1124">
        <f t="shared" si="44"/>
        <v>0</v>
      </c>
      <c r="S229" s="698">
        <f t="shared" si="35"/>
        <v>0</v>
      </c>
    </row>
    <row r="230" spans="1:19">
      <c r="A230" s="491"/>
      <c r="B230" s="348"/>
      <c r="C230" s="313">
        <f t="shared" si="36"/>
        <v>1</v>
      </c>
      <c r="D230" s="1128"/>
      <c r="E230" s="313">
        <f t="shared" si="37"/>
        <v>0.05</v>
      </c>
      <c r="F230" s="1128"/>
      <c r="G230" s="313">
        <f t="shared" si="38"/>
        <v>0.1</v>
      </c>
      <c r="H230" s="1128"/>
      <c r="I230" s="313">
        <f t="shared" si="39"/>
        <v>1</v>
      </c>
      <c r="J230" s="1128"/>
      <c r="K230" s="313">
        <f t="shared" si="40"/>
        <v>1</v>
      </c>
      <c r="L230" s="1128"/>
      <c r="M230" s="313">
        <f t="shared" si="41"/>
        <v>1</v>
      </c>
      <c r="N230" s="1128"/>
      <c r="O230" s="313">
        <f t="shared" si="42"/>
        <v>1</v>
      </c>
      <c r="P230" s="1128"/>
      <c r="Q230" s="313">
        <f t="shared" si="43"/>
        <v>0.2</v>
      </c>
      <c r="R230" s="1124">
        <f t="shared" si="44"/>
        <v>0</v>
      </c>
      <c r="S230" s="698">
        <f t="shared" si="35"/>
        <v>0</v>
      </c>
    </row>
    <row r="231" spans="1:19">
      <c r="A231" s="491"/>
      <c r="B231" s="348"/>
      <c r="C231" s="313">
        <f t="shared" si="36"/>
        <v>1</v>
      </c>
      <c r="D231" s="1128"/>
      <c r="E231" s="313">
        <f t="shared" si="37"/>
        <v>0.05</v>
      </c>
      <c r="F231" s="1128"/>
      <c r="G231" s="313">
        <f t="shared" si="38"/>
        <v>0.1</v>
      </c>
      <c r="H231" s="1128"/>
      <c r="I231" s="313">
        <f t="shared" si="39"/>
        <v>1</v>
      </c>
      <c r="J231" s="1128"/>
      <c r="K231" s="313">
        <f t="shared" si="40"/>
        <v>1</v>
      </c>
      <c r="L231" s="1128"/>
      <c r="M231" s="313">
        <f t="shared" si="41"/>
        <v>1</v>
      </c>
      <c r="N231" s="1128"/>
      <c r="O231" s="313">
        <f t="shared" si="42"/>
        <v>1</v>
      </c>
      <c r="P231" s="1128"/>
      <c r="Q231" s="313">
        <f t="shared" si="43"/>
        <v>0.2</v>
      </c>
      <c r="R231" s="1124">
        <f t="shared" si="44"/>
        <v>0</v>
      </c>
      <c r="S231" s="698">
        <f t="shared" si="35"/>
        <v>0</v>
      </c>
    </row>
    <row r="232" spans="1:19">
      <c r="A232" s="491"/>
      <c r="B232" s="348"/>
      <c r="C232" s="313">
        <f t="shared" si="36"/>
        <v>1</v>
      </c>
      <c r="D232" s="1128"/>
      <c r="E232" s="313">
        <f t="shared" si="37"/>
        <v>0.05</v>
      </c>
      <c r="F232" s="1128"/>
      <c r="G232" s="313">
        <f t="shared" si="38"/>
        <v>0.1</v>
      </c>
      <c r="H232" s="1128"/>
      <c r="I232" s="313">
        <f t="shared" si="39"/>
        <v>1</v>
      </c>
      <c r="J232" s="1128"/>
      <c r="K232" s="313">
        <f t="shared" si="40"/>
        <v>1</v>
      </c>
      <c r="L232" s="1128"/>
      <c r="M232" s="313">
        <f t="shared" si="41"/>
        <v>1</v>
      </c>
      <c r="N232" s="1128"/>
      <c r="O232" s="313">
        <f t="shared" si="42"/>
        <v>1</v>
      </c>
      <c r="P232" s="1128"/>
      <c r="Q232" s="313">
        <f t="shared" si="43"/>
        <v>0.2</v>
      </c>
      <c r="R232" s="1124">
        <f t="shared" si="44"/>
        <v>0</v>
      </c>
      <c r="S232" s="698">
        <f t="shared" si="35"/>
        <v>0</v>
      </c>
    </row>
    <row r="233" spans="1:19">
      <c r="A233" s="491"/>
      <c r="B233" s="348"/>
      <c r="C233" s="313">
        <f t="shared" si="36"/>
        <v>1</v>
      </c>
      <c r="D233" s="1128"/>
      <c r="E233" s="313">
        <f t="shared" si="37"/>
        <v>0.05</v>
      </c>
      <c r="F233" s="1128"/>
      <c r="G233" s="313">
        <f t="shared" si="38"/>
        <v>0.1</v>
      </c>
      <c r="H233" s="1128"/>
      <c r="I233" s="313">
        <f t="shared" si="39"/>
        <v>1</v>
      </c>
      <c r="J233" s="1128"/>
      <c r="K233" s="313">
        <f t="shared" si="40"/>
        <v>1</v>
      </c>
      <c r="L233" s="1128"/>
      <c r="M233" s="313">
        <f t="shared" si="41"/>
        <v>1</v>
      </c>
      <c r="N233" s="1128"/>
      <c r="O233" s="313">
        <f t="shared" si="42"/>
        <v>1</v>
      </c>
      <c r="P233" s="1128"/>
      <c r="Q233" s="313">
        <f t="shared" si="43"/>
        <v>0.2</v>
      </c>
      <c r="R233" s="1124">
        <f t="shared" si="44"/>
        <v>0</v>
      </c>
      <c r="S233" s="698">
        <f t="shared" si="35"/>
        <v>0</v>
      </c>
    </row>
    <row r="234" spans="1:19">
      <c r="A234" s="491"/>
      <c r="B234" s="348"/>
      <c r="C234" s="313">
        <f t="shared" si="36"/>
        <v>1</v>
      </c>
      <c r="D234" s="1128"/>
      <c r="E234" s="313">
        <f t="shared" si="37"/>
        <v>0.05</v>
      </c>
      <c r="F234" s="1128"/>
      <c r="G234" s="313">
        <f t="shared" si="38"/>
        <v>0.1</v>
      </c>
      <c r="H234" s="1128"/>
      <c r="I234" s="313">
        <f t="shared" si="39"/>
        <v>1</v>
      </c>
      <c r="J234" s="1128"/>
      <c r="K234" s="313">
        <f t="shared" si="40"/>
        <v>1</v>
      </c>
      <c r="L234" s="1128"/>
      <c r="M234" s="313">
        <f t="shared" si="41"/>
        <v>1</v>
      </c>
      <c r="N234" s="1128"/>
      <c r="O234" s="313">
        <f t="shared" si="42"/>
        <v>1</v>
      </c>
      <c r="P234" s="1128"/>
      <c r="Q234" s="313">
        <f t="shared" si="43"/>
        <v>0.2</v>
      </c>
      <c r="R234" s="1124">
        <f t="shared" si="44"/>
        <v>0</v>
      </c>
      <c r="S234" s="698">
        <f t="shared" si="35"/>
        <v>0</v>
      </c>
    </row>
    <row r="235" spans="1:19">
      <c r="A235" s="491"/>
      <c r="B235" s="348"/>
      <c r="C235" s="313">
        <f t="shared" si="36"/>
        <v>1</v>
      </c>
      <c r="D235" s="1128"/>
      <c r="E235" s="313">
        <f t="shared" si="37"/>
        <v>0.05</v>
      </c>
      <c r="F235" s="1128"/>
      <c r="G235" s="313">
        <f t="shared" si="38"/>
        <v>0.1</v>
      </c>
      <c r="H235" s="1128"/>
      <c r="I235" s="313">
        <f t="shared" si="39"/>
        <v>1</v>
      </c>
      <c r="J235" s="1128"/>
      <c r="K235" s="313">
        <f t="shared" si="40"/>
        <v>1</v>
      </c>
      <c r="L235" s="1128"/>
      <c r="M235" s="313">
        <f t="shared" si="41"/>
        <v>1</v>
      </c>
      <c r="N235" s="1128"/>
      <c r="O235" s="313">
        <f t="shared" si="42"/>
        <v>1</v>
      </c>
      <c r="P235" s="1128"/>
      <c r="Q235" s="313">
        <f t="shared" si="43"/>
        <v>0.2</v>
      </c>
      <c r="R235" s="1124">
        <f t="shared" si="44"/>
        <v>0</v>
      </c>
      <c r="S235" s="698">
        <f t="shared" si="35"/>
        <v>0</v>
      </c>
    </row>
    <row r="236" spans="1:19">
      <c r="A236" s="491"/>
      <c r="B236" s="348"/>
      <c r="C236" s="313">
        <f t="shared" si="36"/>
        <v>1</v>
      </c>
      <c r="D236" s="1128"/>
      <c r="E236" s="313">
        <f t="shared" si="37"/>
        <v>0.05</v>
      </c>
      <c r="F236" s="1128"/>
      <c r="G236" s="313">
        <f t="shared" si="38"/>
        <v>0.1</v>
      </c>
      <c r="H236" s="1128"/>
      <c r="I236" s="313">
        <f t="shared" si="39"/>
        <v>1</v>
      </c>
      <c r="J236" s="1128"/>
      <c r="K236" s="313">
        <f t="shared" si="40"/>
        <v>1</v>
      </c>
      <c r="L236" s="1128"/>
      <c r="M236" s="313">
        <f t="shared" si="41"/>
        <v>1</v>
      </c>
      <c r="N236" s="1128"/>
      <c r="O236" s="313">
        <f t="shared" si="42"/>
        <v>1</v>
      </c>
      <c r="P236" s="1128"/>
      <c r="Q236" s="313">
        <f t="shared" si="43"/>
        <v>0.2</v>
      </c>
      <c r="R236" s="1124">
        <f t="shared" si="44"/>
        <v>0</v>
      </c>
      <c r="S236" s="698">
        <f t="shared" si="35"/>
        <v>0</v>
      </c>
    </row>
    <row r="237" spans="1:19">
      <c r="A237" s="491"/>
      <c r="B237" s="348"/>
      <c r="C237" s="313">
        <f t="shared" si="36"/>
        <v>1</v>
      </c>
      <c r="D237" s="1128"/>
      <c r="E237" s="313">
        <f t="shared" si="37"/>
        <v>0.05</v>
      </c>
      <c r="F237" s="1128"/>
      <c r="G237" s="313">
        <f t="shared" si="38"/>
        <v>0.1</v>
      </c>
      <c r="H237" s="1128"/>
      <c r="I237" s="313">
        <f t="shared" si="39"/>
        <v>1</v>
      </c>
      <c r="J237" s="1128"/>
      <c r="K237" s="313">
        <f t="shared" si="40"/>
        <v>1</v>
      </c>
      <c r="L237" s="1128"/>
      <c r="M237" s="313">
        <f t="shared" si="41"/>
        <v>1</v>
      </c>
      <c r="N237" s="1128"/>
      <c r="O237" s="313">
        <f t="shared" si="42"/>
        <v>1</v>
      </c>
      <c r="P237" s="1128"/>
      <c r="Q237" s="313">
        <f t="shared" si="43"/>
        <v>0.2</v>
      </c>
      <c r="R237" s="1124">
        <f t="shared" si="44"/>
        <v>0</v>
      </c>
      <c r="S237" s="698">
        <f t="shared" si="35"/>
        <v>0</v>
      </c>
    </row>
    <row r="238" spans="1:19">
      <c r="A238" s="491"/>
      <c r="B238" s="348"/>
      <c r="C238" s="313">
        <f t="shared" si="36"/>
        <v>1</v>
      </c>
      <c r="D238" s="1128"/>
      <c r="E238" s="313">
        <f t="shared" si="37"/>
        <v>0.05</v>
      </c>
      <c r="F238" s="1128"/>
      <c r="G238" s="313">
        <f t="shared" si="38"/>
        <v>0.1</v>
      </c>
      <c r="H238" s="1128"/>
      <c r="I238" s="313">
        <f t="shared" si="39"/>
        <v>1</v>
      </c>
      <c r="J238" s="1128"/>
      <c r="K238" s="313">
        <f t="shared" si="40"/>
        <v>1</v>
      </c>
      <c r="L238" s="1128"/>
      <c r="M238" s="313">
        <f t="shared" si="41"/>
        <v>1</v>
      </c>
      <c r="N238" s="1128"/>
      <c r="O238" s="313">
        <f t="shared" si="42"/>
        <v>1</v>
      </c>
      <c r="P238" s="1128"/>
      <c r="Q238" s="313">
        <f t="shared" si="43"/>
        <v>0.2</v>
      </c>
      <c r="R238" s="1124">
        <f t="shared" si="44"/>
        <v>0</v>
      </c>
      <c r="S238" s="698">
        <f t="shared" si="35"/>
        <v>0</v>
      </c>
    </row>
    <row r="239" spans="1:19">
      <c r="A239" s="491"/>
      <c r="B239" s="348"/>
      <c r="C239" s="313">
        <f t="shared" si="36"/>
        <v>1</v>
      </c>
      <c r="D239" s="1128"/>
      <c r="E239" s="313">
        <f t="shared" si="37"/>
        <v>0.05</v>
      </c>
      <c r="F239" s="1128"/>
      <c r="G239" s="313">
        <f t="shared" si="38"/>
        <v>0.1</v>
      </c>
      <c r="H239" s="1128"/>
      <c r="I239" s="313">
        <f t="shared" si="39"/>
        <v>1</v>
      </c>
      <c r="J239" s="1128"/>
      <c r="K239" s="313">
        <f t="shared" si="40"/>
        <v>1</v>
      </c>
      <c r="L239" s="1128"/>
      <c r="M239" s="313">
        <f t="shared" si="41"/>
        <v>1</v>
      </c>
      <c r="N239" s="1128"/>
      <c r="O239" s="313">
        <f t="shared" si="42"/>
        <v>1</v>
      </c>
      <c r="P239" s="1128"/>
      <c r="Q239" s="313">
        <f t="shared" si="43"/>
        <v>0.2</v>
      </c>
      <c r="R239" s="1124">
        <f t="shared" si="44"/>
        <v>0</v>
      </c>
      <c r="S239" s="698">
        <f t="shared" si="35"/>
        <v>0</v>
      </c>
    </row>
    <row r="240" spans="1:19">
      <c r="A240" s="491"/>
      <c r="B240" s="348"/>
      <c r="C240" s="313">
        <f t="shared" si="36"/>
        <v>1</v>
      </c>
      <c r="D240" s="1128"/>
      <c r="E240" s="313">
        <f t="shared" si="37"/>
        <v>0.05</v>
      </c>
      <c r="F240" s="1128"/>
      <c r="G240" s="313">
        <f t="shared" si="38"/>
        <v>0.1</v>
      </c>
      <c r="H240" s="1128"/>
      <c r="I240" s="313">
        <f t="shared" si="39"/>
        <v>1</v>
      </c>
      <c r="J240" s="1128"/>
      <c r="K240" s="313">
        <f t="shared" si="40"/>
        <v>1</v>
      </c>
      <c r="L240" s="1128"/>
      <c r="M240" s="313">
        <f t="shared" si="41"/>
        <v>1</v>
      </c>
      <c r="N240" s="1128"/>
      <c r="O240" s="313">
        <f t="shared" si="42"/>
        <v>1</v>
      </c>
      <c r="P240" s="1128"/>
      <c r="Q240" s="313">
        <f t="shared" si="43"/>
        <v>0.2</v>
      </c>
      <c r="R240" s="1124">
        <f t="shared" si="44"/>
        <v>0</v>
      </c>
      <c r="S240" s="698">
        <f t="shared" si="35"/>
        <v>0</v>
      </c>
    </row>
    <row r="241" spans="1:19">
      <c r="A241" s="491"/>
      <c r="B241" s="348"/>
      <c r="C241" s="313">
        <f t="shared" si="36"/>
        <v>1</v>
      </c>
      <c r="D241" s="1128"/>
      <c r="E241" s="313">
        <f t="shared" si="37"/>
        <v>0.05</v>
      </c>
      <c r="F241" s="1128"/>
      <c r="G241" s="313">
        <f t="shared" si="38"/>
        <v>0.1</v>
      </c>
      <c r="H241" s="1128"/>
      <c r="I241" s="313">
        <f t="shared" si="39"/>
        <v>1</v>
      </c>
      <c r="J241" s="1128"/>
      <c r="K241" s="313">
        <f t="shared" si="40"/>
        <v>1</v>
      </c>
      <c r="L241" s="1128"/>
      <c r="M241" s="313">
        <f t="shared" si="41"/>
        <v>1</v>
      </c>
      <c r="N241" s="1128"/>
      <c r="O241" s="313">
        <f t="shared" si="42"/>
        <v>1</v>
      </c>
      <c r="P241" s="1128"/>
      <c r="Q241" s="313">
        <f t="shared" si="43"/>
        <v>0.2</v>
      </c>
      <c r="R241" s="1124">
        <f t="shared" si="44"/>
        <v>0</v>
      </c>
      <c r="S241" s="698">
        <f t="shared" si="35"/>
        <v>0</v>
      </c>
    </row>
    <row r="242" spans="1:19">
      <c r="A242" s="491"/>
      <c r="B242" s="348"/>
      <c r="C242" s="313">
        <f t="shared" si="36"/>
        <v>1</v>
      </c>
      <c r="D242" s="1128"/>
      <c r="E242" s="313">
        <f t="shared" si="37"/>
        <v>0.05</v>
      </c>
      <c r="F242" s="1128"/>
      <c r="G242" s="313">
        <f t="shared" si="38"/>
        <v>0.1</v>
      </c>
      <c r="H242" s="1128"/>
      <c r="I242" s="313">
        <f t="shared" si="39"/>
        <v>1</v>
      </c>
      <c r="J242" s="1128"/>
      <c r="K242" s="313">
        <f t="shared" si="40"/>
        <v>1</v>
      </c>
      <c r="L242" s="1128"/>
      <c r="M242" s="313">
        <f t="shared" si="41"/>
        <v>1</v>
      </c>
      <c r="N242" s="1128"/>
      <c r="O242" s="313">
        <f t="shared" si="42"/>
        <v>1</v>
      </c>
      <c r="P242" s="1128"/>
      <c r="Q242" s="313">
        <f t="shared" si="43"/>
        <v>0.2</v>
      </c>
      <c r="R242" s="1124">
        <f t="shared" si="44"/>
        <v>0</v>
      </c>
      <c r="S242" s="698">
        <f t="shared" si="35"/>
        <v>0</v>
      </c>
    </row>
    <row r="243" spans="1:19">
      <c r="A243" s="491"/>
      <c r="B243" s="348"/>
      <c r="C243" s="313">
        <f t="shared" si="36"/>
        <v>1</v>
      </c>
      <c r="D243" s="1128"/>
      <c r="E243" s="313">
        <f t="shared" si="37"/>
        <v>0.05</v>
      </c>
      <c r="F243" s="1128"/>
      <c r="G243" s="313">
        <f t="shared" si="38"/>
        <v>0.1</v>
      </c>
      <c r="H243" s="1128"/>
      <c r="I243" s="313">
        <f t="shared" si="39"/>
        <v>1</v>
      </c>
      <c r="J243" s="1128"/>
      <c r="K243" s="313">
        <f t="shared" si="40"/>
        <v>1</v>
      </c>
      <c r="L243" s="1128"/>
      <c r="M243" s="313">
        <f t="shared" si="41"/>
        <v>1</v>
      </c>
      <c r="N243" s="1128"/>
      <c r="O243" s="313">
        <f t="shared" si="42"/>
        <v>1</v>
      </c>
      <c r="P243" s="1128"/>
      <c r="Q243" s="313">
        <f t="shared" si="43"/>
        <v>0.2</v>
      </c>
      <c r="R243" s="1124">
        <f t="shared" si="44"/>
        <v>0</v>
      </c>
      <c r="S243" s="698">
        <f t="shared" si="35"/>
        <v>0</v>
      </c>
    </row>
    <row r="244" spans="1:19">
      <c r="A244" s="491"/>
      <c r="B244" s="348"/>
      <c r="C244" s="313">
        <f t="shared" si="36"/>
        <v>1</v>
      </c>
      <c r="D244" s="1128"/>
      <c r="E244" s="313">
        <f t="shared" si="37"/>
        <v>0.05</v>
      </c>
      <c r="F244" s="1128"/>
      <c r="G244" s="313">
        <f t="shared" si="38"/>
        <v>0.1</v>
      </c>
      <c r="H244" s="1128"/>
      <c r="I244" s="313">
        <f t="shared" si="39"/>
        <v>1</v>
      </c>
      <c r="J244" s="1128"/>
      <c r="K244" s="313">
        <f t="shared" si="40"/>
        <v>1</v>
      </c>
      <c r="L244" s="1128"/>
      <c r="M244" s="313">
        <f t="shared" si="41"/>
        <v>1</v>
      </c>
      <c r="N244" s="1128"/>
      <c r="O244" s="313">
        <f t="shared" si="42"/>
        <v>1</v>
      </c>
      <c r="P244" s="1128"/>
      <c r="Q244" s="313">
        <f t="shared" si="43"/>
        <v>0.2</v>
      </c>
      <c r="R244" s="1124">
        <f t="shared" si="44"/>
        <v>0</v>
      </c>
      <c r="S244" s="698">
        <f t="shared" si="35"/>
        <v>0</v>
      </c>
    </row>
    <row r="245" spans="1:19">
      <c r="A245" s="491"/>
      <c r="B245" s="348"/>
      <c r="C245" s="313">
        <f t="shared" si="36"/>
        <v>1</v>
      </c>
      <c r="D245" s="1128"/>
      <c r="E245" s="313">
        <f t="shared" si="37"/>
        <v>0.05</v>
      </c>
      <c r="F245" s="1128"/>
      <c r="G245" s="313">
        <f t="shared" si="38"/>
        <v>0.1</v>
      </c>
      <c r="H245" s="1128"/>
      <c r="I245" s="313">
        <f t="shared" si="39"/>
        <v>1</v>
      </c>
      <c r="J245" s="1128"/>
      <c r="K245" s="313">
        <f t="shared" si="40"/>
        <v>1</v>
      </c>
      <c r="L245" s="1128"/>
      <c r="M245" s="313">
        <f t="shared" si="41"/>
        <v>1</v>
      </c>
      <c r="N245" s="1128"/>
      <c r="O245" s="313">
        <f t="shared" si="42"/>
        <v>1</v>
      </c>
      <c r="P245" s="1128"/>
      <c r="Q245" s="313">
        <f t="shared" si="43"/>
        <v>0.2</v>
      </c>
      <c r="R245" s="1124">
        <f t="shared" si="44"/>
        <v>0</v>
      </c>
      <c r="S245" s="698">
        <f t="shared" si="35"/>
        <v>0</v>
      </c>
    </row>
    <row r="246" spans="1:19">
      <c r="A246" s="491"/>
      <c r="B246" s="348"/>
      <c r="C246" s="313">
        <f t="shared" si="36"/>
        <v>1</v>
      </c>
      <c r="D246" s="1128"/>
      <c r="E246" s="313">
        <f t="shared" si="37"/>
        <v>0.05</v>
      </c>
      <c r="F246" s="1128"/>
      <c r="G246" s="313">
        <f t="shared" si="38"/>
        <v>0.1</v>
      </c>
      <c r="H246" s="1128"/>
      <c r="I246" s="313">
        <f t="shared" si="39"/>
        <v>1</v>
      </c>
      <c r="J246" s="1128"/>
      <c r="K246" s="313">
        <f t="shared" si="40"/>
        <v>1</v>
      </c>
      <c r="L246" s="1128"/>
      <c r="M246" s="313">
        <f t="shared" si="41"/>
        <v>1</v>
      </c>
      <c r="N246" s="1128"/>
      <c r="O246" s="313">
        <f t="shared" si="42"/>
        <v>1</v>
      </c>
      <c r="P246" s="1128"/>
      <c r="Q246" s="313">
        <f t="shared" si="43"/>
        <v>0.2</v>
      </c>
      <c r="R246" s="1124">
        <f t="shared" si="44"/>
        <v>0</v>
      </c>
      <c r="S246" s="698">
        <f t="shared" si="35"/>
        <v>0</v>
      </c>
    </row>
    <row r="247" spans="1:19">
      <c r="A247" s="491"/>
      <c r="B247" s="348"/>
      <c r="C247" s="313">
        <f t="shared" si="36"/>
        <v>1</v>
      </c>
      <c r="D247" s="1128"/>
      <c r="E247" s="313">
        <f t="shared" si="37"/>
        <v>0.05</v>
      </c>
      <c r="F247" s="1128"/>
      <c r="G247" s="313">
        <f t="shared" si="38"/>
        <v>0.1</v>
      </c>
      <c r="H247" s="1128"/>
      <c r="I247" s="313">
        <f t="shared" si="39"/>
        <v>1</v>
      </c>
      <c r="J247" s="1128"/>
      <c r="K247" s="313">
        <f t="shared" si="40"/>
        <v>1</v>
      </c>
      <c r="L247" s="1128"/>
      <c r="M247" s="313">
        <f t="shared" si="41"/>
        <v>1</v>
      </c>
      <c r="N247" s="1128"/>
      <c r="O247" s="313">
        <f t="shared" si="42"/>
        <v>1</v>
      </c>
      <c r="P247" s="1128"/>
      <c r="Q247" s="313">
        <f t="shared" si="43"/>
        <v>0.2</v>
      </c>
      <c r="R247" s="1124">
        <f t="shared" si="44"/>
        <v>0</v>
      </c>
      <c r="S247" s="698">
        <f t="shared" si="35"/>
        <v>0</v>
      </c>
    </row>
    <row r="248" spans="1:19">
      <c r="A248" s="491"/>
      <c r="B248" s="348"/>
      <c r="C248" s="313">
        <f t="shared" si="36"/>
        <v>1</v>
      </c>
      <c r="D248" s="1128"/>
      <c r="E248" s="313">
        <f t="shared" si="37"/>
        <v>0.05</v>
      </c>
      <c r="F248" s="1128"/>
      <c r="G248" s="313">
        <f t="shared" si="38"/>
        <v>0.1</v>
      </c>
      <c r="H248" s="1128"/>
      <c r="I248" s="313">
        <f t="shared" si="39"/>
        <v>1</v>
      </c>
      <c r="J248" s="1128"/>
      <c r="K248" s="313">
        <f t="shared" si="40"/>
        <v>1</v>
      </c>
      <c r="L248" s="1128"/>
      <c r="M248" s="313">
        <f t="shared" si="41"/>
        <v>1</v>
      </c>
      <c r="N248" s="1128"/>
      <c r="O248" s="313">
        <f t="shared" si="42"/>
        <v>1</v>
      </c>
      <c r="P248" s="1128"/>
      <c r="Q248" s="313">
        <f t="shared" si="43"/>
        <v>0.2</v>
      </c>
      <c r="R248" s="1124">
        <f t="shared" si="44"/>
        <v>0</v>
      </c>
      <c r="S248" s="698">
        <f t="shared" si="35"/>
        <v>0</v>
      </c>
    </row>
    <row r="249" spans="1:19">
      <c r="A249" s="491"/>
      <c r="B249" s="348"/>
      <c r="C249" s="313">
        <f t="shared" si="36"/>
        <v>1</v>
      </c>
      <c r="D249" s="1128"/>
      <c r="E249" s="313">
        <f t="shared" si="37"/>
        <v>0.05</v>
      </c>
      <c r="F249" s="1128"/>
      <c r="G249" s="313">
        <f t="shared" si="38"/>
        <v>0.1</v>
      </c>
      <c r="H249" s="1128"/>
      <c r="I249" s="313">
        <f t="shared" si="39"/>
        <v>1</v>
      </c>
      <c r="J249" s="1128"/>
      <c r="K249" s="313">
        <f t="shared" si="40"/>
        <v>1</v>
      </c>
      <c r="L249" s="1128"/>
      <c r="M249" s="313">
        <f t="shared" si="41"/>
        <v>1</v>
      </c>
      <c r="N249" s="1128"/>
      <c r="O249" s="313">
        <f t="shared" si="42"/>
        <v>1</v>
      </c>
      <c r="P249" s="1128"/>
      <c r="Q249" s="313">
        <f t="shared" si="43"/>
        <v>0.2</v>
      </c>
      <c r="R249" s="1124">
        <f t="shared" si="44"/>
        <v>0</v>
      </c>
      <c r="S249" s="698">
        <f t="shared" si="35"/>
        <v>0</v>
      </c>
    </row>
    <row r="250" spans="1:19">
      <c r="A250" s="491"/>
      <c r="B250" s="348"/>
      <c r="C250" s="313">
        <f t="shared" si="36"/>
        <v>1</v>
      </c>
      <c r="D250" s="1128"/>
      <c r="E250" s="313">
        <f t="shared" si="37"/>
        <v>0.05</v>
      </c>
      <c r="F250" s="1128"/>
      <c r="G250" s="313">
        <f t="shared" si="38"/>
        <v>0.1</v>
      </c>
      <c r="H250" s="1128"/>
      <c r="I250" s="313">
        <f t="shared" si="39"/>
        <v>1</v>
      </c>
      <c r="J250" s="1128"/>
      <c r="K250" s="313">
        <f t="shared" si="40"/>
        <v>1</v>
      </c>
      <c r="L250" s="1128"/>
      <c r="M250" s="313">
        <f t="shared" si="41"/>
        <v>1</v>
      </c>
      <c r="N250" s="1128"/>
      <c r="O250" s="313">
        <f t="shared" si="42"/>
        <v>1</v>
      </c>
      <c r="P250" s="1128"/>
      <c r="Q250" s="313">
        <f t="shared" si="43"/>
        <v>0.2</v>
      </c>
      <c r="R250" s="1124">
        <f t="shared" si="44"/>
        <v>0</v>
      </c>
      <c r="S250" s="698">
        <f t="shared" si="35"/>
        <v>0</v>
      </c>
    </row>
    <row r="251" spans="1:19">
      <c r="A251" s="491"/>
      <c r="B251" s="348"/>
      <c r="C251" s="313">
        <f t="shared" si="36"/>
        <v>1</v>
      </c>
      <c r="D251" s="1128"/>
      <c r="E251" s="313">
        <f t="shared" si="37"/>
        <v>0.05</v>
      </c>
      <c r="F251" s="1128"/>
      <c r="G251" s="313">
        <f t="shared" si="38"/>
        <v>0.1</v>
      </c>
      <c r="H251" s="1128"/>
      <c r="I251" s="313">
        <f t="shared" si="39"/>
        <v>1</v>
      </c>
      <c r="J251" s="1128"/>
      <c r="K251" s="313">
        <f t="shared" si="40"/>
        <v>1</v>
      </c>
      <c r="L251" s="1128"/>
      <c r="M251" s="313">
        <f t="shared" si="41"/>
        <v>1</v>
      </c>
      <c r="N251" s="1128"/>
      <c r="O251" s="313">
        <f t="shared" si="42"/>
        <v>1</v>
      </c>
      <c r="P251" s="1128"/>
      <c r="Q251" s="313">
        <f t="shared" si="43"/>
        <v>0.2</v>
      </c>
      <c r="R251" s="1124">
        <f t="shared" si="44"/>
        <v>0</v>
      </c>
      <c r="S251" s="698">
        <f t="shared" si="35"/>
        <v>0</v>
      </c>
    </row>
    <row r="252" spans="1:19">
      <c r="A252" s="491"/>
      <c r="B252" s="348"/>
      <c r="C252" s="313">
        <f t="shared" si="36"/>
        <v>1</v>
      </c>
      <c r="D252" s="1128"/>
      <c r="E252" s="313">
        <f t="shared" si="37"/>
        <v>0.05</v>
      </c>
      <c r="F252" s="1128"/>
      <c r="G252" s="313">
        <f t="shared" si="38"/>
        <v>0.1</v>
      </c>
      <c r="H252" s="1128"/>
      <c r="I252" s="313">
        <f t="shared" si="39"/>
        <v>1</v>
      </c>
      <c r="J252" s="1128"/>
      <c r="K252" s="313">
        <f t="shared" si="40"/>
        <v>1</v>
      </c>
      <c r="L252" s="1128"/>
      <c r="M252" s="313">
        <f t="shared" si="41"/>
        <v>1</v>
      </c>
      <c r="N252" s="1128"/>
      <c r="O252" s="313">
        <f t="shared" si="42"/>
        <v>1</v>
      </c>
      <c r="P252" s="1128"/>
      <c r="Q252" s="313">
        <f t="shared" si="43"/>
        <v>0.2</v>
      </c>
      <c r="R252" s="1124">
        <f t="shared" si="44"/>
        <v>0</v>
      </c>
      <c r="S252" s="698">
        <f t="shared" si="35"/>
        <v>0</v>
      </c>
    </row>
    <row r="253" spans="1:19">
      <c r="A253" s="491"/>
      <c r="B253" s="348"/>
      <c r="C253" s="313">
        <f t="shared" si="36"/>
        <v>1</v>
      </c>
      <c r="D253" s="1128"/>
      <c r="E253" s="313">
        <f t="shared" si="37"/>
        <v>0.05</v>
      </c>
      <c r="F253" s="1128"/>
      <c r="G253" s="313">
        <f t="shared" si="38"/>
        <v>0.1</v>
      </c>
      <c r="H253" s="1128"/>
      <c r="I253" s="313">
        <f t="shared" si="39"/>
        <v>1</v>
      </c>
      <c r="J253" s="1128"/>
      <c r="K253" s="313">
        <f t="shared" si="40"/>
        <v>1</v>
      </c>
      <c r="L253" s="1128"/>
      <c r="M253" s="313">
        <f t="shared" si="41"/>
        <v>1</v>
      </c>
      <c r="N253" s="1128"/>
      <c r="O253" s="313">
        <f t="shared" si="42"/>
        <v>1</v>
      </c>
      <c r="P253" s="1128"/>
      <c r="Q253" s="313">
        <f t="shared" si="43"/>
        <v>0.2</v>
      </c>
      <c r="R253" s="1124">
        <f t="shared" si="44"/>
        <v>0</v>
      </c>
      <c r="S253" s="698">
        <f t="shared" si="35"/>
        <v>0</v>
      </c>
    </row>
    <row r="254" spans="1:19">
      <c r="A254" s="491"/>
      <c r="B254" s="348"/>
      <c r="C254" s="313">
        <f t="shared" si="36"/>
        <v>1</v>
      </c>
      <c r="D254" s="1128"/>
      <c r="E254" s="313">
        <f t="shared" si="37"/>
        <v>0.05</v>
      </c>
      <c r="F254" s="1128"/>
      <c r="G254" s="313">
        <f t="shared" si="38"/>
        <v>0.1</v>
      </c>
      <c r="H254" s="1128"/>
      <c r="I254" s="313">
        <f t="shared" si="39"/>
        <v>1</v>
      </c>
      <c r="J254" s="1128"/>
      <c r="K254" s="313">
        <f t="shared" si="40"/>
        <v>1</v>
      </c>
      <c r="L254" s="1128"/>
      <c r="M254" s="313">
        <f t="shared" si="41"/>
        <v>1</v>
      </c>
      <c r="N254" s="1128"/>
      <c r="O254" s="313">
        <f t="shared" si="42"/>
        <v>1</v>
      </c>
      <c r="P254" s="1128"/>
      <c r="Q254" s="313">
        <f t="shared" si="43"/>
        <v>0.2</v>
      </c>
      <c r="R254" s="1124">
        <f t="shared" si="44"/>
        <v>0</v>
      </c>
      <c r="S254" s="698">
        <f t="shared" si="35"/>
        <v>0</v>
      </c>
    </row>
    <row r="255" spans="1:19">
      <c r="A255" s="491"/>
      <c r="B255" s="348"/>
      <c r="C255" s="313">
        <f t="shared" si="36"/>
        <v>1</v>
      </c>
      <c r="D255" s="1128"/>
      <c r="E255" s="313">
        <f t="shared" si="37"/>
        <v>0.05</v>
      </c>
      <c r="F255" s="1128"/>
      <c r="G255" s="313">
        <f t="shared" si="38"/>
        <v>0.1</v>
      </c>
      <c r="H255" s="1128"/>
      <c r="I255" s="313">
        <f t="shared" si="39"/>
        <v>1</v>
      </c>
      <c r="J255" s="1128"/>
      <c r="K255" s="313">
        <f t="shared" si="40"/>
        <v>1</v>
      </c>
      <c r="L255" s="1128"/>
      <c r="M255" s="313">
        <f t="shared" si="41"/>
        <v>1</v>
      </c>
      <c r="N255" s="1128"/>
      <c r="O255" s="313">
        <f t="shared" si="42"/>
        <v>1</v>
      </c>
      <c r="P255" s="1128"/>
      <c r="Q255" s="313">
        <f t="shared" si="43"/>
        <v>0.2</v>
      </c>
      <c r="R255" s="1124">
        <f t="shared" si="44"/>
        <v>0</v>
      </c>
      <c r="S255" s="698">
        <f t="shared" si="35"/>
        <v>0</v>
      </c>
    </row>
    <row r="256" spans="1:19">
      <c r="A256" s="491"/>
      <c r="B256" s="348"/>
      <c r="C256" s="313">
        <f t="shared" si="36"/>
        <v>1</v>
      </c>
      <c r="D256" s="1128"/>
      <c r="E256" s="313">
        <f t="shared" si="37"/>
        <v>0.05</v>
      </c>
      <c r="F256" s="1128"/>
      <c r="G256" s="313">
        <f t="shared" si="38"/>
        <v>0.1</v>
      </c>
      <c r="H256" s="1128"/>
      <c r="I256" s="313">
        <f t="shared" si="39"/>
        <v>1</v>
      </c>
      <c r="J256" s="1128"/>
      <c r="K256" s="313">
        <f t="shared" si="40"/>
        <v>1</v>
      </c>
      <c r="L256" s="1128"/>
      <c r="M256" s="313">
        <f t="shared" si="41"/>
        <v>1</v>
      </c>
      <c r="N256" s="1128"/>
      <c r="O256" s="313">
        <f t="shared" si="42"/>
        <v>1</v>
      </c>
      <c r="P256" s="1128"/>
      <c r="Q256" s="313">
        <f t="shared" si="43"/>
        <v>0.2</v>
      </c>
      <c r="R256" s="1124">
        <f t="shared" si="44"/>
        <v>0</v>
      </c>
      <c r="S256" s="698">
        <f t="shared" si="35"/>
        <v>0</v>
      </c>
    </row>
    <row r="257" spans="1:19">
      <c r="A257" s="491"/>
      <c r="B257" s="348"/>
      <c r="C257" s="313">
        <f t="shared" si="36"/>
        <v>1</v>
      </c>
      <c r="D257" s="1128"/>
      <c r="E257" s="313">
        <f t="shared" si="37"/>
        <v>0.05</v>
      </c>
      <c r="F257" s="1128"/>
      <c r="G257" s="313">
        <f t="shared" si="38"/>
        <v>0.1</v>
      </c>
      <c r="H257" s="1128"/>
      <c r="I257" s="313">
        <f t="shared" si="39"/>
        <v>1</v>
      </c>
      <c r="J257" s="1128"/>
      <c r="K257" s="313">
        <f t="shared" si="40"/>
        <v>1</v>
      </c>
      <c r="L257" s="1128"/>
      <c r="M257" s="313">
        <f t="shared" si="41"/>
        <v>1</v>
      </c>
      <c r="N257" s="1128"/>
      <c r="O257" s="313">
        <f t="shared" si="42"/>
        <v>1</v>
      </c>
      <c r="P257" s="1128"/>
      <c r="Q257" s="313">
        <f t="shared" si="43"/>
        <v>0.2</v>
      </c>
      <c r="R257" s="1124">
        <f t="shared" si="44"/>
        <v>0</v>
      </c>
      <c r="S257" s="698">
        <f t="shared" si="35"/>
        <v>0</v>
      </c>
    </row>
    <row r="258" spans="1:19">
      <c r="A258" s="491"/>
      <c r="B258" s="348"/>
      <c r="C258" s="313">
        <f t="shared" si="36"/>
        <v>1</v>
      </c>
      <c r="D258" s="1128"/>
      <c r="E258" s="313">
        <f t="shared" si="37"/>
        <v>0.05</v>
      </c>
      <c r="F258" s="1128"/>
      <c r="G258" s="313">
        <f t="shared" si="38"/>
        <v>0.1</v>
      </c>
      <c r="H258" s="1128"/>
      <c r="I258" s="313">
        <f t="shared" si="39"/>
        <v>1</v>
      </c>
      <c r="J258" s="1128"/>
      <c r="K258" s="313">
        <f t="shared" si="40"/>
        <v>1</v>
      </c>
      <c r="L258" s="1128"/>
      <c r="M258" s="313">
        <f t="shared" si="41"/>
        <v>1</v>
      </c>
      <c r="N258" s="1128"/>
      <c r="O258" s="313">
        <f t="shared" si="42"/>
        <v>1</v>
      </c>
      <c r="P258" s="1128"/>
      <c r="Q258" s="313">
        <f t="shared" si="43"/>
        <v>0.2</v>
      </c>
      <c r="R258" s="1124">
        <f t="shared" si="44"/>
        <v>0</v>
      </c>
      <c r="S258" s="698">
        <f t="shared" si="35"/>
        <v>0</v>
      </c>
    </row>
    <row r="259" spans="1:19">
      <c r="A259" s="491"/>
      <c r="B259" s="348"/>
      <c r="C259" s="313">
        <f t="shared" si="36"/>
        <v>1</v>
      </c>
      <c r="D259" s="1128"/>
      <c r="E259" s="313">
        <f t="shared" si="37"/>
        <v>0.05</v>
      </c>
      <c r="F259" s="1128"/>
      <c r="G259" s="313">
        <f t="shared" si="38"/>
        <v>0.1</v>
      </c>
      <c r="H259" s="1128"/>
      <c r="I259" s="313">
        <f t="shared" si="39"/>
        <v>1</v>
      </c>
      <c r="J259" s="1128"/>
      <c r="K259" s="313">
        <f t="shared" si="40"/>
        <v>1</v>
      </c>
      <c r="L259" s="1128"/>
      <c r="M259" s="313">
        <f t="shared" si="41"/>
        <v>1</v>
      </c>
      <c r="N259" s="1128"/>
      <c r="O259" s="313">
        <f t="shared" si="42"/>
        <v>1</v>
      </c>
      <c r="P259" s="1128"/>
      <c r="Q259" s="313">
        <f t="shared" si="43"/>
        <v>0.2</v>
      </c>
      <c r="R259" s="1124">
        <f t="shared" si="44"/>
        <v>0</v>
      </c>
      <c r="S259" s="698">
        <f t="shared" si="35"/>
        <v>0</v>
      </c>
    </row>
    <row r="260" spans="1:19">
      <c r="A260" s="491"/>
      <c r="B260" s="348"/>
      <c r="C260" s="313">
        <f t="shared" si="36"/>
        <v>1</v>
      </c>
      <c r="D260" s="1128"/>
      <c r="E260" s="313">
        <f t="shared" si="37"/>
        <v>0.05</v>
      </c>
      <c r="F260" s="1128"/>
      <c r="G260" s="313">
        <f t="shared" si="38"/>
        <v>0.1</v>
      </c>
      <c r="H260" s="1128"/>
      <c r="I260" s="313">
        <f t="shared" si="39"/>
        <v>1</v>
      </c>
      <c r="J260" s="1128"/>
      <c r="K260" s="313">
        <f t="shared" si="40"/>
        <v>1</v>
      </c>
      <c r="L260" s="1128"/>
      <c r="M260" s="313">
        <f t="shared" si="41"/>
        <v>1</v>
      </c>
      <c r="N260" s="1128"/>
      <c r="O260" s="313">
        <f t="shared" si="42"/>
        <v>1</v>
      </c>
      <c r="P260" s="1128"/>
      <c r="Q260" s="313">
        <f t="shared" si="43"/>
        <v>0.2</v>
      </c>
      <c r="R260" s="1124">
        <f t="shared" si="44"/>
        <v>0</v>
      </c>
      <c r="S260" s="698">
        <f t="shared" si="35"/>
        <v>0</v>
      </c>
    </row>
    <row r="261" spans="1:19">
      <c r="A261" s="491"/>
      <c r="B261" s="348"/>
      <c r="C261" s="313">
        <f t="shared" si="36"/>
        <v>1</v>
      </c>
      <c r="D261" s="1128"/>
      <c r="E261" s="313">
        <f t="shared" si="37"/>
        <v>0.05</v>
      </c>
      <c r="F261" s="1128"/>
      <c r="G261" s="313">
        <f t="shared" si="38"/>
        <v>0.1</v>
      </c>
      <c r="H261" s="1128"/>
      <c r="I261" s="313">
        <f t="shared" si="39"/>
        <v>1</v>
      </c>
      <c r="J261" s="1128"/>
      <c r="K261" s="313">
        <f t="shared" si="40"/>
        <v>1</v>
      </c>
      <c r="L261" s="1128"/>
      <c r="M261" s="313">
        <f t="shared" si="41"/>
        <v>1</v>
      </c>
      <c r="N261" s="1128"/>
      <c r="O261" s="313">
        <f t="shared" si="42"/>
        <v>1</v>
      </c>
      <c r="P261" s="1128"/>
      <c r="Q261" s="313">
        <f t="shared" si="43"/>
        <v>0.2</v>
      </c>
      <c r="R261" s="1124">
        <f t="shared" si="44"/>
        <v>0</v>
      </c>
      <c r="S261" s="698">
        <f t="shared" si="35"/>
        <v>0</v>
      </c>
    </row>
    <row r="262" spans="1:19">
      <c r="A262" s="491"/>
      <c r="B262" s="348"/>
      <c r="C262" s="313">
        <f t="shared" si="36"/>
        <v>1</v>
      </c>
      <c r="D262" s="1128"/>
      <c r="E262" s="313">
        <f t="shared" si="37"/>
        <v>0.05</v>
      </c>
      <c r="F262" s="1128"/>
      <c r="G262" s="313">
        <f t="shared" si="38"/>
        <v>0.1</v>
      </c>
      <c r="H262" s="1128"/>
      <c r="I262" s="313">
        <f t="shared" si="39"/>
        <v>1</v>
      </c>
      <c r="J262" s="1128"/>
      <c r="K262" s="313">
        <f t="shared" si="40"/>
        <v>1</v>
      </c>
      <c r="L262" s="1128"/>
      <c r="M262" s="313">
        <f t="shared" si="41"/>
        <v>1</v>
      </c>
      <c r="N262" s="1128"/>
      <c r="O262" s="313">
        <f t="shared" si="42"/>
        <v>1</v>
      </c>
      <c r="P262" s="1128"/>
      <c r="Q262" s="313">
        <f t="shared" si="43"/>
        <v>0.2</v>
      </c>
      <c r="R262" s="1124">
        <f t="shared" si="44"/>
        <v>0</v>
      </c>
      <c r="S262" s="698">
        <f t="shared" si="35"/>
        <v>0</v>
      </c>
    </row>
    <row r="263" spans="1:19">
      <c r="A263" s="491"/>
      <c r="B263" s="348"/>
      <c r="C263" s="313">
        <f t="shared" si="36"/>
        <v>1</v>
      </c>
      <c r="D263" s="1128"/>
      <c r="E263" s="313">
        <f t="shared" si="37"/>
        <v>0.05</v>
      </c>
      <c r="F263" s="1128"/>
      <c r="G263" s="313">
        <f t="shared" si="38"/>
        <v>0.1</v>
      </c>
      <c r="H263" s="1128"/>
      <c r="I263" s="313">
        <f t="shared" si="39"/>
        <v>1</v>
      </c>
      <c r="J263" s="1128"/>
      <c r="K263" s="313">
        <f t="shared" si="40"/>
        <v>1</v>
      </c>
      <c r="L263" s="1128"/>
      <c r="M263" s="313">
        <f t="shared" si="41"/>
        <v>1</v>
      </c>
      <c r="N263" s="1128"/>
      <c r="O263" s="313">
        <f t="shared" si="42"/>
        <v>1</v>
      </c>
      <c r="P263" s="1128"/>
      <c r="Q263" s="313">
        <f t="shared" si="43"/>
        <v>0.2</v>
      </c>
      <c r="R263" s="1124">
        <f t="shared" si="44"/>
        <v>0</v>
      </c>
      <c r="S263" s="698">
        <f t="shared" si="35"/>
        <v>0</v>
      </c>
    </row>
    <row r="264" spans="1:19">
      <c r="A264" s="491"/>
      <c r="B264" s="348"/>
      <c r="C264" s="313">
        <f t="shared" si="36"/>
        <v>1</v>
      </c>
      <c r="D264" s="1128"/>
      <c r="E264" s="313">
        <f t="shared" si="37"/>
        <v>0.05</v>
      </c>
      <c r="F264" s="1128"/>
      <c r="G264" s="313">
        <f t="shared" si="38"/>
        <v>0.1</v>
      </c>
      <c r="H264" s="1128"/>
      <c r="I264" s="313">
        <f t="shared" si="39"/>
        <v>1</v>
      </c>
      <c r="J264" s="1128"/>
      <c r="K264" s="313">
        <f t="shared" si="40"/>
        <v>1</v>
      </c>
      <c r="L264" s="1128"/>
      <c r="M264" s="313">
        <f t="shared" si="41"/>
        <v>1</v>
      </c>
      <c r="N264" s="1128"/>
      <c r="O264" s="313">
        <f t="shared" si="42"/>
        <v>1</v>
      </c>
      <c r="P264" s="1128"/>
      <c r="Q264" s="313">
        <f t="shared" si="43"/>
        <v>0.2</v>
      </c>
      <c r="R264" s="1124">
        <f t="shared" si="44"/>
        <v>0</v>
      </c>
      <c r="S264" s="698">
        <f t="shared" si="35"/>
        <v>0</v>
      </c>
    </row>
    <row r="265" spans="1:19">
      <c r="A265" s="491"/>
      <c r="B265" s="348"/>
      <c r="C265" s="313">
        <f t="shared" si="36"/>
        <v>1</v>
      </c>
      <c r="D265" s="1128"/>
      <c r="E265" s="313">
        <f t="shared" si="37"/>
        <v>0.05</v>
      </c>
      <c r="F265" s="1128"/>
      <c r="G265" s="313">
        <f t="shared" si="38"/>
        <v>0.1</v>
      </c>
      <c r="H265" s="1128"/>
      <c r="I265" s="313">
        <f t="shared" si="39"/>
        <v>1</v>
      </c>
      <c r="J265" s="1128"/>
      <c r="K265" s="313">
        <f t="shared" si="40"/>
        <v>1</v>
      </c>
      <c r="L265" s="1128"/>
      <c r="M265" s="313">
        <f t="shared" si="41"/>
        <v>1</v>
      </c>
      <c r="N265" s="1128"/>
      <c r="O265" s="313">
        <f t="shared" si="42"/>
        <v>1</v>
      </c>
      <c r="P265" s="1128"/>
      <c r="Q265" s="313">
        <f t="shared" si="43"/>
        <v>0.2</v>
      </c>
      <c r="R265" s="1124">
        <f t="shared" si="44"/>
        <v>0</v>
      </c>
      <c r="S265" s="698">
        <f t="shared" si="35"/>
        <v>0</v>
      </c>
    </row>
    <row r="266" spans="1:19">
      <c r="A266" s="491"/>
      <c r="B266" s="348"/>
      <c r="C266" s="313">
        <f t="shared" si="36"/>
        <v>1</v>
      </c>
      <c r="D266" s="1128"/>
      <c r="E266" s="313">
        <f t="shared" si="37"/>
        <v>0.05</v>
      </c>
      <c r="F266" s="1128"/>
      <c r="G266" s="313">
        <f t="shared" si="38"/>
        <v>0.1</v>
      </c>
      <c r="H266" s="1128"/>
      <c r="I266" s="313">
        <f t="shared" si="39"/>
        <v>1</v>
      </c>
      <c r="J266" s="1128"/>
      <c r="K266" s="313">
        <f t="shared" si="40"/>
        <v>1</v>
      </c>
      <c r="L266" s="1128"/>
      <c r="M266" s="313">
        <f t="shared" si="41"/>
        <v>1</v>
      </c>
      <c r="N266" s="1128"/>
      <c r="O266" s="313">
        <f t="shared" si="42"/>
        <v>1</v>
      </c>
      <c r="P266" s="1128"/>
      <c r="Q266" s="313">
        <f t="shared" si="43"/>
        <v>0.2</v>
      </c>
      <c r="R266" s="1124">
        <f t="shared" si="44"/>
        <v>0</v>
      </c>
      <c r="S266" s="698">
        <f t="shared" si="35"/>
        <v>0</v>
      </c>
    </row>
    <row r="267" spans="1:19">
      <c r="A267" s="491"/>
      <c r="B267" s="348"/>
      <c r="C267" s="313">
        <f t="shared" si="36"/>
        <v>1</v>
      </c>
      <c r="D267" s="1128"/>
      <c r="E267" s="313">
        <f t="shared" si="37"/>
        <v>0.05</v>
      </c>
      <c r="F267" s="1128"/>
      <c r="G267" s="313">
        <f t="shared" si="38"/>
        <v>0.1</v>
      </c>
      <c r="H267" s="1128"/>
      <c r="I267" s="313">
        <f t="shared" si="39"/>
        <v>1</v>
      </c>
      <c r="J267" s="1128"/>
      <c r="K267" s="313">
        <f t="shared" si="40"/>
        <v>1</v>
      </c>
      <c r="L267" s="1128"/>
      <c r="M267" s="313">
        <f t="shared" si="41"/>
        <v>1</v>
      </c>
      <c r="N267" s="1128"/>
      <c r="O267" s="313">
        <f t="shared" si="42"/>
        <v>1</v>
      </c>
      <c r="P267" s="1128"/>
      <c r="Q267" s="313">
        <f t="shared" si="43"/>
        <v>0.2</v>
      </c>
      <c r="R267" s="1124">
        <f t="shared" si="44"/>
        <v>0</v>
      </c>
      <c r="S267" s="698">
        <f t="shared" si="35"/>
        <v>0</v>
      </c>
    </row>
    <row r="268" spans="1:19">
      <c r="A268" s="491"/>
      <c r="B268" s="348"/>
      <c r="C268" s="313">
        <f t="shared" si="36"/>
        <v>1</v>
      </c>
      <c r="D268" s="1128"/>
      <c r="E268" s="313">
        <f t="shared" si="37"/>
        <v>0.05</v>
      </c>
      <c r="F268" s="1128"/>
      <c r="G268" s="313">
        <f t="shared" si="38"/>
        <v>0.1</v>
      </c>
      <c r="H268" s="1128"/>
      <c r="I268" s="313">
        <f t="shared" si="39"/>
        <v>1</v>
      </c>
      <c r="J268" s="1128"/>
      <c r="K268" s="313">
        <f t="shared" si="40"/>
        <v>1</v>
      </c>
      <c r="L268" s="1128"/>
      <c r="M268" s="313">
        <f t="shared" si="41"/>
        <v>1</v>
      </c>
      <c r="N268" s="1128"/>
      <c r="O268" s="313">
        <f t="shared" si="42"/>
        <v>1</v>
      </c>
      <c r="P268" s="1128"/>
      <c r="Q268" s="313">
        <f t="shared" si="43"/>
        <v>0.2</v>
      </c>
      <c r="R268" s="1124">
        <f t="shared" si="44"/>
        <v>0</v>
      </c>
      <c r="S268" s="698">
        <f t="shared" si="35"/>
        <v>0</v>
      </c>
    </row>
    <row r="269" spans="1:19">
      <c r="A269" s="491"/>
      <c r="B269" s="348"/>
      <c r="C269" s="313">
        <f t="shared" si="36"/>
        <v>1</v>
      </c>
      <c r="D269" s="1128"/>
      <c r="E269" s="313">
        <f t="shared" si="37"/>
        <v>0.05</v>
      </c>
      <c r="F269" s="1128"/>
      <c r="G269" s="313">
        <f t="shared" si="38"/>
        <v>0.1</v>
      </c>
      <c r="H269" s="1128"/>
      <c r="I269" s="313">
        <f t="shared" si="39"/>
        <v>1</v>
      </c>
      <c r="J269" s="1128"/>
      <c r="K269" s="313">
        <f t="shared" si="40"/>
        <v>1</v>
      </c>
      <c r="L269" s="1128"/>
      <c r="M269" s="313">
        <f t="shared" si="41"/>
        <v>1</v>
      </c>
      <c r="N269" s="1128"/>
      <c r="O269" s="313">
        <f t="shared" si="42"/>
        <v>1</v>
      </c>
      <c r="P269" s="1128"/>
      <c r="Q269" s="313">
        <f t="shared" si="43"/>
        <v>0.2</v>
      </c>
      <c r="R269" s="1124">
        <f t="shared" si="44"/>
        <v>0</v>
      </c>
      <c r="S269" s="698">
        <f t="shared" si="35"/>
        <v>0</v>
      </c>
    </row>
    <row r="270" spans="1:19">
      <c r="A270" s="491"/>
      <c r="B270" s="348"/>
      <c r="C270" s="313">
        <f t="shared" si="36"/>
        <v>1</v>
      </c>
      <c r="D270" s="1128"/>
      <c r="E270" s="313">
        <f t="shared" si="37"/>
        <v>0.05</v>
      </c>
      <c r="F270" s="1128"/>
      <c r="G270" s="313">
        <f t="shared" si="38"/>
        <v>0.1</v>
      </c>
      <c r="H270" s="1128"/>
      <c r="I270" s="313">
        <f t="shared" si="39"/>
        <v>1</v>
      </c>
      <c r="J270" s="1128"/>
      <c r="K270" s="313">
        <f t="shared" si="40"/>
        <v>1</v>
      </c>
      <c r="L270" s="1128"/>
      <c r="M270" s="313">
        <f t="shared" si="41"/>
        <v>1</v>
      </c>
      <c r="N270" s="1128"/>
      <c r="O270" s="313">
        <f t="shared" si="42"/>
        <v>1</v>
      </c>
      <c r="P270" s="1128"/>
      <c r="Q270" s="313">
        <f t="shared" si="43"/>
        <v>0.2</v>
      </c>
      <c r="R270" s="1124">
        <f t="shared" si="44"/>
        <v>0</v>
      </c>
      <c r="S270" s="698">
        <f t="shared" si="35"/>
        <v>0</v>
      </c>
    </row>
    <row r="271" spans="1:19">
      <c r="A271" s="491"/>
      <c r="B271" s="348"/>
      <c r="C271" s="313">
        <f t="shared" si="36"/>
        <v>1</v>
      </c>
      <c r="D271" s="1128"/>
      <c r="E271" s="313">
        <f t="shared" si="37"/>
        <v>0.05</v>
      </c>
      <c r="F271" s="1128"/>
      <c r="G271" s="313">
        <f t="shared" si="38"/>
        <v>0.1</v>
      </c>
      <c r="H271" s="1128"/>
      <c r="I271" s="313">
        <f t="shared" si="39"/>
        <v>1</v>
      </c>
      <c r="J271" s="1128"/>
      <c r="K271" s="313">
        <f t="shared" si="40"/>
        <v>1</v>
      </c>
      <c r="L271" s="1128"/>
      <c r="M271" s="313">
        <f t="shared" si="41"/>
        <v>1</v>
      </c>
      <c r="N271" s="1128"/>
      <c r="O271" s="313">
        <f t="shared" si="42"/>
        <v>1</v>
      </c>
      <c r="P271" s="1128"/>
      <c r="Q271" s="313">
        <f t="shared" si="43"/>
        <v>0.2</v>
      </c>
      <c r="R271" s="1124">
        <f t="shared" si="44"/>
        <v>0</v>
      </c>
      <c r="S271" s="698">
        <f t="shared" si="35"/>
        <v>0</v>
      </c>
    </row>
    <row r="272" spans="1:19">
      <c r="A272" s="491"/>
      <c r="B272" s="348"/>
      <c r="C272" s="313">
        <f t="shared" si="36"/>
        <v>1</v>
      </c>
      <c r="D272" s="1128"/>
      <c r="E272" s="313">
        <f t="shared" si="37"/>
        <v>0.05</v>
      </c>
      <c r="F272" s="1128"/>
      <c r="G272" s="313">
        <f t="shared" si="38"/>
        <v>0.1</v>
      </c>
      <c r="H272" s="1128"/>
      <c r="I272" s="313">
        <f t="shared" si="39"/>
        <v>1</v>
      </c>
      <c r="J272" s="1128"/>
      <c r="K272" s="313">
        <f t="shared" si="40"/>
        <v>1</v>
      </c>
      <c r="L272" s="1128"/>
      <c r="M272" s="313">
        <f t="shared" si="41"/>
        <v>1</v>
      </c>
      <c r="N272" s="1128"/>
      <c r="O272" s="313">
        <f t="shared" si="42"/>
        <v>1</v>
      </c>
      <c r="P272" s="1128"/>
      <c r="Q272" s="313">
        <f t="shared" si="43"/>
        <v>0.2</v>
      </c>
      <c r="R272" s="1124">
        <f t="shared" si="44"/>
        <v>0</v>
      </c>
      <c r="S272" s="698">
        <f t="shared" si="35"/>
        <v>0</v>
      </c>
    </row>
    <row r="273" spans="1:19">
      <c r="A273" s="491"/>
      <c r="B273" s="348"/>
      <c r="C273" s="313">
        <f t="shared" si="36"/>
        <v>1</v>
      </c>
      <c r="D273" s="1128"/>
      <c r="E273" s="313">
        <f t="shared" si="37"/>
        <v>0.05</v>
      </c>
      <c r="F273" s="1128"/>
      <c r="G273" s="313">
        <f t="shared" si="38"/>
        <v>0.1</v>
      </c>
      <c r="H273" s="1128"/>
      <c r="I273" s="313">
        <f t="shared" si="39"/>
        <v>1</v>
      </c>
      <c r="J273" s="1128"/>
      <c r="K273" s="313">
        <f t="shared" si="40"/>
        <v>1</v>
      </c>
      <c r="L273" s="1128"/>
      <c r="M273" s="313">
        <f t="shared" si="41"/>
        <v>1</v>
      </c>
      <c r="N273" s="1128"/>
      <c r="O273" s="313">
        <f t="shared" si="42"/>
        <v>1</v>
      </c>
      <c r="P273" s="1128"/>
      <c r="Q273" s="313">
        <f t="shared" si="43"/>
        <v>0.2</v>
      </c>
      <c r="R273" s="1124">
        <f t="shared" si="44"/>
        <v>0</v>
      </c>
      <c r="S273" s="698">
        <f t="shared" si="35"/>
        <v>0</v>
      </c>
    </row>
    <row r="274" spans="1:19">
      <c r="A274" s="491"/>
      <c r="B274" s="348"/>
      <c r="C274" s="313">
        <f t="shared" si="36"/>
        <v>1</v>
      </c>
      <c r="D274" s="1128"/>
      <c r="E274" s="313">
        <f t="shared" si="37"/>
        <v>0.05</v>
      </c>
      <c r="F274" s="1128"/>
      <c r="G274" s="313">
        <f t="shared" si="38"/>
        <v>0.1</v>
      </c>
      <c r="H274" s="1128"/>
      <c r="I274" s="313">
        <f t="shared" si="39"/>
        <v>1</v>
      </c>
      <c r="J274" s="1128"/>
      <c r="K274" s="313">
        <f t="shared" si="40"/>
        <v>1</v>
      </c>
      <c r="L274" s="1128"/>
      <c r="M274" s="313">
        <f t="shared" si="41"/>
        <v>1</v>
      </c>
      <c r="N274" s="1128"/>
      <c r="O274" s="313">
        <f t="shared" si="42"/>
        <v>1</v>
      </c>
      <c r="P274" s="1128"/>
      <c r="Q274" s="313">
        <f t="shared" si="43"/>
        <v>0.2</v>
      </c>
      <c r="R274" s="1124">
        <f t="shared" si="44"/>
        <v>0</v>
      </c>
      <c r="S274" s="698">
        <f t="shared" si="35"/>
        <v>0</v>
      </c>
    </row>
    <row r="275" spans="1:19">
      <c r="A275" s="491"/>
      <c r="B275" s="348"/>
      <c r="C275" s="313">
        <f t="shared" si="36"/>
        <v>1</v>
      </c>
      <c r="D275" s="1128"/>
      <c r="E275" s="313">
        <f t="shared" si="37"/>
        <v>0.05</v>
      </c>
      <c r="F275" s="1128"/>
      <c r="G275" s="313">
        <f t="shared" si="38"/>
        <v>0.1</v>
      </c>
      <c r="H275" s="1128"/>
      <c r="I275" s="313">
        <f t="shared" si="39"/>
        <v>1</v>
      </c>
      <c r="J275" s="1128"/>
      <c r="K275" s="313">
        <f t="shared" si="40"/>
        <v>1</v>
      </c>
      <c r="L275" s="1128"/>
      <c r="M275" s="313">
        <f t="shared" si="41"/>
        <v>1</v>
      </c>
      <c r="N275" s="1128"/>
      <c r="O275" s="313">
        <f t="shared" si="42"/>
        <v>1</v>
      </c>
      <c r="P275" s="1128"/>
      <c r="Q275" s="313">
        <f t="shared" si="43"/>
        <v>0.2</v>
      </c>
      <c r="R275" s="1124">
        <f t="shared" si="44"/>
        <v>0</v>
      </c>
      <c r="S275" s="698">
        <f t="shared" si="35"/>
        <v>0</v>
      </c>
    </row>
    <row r="276" spans="1:19">
      <c r="A276" s="491"/>
      <c r="B276" s="348"/>
      <c r="C276" s="313">
        <f t="shared" si="36"/>
        <v>1</v>
      </c>
      <c r="D276" s="1128"/>
      <c r="E276" s="313">
        <f t="shared" si="37"/>
        <v>0.05</v>
      </c>
      <c r="F276" s="1128"/>
      <c r="G276" s="313">
        <f t="shared" si="38"/>
        <v>0.1</v>
      </c>
      <c r="H276" s="1128"/>
      <c r="I276" s="313">
        <f t="shared" si="39"/>
        <v>1</v>
      </c>
      <c r="J276" s="1128"/>
      <c r="K276" s="313">
        <f t="shared" si="40"/>
        <v>1</v>
      </c>
      <c r="L276" s="1128"/>
      <c r="M276" s="313">
        <f t="shared" si="41"/>
        <v>1</v>
      </c>
      <c r="N276" s="1128"/>
      <c r="O276" s="313">
        <f t="shared" si="42"/>
        <v>1</v>
      </c>
      <c r="P276" s="1128"/>
      <c r="Q276" s="313">
        <f t="shared" si="43"/>
        <v>0.2</v>
      </c>
      <c r="R276" s="1124">
        <f t="shared" si="44"/>
        <v>0</v>
      </c>
      <c r="S276" s="698">
        <f t="shared" si="35"/>
        <v>0</v>
      </c>
    </row>
    <row r="277" spans="1:19">
      <c r="A277" s="491"/>
      <c r="B277" s="348"/>
      <c r="C277" s="313">
        <f t="shared" si="36"/>
        <v>1</v>
      </c>
      <c r="D277" s="1128"/>
      <c r="E277" s="313">
        <f t="shared" si="37"/>
        <v>0.05</v>
      </c>
      <c r="F277" s="1128"/>
      <c r="G277" s="313">
        <f t="shared" si="38"/>
        <v>0.1</v>
      </c>
      <c r="H277" s="1128"/>
      <c r="I277" s="313">
        <f t="shared" si="39"/>
        <v>1</v>
      </c>
      <c r="J277" s="1128"/>
      <c r="K277" s="313">
        <f t="shared" si="40"/>
        <v>1</v>
      </c>
      <c r="L277" s="1128"/>
      <c r="M277" s="313">
        <f t="shared" si="41"/>
        <v>1</v>
      </c>
      <c r="N277" s="1128"/>
      <c r="O277" s="313">
        <f t="shared" si="42"/>
        <v>1</v>
      </c>
      <c r="P277" s="1128"/>
      <c r="Q277" s="313">
        <f t="shared" si="43"/>
        <v>0.2</v>
      </c>
      <c r="R277" s="1124">
        <f t="shared" si="44"/>
        <v>0</v>
      </c>
      <c r="S277" s="698">
        <f t="shared" si="35"/>
        <v>0</v>
      </c>
    </row>
    <row r="278" spans="1:19">
      <c r="A278" s="491"/>
      <c r="B278" s="348"/>
      <c r="C278" s="313">
        <f t="shared" si="36"/>
        <v>1</v>
      </c>
      <c r="D278" s="1128"/>
      <c r="E278" s="313">
        <f t="shared" si="37"/>
        <v>0.05</v>
      </c>
      <c r="F278" s="1128"/>
      <c r="G278" s="313">
        <f t="shared" si="38"/>
        <v>0.1</v>
      </c>
      <c r="H278" s="1128"/>
      <c r="I278" s="313">
        <f t="shared" si="39"/>
        <v>1</v>
      </c>
      <c r="J278" s="1128"/>
      <c r="K278" s="313">
        <f t="shared" si="40"/>
        <v>1</v>
      </c>
      <c r="L278" s="1128"/>
      <c r="M278" s="313">
        <f t="shared" si="41"/>
        <v>1</v>
      </c>
      <c r="N278" s="1128"/>
      <c r="O278" s="313">
        <f t="shared" si="42"/>
        <v>1</v>
      </c>
      <c r="P278" s="1128"/>
      <c r="Q278" s="313">
        <f t="shared" si="43"/>
        <v>0.2</v>
      </c>
      <c r="R278" s="1124">
        <f t="shared" si="44"/>
        <v>0</v>
      </c>
      <c r="S278" s="698">
        <f t="shared" si="35"/>
        <v>0</v>
      </c>
    </row>
    <row r="279" spans="1:19">
      <c r="A279" s="491"/>
      <c r="B279" s="348"/>
      <c r="C279" s="313">
        <f t="shared" si="36"/>
        <v>1</v>
      </c>
      <c r="D279" s="1128"/>
      <c r="E279" s="313">
        <f t="shared" si="37"/>
        <v>0.05</v>
      </c>
      <c r="F279" s="1128"/>
      <c r="G279" s="313">
        <f t="shared" si="38"/>
        <v>0.1</v>
      </c>
      <c r="H279" s="1128"/>
      <c r="I279" s="313">
        <f t="shared" si="39"/>
        <v>1</v>
      </c>
      <c r="J279" s="1128"/>
      <c r="K279" s="313">
        <f t="shared" si="40"/>
        <v>1</v>
      </c>
      <c r="L279" s="1128"/>
      <c r="M279" s="313">
        <f t="shared" si="41"/>
        <v>1</v>
      </c>
      <c r="N279" s="1128"/>
      <c r="O279" s="313">
        <f t="shared" si="42"/>
        <v>1</v>
      </c>
      <c r="P279" s="1128"/>
      <c r="Q279" s="313">
        <f t="shared" si="43"/>
        <v>0.2</v>
      </c>
      <c r="R279" s="1124">
        <f t="shared" si="44"/>
        <v>0</v>
      </c>
      <c r="S279" s="698">
        <f t="shared" si="35"/>
        <v>0</v>
      </c>
    </row>
    <row r="280" spans="1:19">
      <c r="A280" s="491"/>
      <c r="B280" s="348"/>
      <c r="C280" s="313">
        <f t="shared" si="36"/>
        <v>1</v>
      </c>
      <c r="D280" s="1128"/>
      <c r="E280" s="313">
        <f t="shared" si="37"/>
        <v>0.05</v>
      </c>
      <c r="F280" s="1128"/>
      <c r="G280" s="313">
        <f t="shared" si="38"/>
        <v>0.1</v>
      </c>
      <c r="H280" s="1128"/>
      <c r="I280" s="313">
        <f t="shared" si="39"/>
        <v>1</v>
      </c>
      <c r="J280" s="1128"/>
      <c r="K280" s="313">
        <f t="shared" si="40"/>
        <v>1</v>
      </c>
      <c r="L280" s="1128"/>
      <c r="M280" s="313">
        <f t="shared" si="41"/>
        <v>1</v>
      </c>
      <c r="N280" s="1128"/>
      <c r="O280" s="313">
        <f t="shared" si="42"/>
        <v>1</v>
      </c>
      <c r="P280" s="1128"/>
      <c r="Q280" s="313">
        <f t="shared" si="43"/>
        <v>0.2</v>
      </c>
      <c r="R280" s="1124">
        <f t="shared" si="44"/>
        <v>0</v>
      </c>
      <c r="S280" s="698">
        <f t="shared" ref="S280:S343" si="45">ROUND(R280*B280/10000,0)</f>
        <v>0</v>
      </c>
    </row>
    <row r="281" spans="1:19">
      <c r="A281" s="491"/>
      <c r="B281" s="348"/>
      <c r="C281" s="313">
        <f t="shared" si="36"/>
        <v>1</v>
      </c>
      <c r="D281" s="1128"/>
      <c r="E281" s="313">
        <f t="shared" si="37"/>
        <v>0.05</v>
      </c>
      <c r="F281" s="1128"/>
      <c r="G281" s="313">
        <f t="shared" si="38"/>
        <v>0.1</v>
      </c>
      <c r="H281" s="1128"/>
      <c r="I281" s="313">
        <f t="shared" si="39"/>
        <v>1</v>
      </c>
      <c r="J281" s="1128"/>
      <c r="K281" s="313">
        <f t="shared" si="40"/>
        <v>1</v>
      </c>
      <c r="L281" s="1128"/>
      <c r="M281" s="313">
        <f t="shared" si="41"/>
        <v>1</v>
      </c>
      <c r="N281" s="1128"/>
      <c r="O281" s="313">
        <f t="shared" si="42"/>
        <v>1</v>
      </c>
      <c r="P281" s="1128"/>
      <c r="Q281" s="313">
        <f t="shared" si="43"/>
        <v>0.2</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0.05</v>
      </c>
      <c r="F282" s="1128"/>
      <c r="G282" s="313">
        <f t="shared" ref="G282:G345" si="48">(SUMIF($7:$7,F282,$8:$8)-SUMIF($7:$7,$F$24,$8:$8)+100)/100</f>
        <v>0.1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0.2</v>
      </c>
      <c r="R282" s="1124">
        <f t="shared" ref="R282:R345" si="54">IF(B282="",0,ROUND($R$24*C282*E282*G282*I282*K282*M282*O282*Q282,0))</f>
        <v>0</v>
      </c>
      <c r="S282" s="698">
        <f t="shared" si="45"/>
        <v>0</v>
      </c>
    </row>
    <row r="283" spans="1:19">
      <c r="A283" s="491"/>
      <c r="B283" s="348"/>
      <c r="C283" s="313">
        <f t="shared" si="46"/>
        <v>1</v>
      </c>
      <c r="D283" s="1128"/>
      <c r="E283" s="313">
        <f t="shared" si="47"/>
        <v>0.05</v>
      </c>
      <c r="F283" s="1128"/>
      <c r="G283" s="313">
        <f t="shared" si="48"/>
        <v>0.1</v>
      </c>
      <c r="H283" s="1128"/>
      <c r="I283" s="313">
        <f t="shared" si="49"/>
        <v>1</v>
      </c>
      <c r="J283" s="1128"/>
      <c r="K283" s="313">
        <f t="shared" si="50"/>
        <v>1</v>
      </c>
      <c r="L283" s="1128"/>
      <c r="M283" s="313">
        <f t="shared" si="51"/>
        <v>1</v>
      </c>
      <c r="N283" s="1128"/>
      <c r="O283" s="313">
        <f t="shared" si="52"/>
        <v>1</v>
      </c>
      <c r="P283" s="1128"/>
      <c r="Q283" s="313">
        <f t="shared" si="53"/>
        <v>0.2</v>
      </c>
      <c r="R283" s="1124">
        <f t="shared" si="54"/>
        <v>0</v>
      </c>
      <c r="S283" s="698">
        <f t="shared" si="45"/>
        <v>0</v>
      </c>
    </row>
    <row r="284" spans="1:19">
      <c r="A284" s="491"/>
      <c r="B284" s="348"/>
      <c r="C284" s="313">
        <f t="shared" si="46"/>
        <v>1</v>
      </c>
      <c r="D284" s="1128"/>
      <c r="E284" s="313">
        <f t="shared" si="47"/>
        <v>0.05</v>
      </c>
      <c r="F284" s="1128"/>
      <c r="G284" s="313">
        <f t="shared" si="48"/>
        <v>0.1</v>
      </c>
      <c r="H284" s="1128"/>
      <c r="I284" s="313">
        <f t="shared" si="49"/>
        <v>1</v>
      </c>
      <c r="J284" s="1128"/>
      <c r="K284" s="313">
        <f t="shared" si="50"/>
        <v>1</v>
      </c>
      <c r="L284" s="1128"/>
      <c r="M284" s="313">
        <f t="shared" si="51"/>
        <v>1</v>
      </c>
      <c r="N284" s="1128"/>
      <c r="O284" s="313">
        <f t="shared" si="52"/>
        <v>1</v>
      </c>
      <c r="P284" s="1128"/>
      <c r="Q284" s="313">
        <f t="shared" si="53"/>
        <v>0.2</v>
      </c>
      <c r="R284" s="1124">
        <f t="shared" si="54"/>
        <v>0</v>
      </c>
      <c r="S284" s="698">
        <f t="shared" si="45"/>
        <v>0</v>
      </c>
    </row>
    <row r="285" spans="1:19">
      <c r="A285" s="491"/>
      <c r="B285" s="348"/>
      <c r="C285" s="313">
        <f t="shared" si="46"/>
        <v>1</v>
      </c>
      <c r="D285" s="1128"/>
      <c r="E285" s="313">
        <f t="shared" si="47"/>
        <v>0.05</v>
      </c>
      <c r="F285" s="1128"/>
      <c r="G285" s="313">
        <f t="shared" si="48"/>
        <v>0.1</v>
      </c>
      <c r="H285" s="1128"/>
      <c r="I285" s="313">
        <f t="shared" si="49"/>
        <v>1</v>
      </c>
      <c r="J285" s="1128"/>
      <c r="K285" s="313">
        <f t="shared" si="50"/>
        <v>1</v>
      </c>
      <c r="L285" s="1128"/>
      <c r="M285" s="313">
        <f t="shared" si="51"/>
        <v>1</v>
      </c>
      <c r="N285" s="1128"/>
      <c r="O285" s="313">
        <f t="shared" si="52"/>
        <v>1</v>
      </c>
      <c r="P285" s="1128"/>
      <c r="Q285" s="313">
        <f t="shared" si="53"/>
        <v>0.2</v>
      </c>
      <c r="R285" s="1124">
        <f t="shared" si="54"/>
        <v>0</v>
      </c>
      <c r="S285" s="698">
        <f t="shared" si="45"/>
        <v>0</v>
      </c>
    </row>
    <row r="286" spans="1:19">
      <c r="A286" s="491"/>
      <c r="B286" s="348"/>
      <c r="C286" s="313">
        <f t="shared" si="46"/>
        <v>1</v>
      </c>
      <c r="D286" s="1128"/>
      <c r="E286" s="313">
        <f t="shared" si="47"/>
        <v>0.05</v>
      </c>
      <c r="F286" s="1128"/>
      <c r="G286" s="313">
        <f t="shared" si="48"/>
        <v>0.1</v>
      </c>
      <c r="H286" s="1128"/>
      <c r="I286" s="313">
        <f t="shared" si="49"/>
        <v>1</v>
      </c>
      <c r="J286" s="1128"/>
      <c r="K286" s="313">
        <f t="shared" si="50"/>
        <v>1</v>
      </c>
      <c r="L286" s="1128"/>
      <c r="M286" s="313">
        <f t="shared" si="51"/>
        <v>1</v>
      </c>
      <c r="N286" s="1128"/>
      <c r="O286" s="313">
        <f t="shared" si="52"/>
        <v>1</v>
      </c>
      <c r="P286" s="1128"/>
      <c r="Q286" s="313">
        <f t="shared" si="53"/>
        <v>0.2</v>
      </c>
      <c r="R286" s="1124">
        <f t="shared" si="54"/>
        <v>0</v>
      </c>
      <c r="S286" s="698">
        <f t="shared" si="45"/>
        <v>0</v>
      </c>
    </row>
    <row r="287" spans="1:19">
      <c r="A287" s="491"/>
      <c r="B287" s="348"/>
      <c r="C287" s="313">
        <f t="shared" si="46"/>
        <v>1</v>
      </c>
      <c r="D287" s="1128"/>
      <c r="E287" s="313">
        <f t="shared" si="47"/>
        <v>0.05</v>
      </c>
      <c r="F287" s="1128"/>
      <c r="G287" s="313">
        <f t="shared" si="48"/>
        <v>0.1</v>
      </c>
      <c r="H287" s="1128"/>
      <c r="I287" s="313">
        <f t="shared" si="49"/>
        <v>1</v>
      </c>
      <c r="J287" s="1128"/>
      <c r="K287" s="313">
        <f t="shared" si="50"/>
        <v>1</v>
      </c>
      <c r="L287" s="1128"/>
      <c r="M287" s="313">
        <f t="shared" si="51"/>
        <v>1</v>
      </c>
      <c r="N287" s="1128"/>
      <c r="O287" s="313">
        <f t="shared" si="52"/>
        <v>1</v>
      </c>
      <c r="P287" s="1128"/>
      <c r="Q287" s="313">
        <f t="shared" si="53"/>
        <v>0.2</v>
      </c>
      <c r="R287" s="1124">
        <f t="shared" si="54"/>
        <v>0</v>
      </c>
      <c r="S287" s="698">
        <f t="shared" si="45"/>
        <v>0</v>
      </c>
    </row>
    <row r="288" spans="1:19">
      <c r="A288" s="491"/>
      <c r="B288" s="348"/>
      <c r="C288" s="313">
        <f t="shared" si="46"/>
        <v>1</v>
      </c>
      <c r="D288" s="1128"/>
      <c r="E288" s="313">
        <f t="shared" si="47"/>
        <v>0.05</v>
      </c>
      <c r="F288" s="1128"/>
      <c r="G288" s="313">
        <f t="shared" si="48"/>
        <v>0.1</v>
      </c>
      <c r="H288" s="1128"/>
      <c r="I288" s="313">
        <f t="shared" si="49"/>
        <v>1</v>
      </c>
      <c r="J288" s="1128"/>
      <c r="K288" s="313">
        <f t="shared" si="50"/>
        <v>1</v>
      </c>
      <c r="L288" s="1128"/>
      <c r="M288" s="313">
        <f t="shared" si="51"/>
        <v>1</v>
      </c>
      <c r="N288" s="1128"/>
      <c r="O288" s="313">
        <f t="shared" si="52"/>
        <v>1</v>
      </c>
      <c r="P288" s="1128"/>
      <c r="Q288" s="313">
        <f t="shared" si="53"/>
        <v>0.2</v>
      </c>
      <c r="R288" s="1124">
        <f t="shared" si="54"/>
        <v>0</v>
      </c>
      <c r="S288" s="698">
        <f t="shared" si="45"/>
        <v>0</v>
      </c>
    </row>
    <row r="289" spans="1:19">
      <c r="A289" s="491"/>
      <c r="B289" s="348"/>
      <c r="C289" s="313">
        <f t="shared" si="46"/>
        <v>1</v>
      </c>
      <c r="D289" s="1128"/>
      <c r="E289" s="313">
        <f t="shared" si="47"/>
        <v>0.05</v>
      </c>
      <c r="F289" s="1128"/>
      <c r="G289" s="313">
        <f t="shared" si="48"/>
        <v>0.1</v>
      </c>
      <c r="H289" s="1128"/>
      <c r="I289" s="313">
        <f t="shared" si="49"/>
        <v>1</v>
      </c>
      <c r="J289" s="1128"/>
      <c r="K289" s="313">
        <f t="shared" si="50"/>
        <v>1</v>
      </c>
      <c r="L289" s="1128"/>
      <c r="M289" s="313">
        <f t="shared" si="51"/>
        <v>1</v>
      </c>
      <c r="N289" s="1128"/>
      <c r="O289" s="313">
        <f t="shared" si="52"/>
        <v>1</v>
      </c>
      <c r="P289" s="1128"/>
      <c r="Q289" s="313">
        <f t="shared" si="53"/>
        <v>0.2</v>
      </c>
      <c r="R289" s="1124">
        <f t="shared" si="54"/>
        <v>0</v>
      </c>
      <c r="S289" s="698">
        <f t="shared" si="45"/>
        <v>0</v>
      </c>
    </row>
    <row r="290" spans="1:19">
      <c r="A290" s="491"/>
      <c r="B290" s="348"/>
      <c r="C290" s="313">
        <f t="shared" si="46"/>
        <v>1</v>
      </c>
      <c r="D290" s="1128"/>
      <c r="E290" s="313">
        <f t="shared" si="47"/>
        <v>0.05</v>
      </c>
      <c r="F290" s="1128"/>
      <c r="G290" s="313">
        <f t="shared" si="48"/>
        <v>0.1</v>
      </c>
      <c r="H290" s="1128"/>
      <c r="I290" s="313">
        <f t="shared" si="49"/>
        <v>1</v>
      </c>
      <c r="J290" s="1128"/>
      <c r="K290" s="313">
        <f t="shared" si="50"/>
        <v>1</v>
      </c>
      <c r="L290" s="1128"/>
      <c r="M290" s="313">
        <f t="shared" si="51"/>
        <v>1</v>
      </c>
      <c r="N290" s="1128"/>
      <c r="O290" s="313">
        <f t="shared" si="52"/>
        <v>1</v>
      </c>
      <c r="P290" s="1128"/>
      <c r="Q290" s="313">
        <f t="shared" si="53"/>
        <v>0.2</v>
      </c>
      <c r="R290" s="1124">
        <f t="shared" si="54"/>
        <v>0</v>
      </c>
      <c r="S290" s="698">
        <f t="shared" si="45"/>
        <v>0</v>
      </c>
    </row>
    <row r="291" spans="1:19">
      <c r="A291" s="491"/>
      <c r="B291" s="348"/>
      <c r="C291" s="313">
        <f t="shared" si="46"/>
        <v>1</v>
      </c>
      <c r="D291" s="1128"/>
      <c r="E291" s="313">
        <f t="shared" si="47"/>
        <v>0.05</v>
      </c>
      <c r="F291" s="1128"/>
      <c r="G291" s="313">
        <f t="shared" si="48"/>
        <v>0.1</v>
      </c>
      <c r="H291" s="1128"/>
      <c r="I291" s="313">
        <f t="shared" si="49"/>
        <v>1</v>
      </c>
      <c r="J291" s="1128"/>
      <c r="K291" s="313">
        <f t="shared" si="50"/>
        <v>1</v>
      </c>
      <c r="L291" s="1128"/>
      <c r="M291" s="313">
        <f t="shared" si="51"/>
        <v>1</v>
      </c>
      <c r="N291" s="1128"/>
      <c r="O291" s="313">
        <f t="shared" si="52"/>
        <v>1</v>
      </c>
      <c r="P291" s="1128"/>
      <c r="Q291" s="313">
        <f t="shared" si="53"/>
        <v>0.2</v>
      </c>
      <c r="R291" s="1124">
        <f t="shared" si="54"/>
        <v>0</v>
      </c>
      <c r="S291" s="698">
        <f t="shared" si="45"/>
        <v>0</v>
      </c>
    </row>
    <row r="292" spans="1:19">
      <c r="A292" s="491"/>
      <c r="B292" s="348"/>
      <c r="C292" s="313">
        <f t="shared" si="46"/>
        <v>1</v>
      </c>
      <c r="D292" s="1128"/>
      <c r="E292" s="313">
        <f t="shared" si="47"/>
        <v>0.05</v>
      </c>
      <c r="F292" s="1128"/>
      <c r="G292" s="313">
        <f t="shared" si="48"/>
        <v>0.1</v>
      </c>
      <c r="H292" s="1128"/>
      <c r="I292" s="313">
        <f t="shared" si="49"/>
        <v>1</v>
      </c>
      <c r="J292" s="1128"/>
      <c r="K292" s="313">
        <f t="shared" si="50"/>
        <v>1</v>
      </c>
      <c r="L292" s="1128"/>
      <c r="M292" s="313">
        <f t="shared" si="51"/>
        <v>1</v>
      </c>
      <c r="N292" s="1128"/>
      <c r="O292" s="313">
        <f t="shared" si="52"/>
        <v>1</v>
      </c>
      <c r="P292" s="1128"/>
      <c r="Q292" s="313">
        <f t="shared" si="53"/>
        <v>0.2</v>
      </c>
      <c r="R292" s="1124">
        <f t="shared" si="54"/>
        <v>0</v>
      </c>
      <c r="S292" s="698">
        <f t="shared" si="45"/>
        <v>0</v>
      </c>
    </row>
    <row r="293" spans="1:19">
      <c r="A293" s="491"/>
      <c r="B293" s="348"/>
      <c r="C293" s="313">
        <f t="shared" si="46"/>
        <v>1</v>
      </c>
      <c r="D293" s="1128"/>
      <c r="E293" s="313">
        <f t="shared" si="47"/>
        <v>0.05</v>
      </c>
      <c r="F293" s="1128"/>
      <c r="G293" s="313">
        <f t="shared" si="48"/>
        <v>0.1</v>
      </c>
      <c r="H293" s="1128"/>
      <c r="I293" s="313">
        <f t="shared" si="49"/>
        <v>1</v>
      </c>
      <c r="J293" s="1128"/>
      <c r="K293" s="313">
        <f t="shared" si="50"/>
        <v>1</v>
      </c>
      <c r="L293" s="1128"/>
      <c r="M293" s="313">
        <f t="shared" si="51"/>
        <v>1</v>
      </c>
      <c r="N293" s="1128"/>
      <c r="O293" s="313">
        <f t="shared" si="52"/>
        <v>1</v>
      </c>
      <c r="P293" s="1128"/>
      <c r="Q293" s="313">
        <f t="shared" si="53"/>
        <v>0.2</v>
      </c>
      <c r="R293" s="1124">
        <f t="shared" si="54"/>
        <v>0</v>
      </c>
      <c r="S293" s="698">
        <f t="shared" si="45"/>
        <v>0</v>
      </c>
    </row>
    <row r="294" spans="1:19">
      <c r="A294" s="491"/>
      <c r="B294" s="348"/>
      <c r="C294" s="313">
        <f t="shared" si="46"/>
        <v>1</v>
      </c>
      <c r="D294" s="1128"/>
      <c r="E294" s="313">
        <f t="shared" si="47"/>
        <v>0.05</v>
      </c>
      <c r="F294" s="1128"/>
      <c r="G294" s="313">
        <f t="shared" si="48"/>
        <v>0.1</v>
      </c>
      <c r="H294" s="1128"/>
      <c r="I294" s="313">
        <f t="shared" si="49"/>
        <v>1</v>
      </c>
      <c r="J294" s="1128"/>
      <c r="K294" s="313">
        <f t="shared" si="50"/>
        <v>1</v>
      </c>
      <c r="L294" s="1128"/>
      <c r="M294" s="313">
        <f t="shared" si="51"/>
        <v>1</v>
      </c>
      <c r="N294" s="1128"/>
      <c r="O294" s="313">
        <f t="shared" si="52"/>
        <v>1</v>
      </c>
      <c r="P294" s="1128"/>
      <c r="Q294" s="313">
        <f t="shared" si="53"/>
        <v>0.2</v>
      </c>
      <c r="R294" s="1124">
        <f t="shared" si="54"/>
        <v>0</v>
      </c>
      <c r="S294" s="698">
        <f t="shared" si="45"/>
        <v>0</v>
      </c>
    </row>
    <row r="295" spans="1:19">
      <c r="A295" s="491"/>
      <c r="B295" s="348"/>
      <c r="C295" s="313">
        <f t="shared" si="46"/>
        <v>1</v>
      </c>
      <c r="D295" s="1128"/>
      <c r="E295" s="313">
        <f t="shared" si="47"/>
        <v>0.05</v>
      </c>
      <c r="F295" s="1128"/>
      <c r="G295" s="313">
        <f t="shared" si="48"/>
        <v>0.1</v>
      </c>
      <c r="H295" s="1128"/>
      <c r="I295" s="313">
        <f t="shared" si="49"/>
        <v>1</v>
      </c>
      <c r="J295" s="1128"/>
      <c r="K295" s="313">
        <f t="shared" si="50"/>
        <v>1</v>
      </c>
      <c r="L295" s="1128"/>
      <c r="M295" s="313">
        <f t="shared" si="51"/>
        <v>1</v>
      </c>
      <c r="N295" s="1128"/>
      <c r="O295" s="313">
        <f t="shared" si="52"/>
        <v>1</v>
      </c>
      <c r="P295" s="1128"/>
      <c r="Q295" s="313">
        <f t="shared" si="53"/>
        <v>0.2</v>
      </c>
      <c r="R295" s="1124">
        <f t="shared" si="54"/>
        <v>0</v>
      </c>
      <c r="S295" s="698">
        <f t="shared" si="45"/>
        <v>0</v>
      </c>
    </row>
    <row r="296" spans="1:19">
      <c r="A296" s="491"/>
      <c r="B296" s="348"/>
      <c r="C296" s="313">
        <f t="shared" si="46"/>
        <v>1</v>
      </c>
      <c r="D296" s="1128"/>
      <c r="E296" s="313">
        <f t="shared" si="47"/>
        <v>0.05</v>
      </c>
      <c r="F296" s="1128"/>
      <c r="G296" s="313">
        <f t="shared" si="48"/>
        <v>0.1</v>
      </c>
      <c r="H296" s="1128"/>
      <c r="I296" s="313">
        <f t="shared" si="49"/>
        <v>1</v>
      </c>
      <c r="J296" s="1128"/>
      <c r="K296" s="313">
        <f t="shared" si="50"/>
        <v>1</v>
      </c>
      <c r="L296" s="1128"/>
      <c r="M296" s="313">
        <f t="shared" si="51"/>
        <v>1</v>
      </c>
      <c r="N296" s="1128"/>
      <c r="O296" s="313">
        <f t="shared" si="52"/>
        <v>1</v>
      </c>
      <c r="P296" s="1128"/>
      <c r="Q296" s="313">
        <f t="shared" si="53"/>
        <v>0.2</v>
      </c>
      <c r="R296" s="1124">
        <f t="shared" si="54"/>
        <v>0</v>
      </c>
      <c r="S296" s="698">
        <f t="shared" si="45"/>
        <v>0</v>
      </c>
    </row>
    <row r="297" spans="1:19">
      <c r="A297" s="491"/>
      <c r="B297" s="348"/>
      <c r="C297" s="313">
        <f t="shared" si="46"/>
        <v>1</v>
      </c>
      <c r="D297" s="1128"/>
      <c r="E297" s="313">
        <f t="shared" si="47"/>
        <v>0.05</v>
      </c>
      <c r="F297" s="1128"/>
      <c r="G297" s="313">
        <f t="shared" si="48"/>
        <v>0.1</v>
      </c>
      <c r="H297" s="1128"/>
      <c r="I297" s="313">
        <f t="shared" si="49"/>
        <v>1</v>
      </c>
      <c r="J297" s="1128"/>
      <c r="K297" s="313">
        <f t="shared" si="50"/>
        <v>1</v>
      </c>
      <c r="L297" s="1128"/>
      <c r="M297" s="313">
        <f t="shared" si="51"/>
        <v>1</v>
      </c>
      <c r="N297" s="1128"/>
      <c r="O297" s="313">
        <f t="shared" si="52"/>
        <v>1</v>
      </c>
      <c r="P297" s="1128"/>
      <c r="Q297" s="313">
        <f t="shared" si="53"/>
        <v>0.2</v>
      </c>
      <c r="R297" s="1124">
        <f t="shared" si="54"/>
        <v>0</v>
      </c>
      <c r="S297" s="698">
        <f t="shared" si="45"/>
        <v>0</v>
      </c>
    </row>
    <row r="298" spans="1:19">
      <c r="A298" s="491"/>
      <c r="B298" s="348"/>
      <c r="C298" s="313">
        <f t="shared" si="46"/>
        <v>1</v>
      </c>
      <c r="D298" s="1128"/>
      <c r="E298" s="313">
        <f t="shared" si="47"/>
        <v>0.05</v>
      </c>
      <c r="F298" s="1128"/>
      <c r="G298" s="313">
        <f t="shared" si="48"/>
        <v>0.1</v>
      </c>
      <c r="H298" s="1128"/>
      <c r="I298" s="313">
        <f t="shared" si="49"/>
        <v>1</v>
      </c>
      <c r="J298" s="1128"/>
      <c r="K298" s="313">
        <f t="shared" si="50"/>
        <v>1</v>
      </c>
      <c r="L298" s="1128"/>
      <c r="M298" s="313">
        <f t="shared" si="51"/>
        <v>1</v>
      </c>
      <c r="N298" s="1128"/>
      <c r="O298" s="313">
        <f t="shared" si="52"/>
        <v>1</v>
      </c>
      <c r="P298" s="1128"/>
      <c r="Q298" s="313">
        <f t="shared" si="53"/>
        <v>0.2</v>
      </c>
      <c r="R298" s="1124">
        <f t="shared" si="54"/>
        <v>0</v>
      </c>
      <c r="S298" s="698">
        <f t="shared" si="45"/>
        <v>0</v>
      </c>
    </row>
    <row r="299" spans="1:19">
      <c r="A299" s="491"/>
      <c r="B299" s="348"/>
      <c r="C299" s="313">
        <f t="shared" si="46"/>
        <v>1</v>
      </c>
      <c r="D299" s="1128"/>
      <c r="E299" s="313">
        <f t="shared" si="47"/>
        <v>0.05</v>
      </c>
      <c r="F299" s="1128"/>
      <c r="G299" s="313">
        <f t="shared" si="48"/>
        <v>0.1</v>
      </c>
      <c r="H299" s="1128"/>
      <c r="I299" s="313">
        <f t="shared" si="49"/>
        <v>1</v>
      </c>
      <c r="J299" s="1128"/>
      <c r="K299" s="313">
        <f t="shared" si="50"/>
        <v>1</v>
      </c>
      <c r="L299" s="1128"/>
      <c r="M299" s="313">
        <f t="shared" si="51"/>
        <v>1</v>
      </c>
      <c r="N299" s="1128"/>
      <c r="O299" s="313">
        <f t="shared" si="52"/>
        <v>1</v>
      </c>
      <c r="P299" s="1128"/>
      <c r="Q299" s="313">
        <f t="shared" si="53"/>
        <v>0.2</v>
      </c>
      <c r="R299" s="1124">
        <f t="shared" si="54"/>
        <v>0</v>
      </c>
      <c r="S299" s="698">
        <f t="shared" si="45"/>
        <v>0</v>
      </c>
    </row>
    <row r="300" spans="1:19">
      <c r="A300" s="491"/>
      <c r="B300" s="348"/>
      <c r="C300" s="313">
        <f t="shared" si="46"/>
        <v>1</v>
      </c>
      <c r="D300" s="1128"/>
      <c r="E300" s="313">
        <f t="shared" si="47"/>
        <v>0.05</v>
      </c>
      <c r="F300" s="1128"/>
      <c r="G300" s="313">
        <f t="shared" si="48"/>
        <v>0.1</v>
      </c>
      <c r="H300" s="1128"/>
      <c r="I300" s="313">
        <f t="shared" si="49"/>
        <v>1</v>
      </c>
      <c r="J300" s="1128"/>
      <c r="K300" s="313">
        <f t="shared" si="50"/>
        <v>1</v>
      </c>
      <c r="L300" s="1128"/>
      <c r="M300" s="313">
        <f t="shared" si="51"/>
        <v>1</v>
      </c>
      <c r="N300" s="1128"/>
      <c r="O300" s="313">
        <f t="shared" si="52"/>
        <v>1</v>
      </c>
      <c r="P300" s="1128"/>
      <c r="Q300" s="313">
        <f t="shared" si="53"/>
        <v>0.2</v>
      </c>
      <c r="R300" s="1124">
        <f t="shared" si="54"/>
        <v>0</v>
      </c>
      <c r="S300" s="698">
        <f t="shared" si="45"/>
        <v>0</v>
      </c>
    </row>
    <row r="301" spans="1:19">
      <c r="A301" s="491"/>
      <c r="B301" s="348"/>
      <c r="C301" s="313">
        <f t="shared" si="46"/>
        <v>1</v>
      </c>
      <c r="D301" s="1128"/>
      <c r="E301" s="313">
        <f t="shared" si="47"/>
        <v>0.05</v>
      </c>
      <c r="F301" s="1128"/>
      <c r="G301" s="313">
        <f t="shared" si="48"/>
        <v>0.1</v>
      </c>
      <c r="H301" s="1128"/>
      <c r="I301" s="313">
        <f t="shared" si="49"/>
        <v>1</v>
      </c>
      <c r="J301" s="1128"/>
      <c r="K301" s="313">
        <f t="shared" si="50"/>
        <v>1</v>
      </c>
      <c r="L301" s="1128"/>
      <c r="M301" s="313">
        <f t="shared" si="51"/>
        <v>1</v>
      </c>
      <c r="N301" s="1128"/>
      <c r="O301" s="313">
        <f t="shared" si="52"/>
        <v>1</v>
      </c>
      <c r="P301" s="1128"/>
      <c r="Q301" s="313">
        <f t="shared" si="53"/>
        <v>0.2</v>
      </c>
      <c r="R301" s="1124">
        <f t="shared" si="54"/>
        <v>0</v>
      </c>
      <c r="S301" s="698">
        <f t="shared" si="45"/>
        <v>0</v>
      </c>
    </row>
    <row r="302" spans="1:19">
      <c r="A302" s="491"/>
      <c r="B302" s="348"/>
      <c r="C302" s="313">
        <f t="shared" si="46"/>
        <v>1</v>
      </c>
      <c r="D302" s="1128"/>
      <c r="E302" s="313">
        <f t="shared" si="47"/>
        <v>0.05</v>
      </c>
      <c r="F302" s="1128"/>
      <c r="G302" s="313">
        <f t="shared" si="48"/>
        <v>0.1</v>
      </c>
      <c r="H302" s="1128"/>
      <c r="I302" s="313">
        <f t="shared" si="49"/>
        <v>1</v>
      </c>
      <c r="J302" s="1128"/>
      <c r="K302" s="313">
        <f t="shared" si="50"/>
        <v>1</v>
      </c>
      <c r="L302" s="1128"/>
      <c r="M302" s="313">
        <f t="shared" si="51"/>
        <v>1</v>
      </c>
      <c r="N302" s="1128"/>
      <c r="O302" s="313">
        <f t="shared" si="52"/>
        <v>1</v>
      </c>
      <c r="P302" s="1128"/>
      <c r="Q302" s="313">
        <f t="shared" si="53"/>
        <v>0.2</v>
      </c>
      <c r="R302" s="1124">
        <f t="shared" si="54"/>
        <v>0</v>
      </c>
      <c r="S302" s="698">
        <f t="shared" si="45"/>
        <v>0</v>
      </c>
    </row>
    <row r="303" spans="1:19">
      <c r="A303" s="491"/>
      <c r="B303" s="348"/>
      <c r="C303" s="313">
        <f t="shared" si="46"/>
        <v>1</v>
      </c>
      <c r="D303" s="1128"/>
      <c r="E303" s="313">
        <f t="shared" si="47"/>
        <v>0.05</v>
      </c>
      <c r="F303" s="1128"/>
      <c r="G303" s="313">
        <f t="shared" si="48"/>
        <v>0.1</v>
      </c>
      <c r="H303" s="1128"/>
      <c r="I303" s="313">
        <f t="shared" si="49"/>
        <v>1</v>
      </c>
      <c r="J303" s="1128"/>
      <c r="K303" s="313">
        <f t="shared" si="50"/>
        <v>1</v>
      </c>
      <c r="L303" s="1128"/>
      <c r="M303" s="313">
        <f t="shared" si="51"/>
        <v>1</v>
      </c>
      <c r="N303" s="1128"/>
      <c r="O303" s="313">
        <f t="shared" si="52"/>
        <v>1</v>
      </c>
      <c r="P303" s="1128"/>
      <c r="Q303" s="313">
        <f t="shared" si="53"/>
        <v>0.2</v>
      </c>
      <c r="R303" s="1124">
        <f t="shared" si="54"/>
        <v>0</v>
      </c>
      <c r="S303" s="698">
        <f t="shared" si="45"/>
        <v>0</v>
      </c>
    </row>
    <row r="304" spans="1:19">
      <c r="A304" s="491"/>
      <c r="B304" s="348"/>
      <c r="C304" s="313">
        <f t="shared" si="46"/>
        <v>1</v>
      </c>
      <c r="D304" s="1128"/>
      <c r="E304" s="313">
        <f t="shared" si="47"/>
        <v>0.05</v>
      </c>
      <c r="F304" s="1128"/>
      <c r="G304" s="313">
        <f t="shared" si="48"/>
        <v>0.1</v>
      </c>
      <c r="H304" s="1128"/>
      <c r="I304" s="313">
        <f t="shared" si="49"/>
        <v>1</v>
      </c>
      <c r="J304" s="1128"/>
      <c r="K304" s="313">
        <f t="shared" si="50"/>
        <v>1</v>
      </c>
      <c r="L304" s="1128"/>
      <c r="M304" s="313">
        <f t="shared" si="51"/>
        <v>1</v>
      </c>
      <c r="N304" s="1128"/>
      <c r="O304" s="313">
        <f t="shared" si="52"/>
        <v>1</v>
      </c>
      <c r="P304" s="1128"/>
      <c r="Q304" s="313">
        <f t="shared" si="53"/>
        <v>0.2</v>
      </c>
      <c r="R304" s="1124">
        <f t="shared" si="54"/>
        <v>0</v>
      </c>
      <c r="S304" s="698">
        <f t="shared" si="45"/>
        <v>0</v>
      </c>
    </row>
    <row r="305" spans="1:19">
      <c r="A305" s="491"/>
      <c r="B305" s="348"/>
      <c r="C305" s="313">
        <f t="shared" si="46"/>
        <v>1</v>
      </c>
      <c r="D305" s="1128"/>
      <c r="E305" s="313">
        <f t="shared" si="47"/>
        <v>0.05</v>
      </c>
      <c r="F305" s="1128"/>
      <c r="G305" s="313">
        <f t="shared" si="48"/>
        <v>0.1</v>
      </c>
      <c r="H305" s="1128"/>
      <c r="I305" s="313">
        <f t="shared" si="49"/>
        <v>1</v>
      </c>
      <c r="J305" s="1128"/>
      <c r="K305" s="313">
        <f t="shared" si="50"/>
        <v>1</v>
      </c>
      <c r="L305" s="1128"/>
      <c r="M305" s="313">
        <f t="shared" si="51"/>
        <v>1</v>
      </c>
      <c r="N305" s="1128"/>
      <c r="O305" s="313">
        <f t="shared" si="52"/>
        <v>1</v>
      </c>
      <c r="P305" s="1128"/>
      <c r="Q305" s="313">
        <f t="shared" si="53"/>
        <v>0.2</v>
      </c>
      <c r="R305" s="1124">
        <f t="shared" si="54"/>
        <v>0</v>
      </c>
      <c r="S305" s="698">
        <f t="shared" si="45"/>
        <v>0</v>
      </c>
    </row>
    <row r="306" spans="1:19">
      <c r="A306" s="491"/>
      <c r="B306" s="348"/>
      <c r="C306" s="313">
        <f t="shared" si="46"/>
        <v>1</v>
      </c>
      <c r="D306" s="1128"/>
      <c r="E306" s="313">
        <f t="shared" si="47"/>
        <v>0.05</v>
      </c>
      <c r="F306" s="1128"/>
      <c r="G306" s="313">
        <f t="shared" si="48"/>
        <v>0.1</v>
      </c>
      <c r="H306" s="1128"/>
      <c r="I306" s="313">
        <f t="shared" si="49"/>
        <v>1</v>
      </c>
      <c r="J306" s="1128"/>
      <c r="K306" s="313">
        <f t="shared" si="50"/>
        <v>1</v>
      </c>
      <c r="L306" s="1128"/>
      <c r="M306" s="313">
        <f t="shared" si="51"/>
        <v>1</v>
      </c>
      <c r="N306" s="1128"/>
      <c r="O306" s="313">
        <f t="shared" si="52"/>
        <v>1</v>
      </c>
      <c r="P306" s="1128"/>
      <c r="Q306" s="313">
        <f t="shared" si="53"/>
        <v>0.2</v>
      </c>
      <c r="R306" s="1124">
        <f t="shared" si="54"/>
        <v>0</v>
      </c>
      <c r="S306" s="698">
        <f t="shared" si="45"/>
        <v>0</v>
      </c>
    </row>
    <row r="307" spans="1:19">
      <c r="A307" s="491"/>
      <c r="B307" s="348"/>
      <c r="C307" s="313">
        <f t="shared" si="46"/>
        <v>1</v>
      </c>
      <c r="D307" s="1128"/>
      <c r="E307" s="313">
        <f t="shared" si="47"/>
        <v>0.05</v>
      </c>
      <c r="F307" s="1128"/>
      <c r="G307" s="313">
        <f t="shared" si="48"/>
        <v>0.1</v>
      </c>
      <c r="H307" s="1128"/>
      <c r="I307" s="313">
        <f t="shared" si="49"/>
        <v>1</v>
      </c>
      <c r="J307" s="1128"/>
      <c r="K307" s="313">
        <f t="shared" si="50"/>
        <v>1</v>
      </c>
      <c r="L307" s="1128"/>
      <c r="M307" s="313">
        <f t="shared" si="51"/>
        <v>1</v>
      </c>
      <c r="N307" s="1128"/>
      <c r="O307" s="313">
        <f t="shared" si="52"/>
        <v>1</v>
      </c>
      <c r="P307" s="1128"/>
      <c r="Q307" s="313">
        <f t="shared" si="53"/>
        <v>0.2</v>
      </c>
      <c r="R307" s="1124">
        <f t="shared" si="54"/>
        <v>0</v>
      </c>
      <c r="S307" s="698">
        <f t="shared" si="45"/>
        <v>0</v>
      </c>
    </row>
    <row r="308" spans="1:19">
      <c r="A308" s="491"/>
      <c r="B308" s="348"/>
      <c r="C308" s="313">
        <f t="shared" si="46"/>
        <v>1</v>
      </c>
      <c r="D308" s="1128"/>
      <c r="E308" s="313">
        <f t="shared" si="47"/>
        <v>0.05</v>
      </c>
      <c r="F308" s="1128"/>
      <c r="G308" s="313">
        <f t="shared" si="48"/>
        <v>0.1</v>
      </c>
      <c r="H308" s="1128"/>
      <c r="I308" s="313">
        <f t="shared" si="49"/>
        <v>1</v>
      </c>
      <c r="J308" s="1128"/>
      <c r="K308" s="313">
        <f t="shared" si="50"/>
        <v>1</v>
      </c>
      <c r="L308" s="1128"/>
      <c r="M308" s="313">
        <f t="shared" si="51"/>
        <v>1</v>
      </c>
      <c r="N308" s="1128"/>
      <c r="O308" s="313">
        <f t="shared" si="52"/>
        <v>1</v>
      </c>
      <c r="P308" s="1128"/>
      <c r="Q308" s="313">
        <f t="shared" si="53"/>
        <v>0.2</v>
      </c>
      <c r="R308" s="1124">
        <f t="shared" si="54"/>
        <v>0</v>
      </c>
      <c r="S308" s="698">
        <f t="shared" si="45"/>
        <v>0</v>
      </c>
    </row>
    <row r="309" spans="1:19">
      <c r="A309" s="491"/>
      <c r="B309" s="348"/>
      <c r="C309" s="313">
        <f t="shared" si="46"/>
        <v>1</v>
      </c>
      <c r="D309" s="1128"/>
      <c r="E309" s="313">
        <f t="shared" si="47"/>
        <v>0.05</v>
      </c>
      <c r="F309" s="1128"/>
      <c r="G309" s="313">
        <f t="shared" si="48"/>
        <v>0.1</v>
      </c>
      <c r="H309" s="1128"/>
      <c r="I309" s="313">
        <f t="shared" si="49"/>
        <v>1</v>
      </c>
      <c r="J309" s="1128"/>
      <c r="K309" s="313">
        <f t="shared" si="50"/>
        <v>1</v>
      </c>
      <c r="L309" s="1128"/>
      <c r="M309" s="313">
        <f t="shared" si="51"/>
        <v>1</v>
      </c>
      <c r="N309" s="1128"/>
      <c r="O309" s="313">
        <f t="shared" si="52"/>
        <v>1</v>
      </c>
      <c r="P309" s="1128"/>
      <c r="Q309" s="313">
        <f t="shared" si="53"/>
        <v>0.2</v>
      </c>
      <c r="R309" s="1124">
        <f t="shared" si="54"/>
        <v>0</v>
      </c>
      <c r="S309" s="698">
        <f t="shared" si="45"/>
        <v>0</v>
      </c>
    </row>
    <row r="310" spans="1:19">
      <c r="A310" s="491"/>
      <c r="B310" s="348"/>
      <c r="C310" s="313">
        <f t="shared" si="46"/>
        <v>1</v>
      </c>
      <c r="D310" s="1128"/>
      <c r="E310" s="313">
        <f t="shared" si="47"/>
        <v>0.05</v>
      </c>
      <c r="F310" s="1128"/>
      <c r="G310" s="313">
        <f t="shared" si="48"/>
        <v>0.1</v>
      </c>
      <c r="H310" s="1128"/>
      <c r="I310" s="313">
        <f t="shared" si="49"/>
        <v>1</v>
      </c>
      <c r="J310" s="1128"/>
      <c r="K310" s="313">
        <f t="shared" si="50"/>
        <v>1</v>
      </c>
      <c r="L310" s="1128"/>
      <c r="M310" s="313">
        <f t="shared" si="51"/>
        <v>1</v>
      </c>
      <c r="N310" s="1128"/>
      <c r="O310" s="313">
        <f t="shared" si="52"/>
        <v>1</v>
      </c>
      <c r="P310" s="1128"/>
      <c r="Q310" s="313">
        <f t="shared" si="53"/>
        <v>0.2</v>
      </c>
      <c r="R310" s="1124">
        <f t="shared" si="54"/>
        <v>0</v>
      </c>
      <c r="S310" s="698">
        <f t="shared" si="45"/>
        <v>0</v>
      </c>
    </row>
    <row r="311" spans="1:19">
      <c r="A311" s="491"/>
      <c r="B311" s="348"/>
      <c r="C311" s="313">
        <f t="shared" si="46"/>
        <v>1</v>
      </c>
      <c r="D311" s="1128"/>
      <c r="E311" s="313">
        <f t="shared" si="47"/>
        <v>0.05</v>
      </c>
      <c r="F311" s="1128"/>
      <c r="G311" s="313">
        <f t="shared" si="48"/>
        <v>0.1</v>
      </c>
      <c r="H311" s="1128"/>
      <c r="I311" s="313">
        <f t="shared" si="49"/>
        <v>1</v>
      </c>
      <c r="J311" s="1128"/>
      <c r="K311" s="313">
        <f t="shared" si="50"/>
        <v>1</v>
      </c>
      <c r="L311" s="1128"/>
      <c r="M311" s="313">
        <f t="shared" si="51"/>
        <v>1</v>
      </c>
      <c r="N311" s="1128"/>
      <c r="O311" s="313">
        <f t="shared" si="52"/>
        <v>1</v>
      </c>
      <c r="P311" s="1128"/>
      <c r="Q311" s="313">
        <f t="shared" si="53"/>
        <v>0.2</v>
      </c>
      <c r="R311" s="1124">
        <f t="shared" si="54"/>
        <v>0</v>
      </c>
      <c r="S311" s="698">
        <f t="shared" si="45"/>
        <v>0</v>
      </c>
    </row>
    <row r="312" spans="1:19">
      <c r="A312" s="491"/>
      <c r="B312" s="348"/>
      <c r="C312" s="313">
        <f t="shared" si="46"/>
        <v>1</v>
      </c>
      <c r="D312" s="1128"/>
      <c r="E312" s="313">
        <f t="shared" si="47"/>
        <v>0.05</v>
      </c>
      <c r="F312" s="1128"/>
      <c r="G312" s="313">
        <f t="shared" si="48"/>
        <v>0.1</v>
      </c>
      <c r="H312" s="1128"/>
      <c r="I312" s="313">
        <f t="shared" si="49"/>
        <v>1</v>
      </c>
      <c r="J312" s="1128"/>
      <c r="K312" s="313">
        <f t="shared" si="50"/>
        <v>1</v>
      </c>
      <c r="L312" s="1128"/>
      <c r="M312" s="313">
        <f t="shared" si="51"/>
        <v>1</v>
      </c>
      <c r="N312" s="1128"/>
      <c r="O312" s="313">
        <f t="shared" si="52"/>
        <v>1</v>
      </c>
      <c r="P312" s="1128"/>
      <c r="Q312" s="313">
        <f t="shared" si="53"/>
        <v>0.2</v>
      </c>
      <c r="R312" s="1124">
        <f t="shared" si="54"/>
        <v>0</v>
      </c>
      <c r="S312" s="698">
        <f t="shared" si="45"/>
        <v>0</v>
      </c>
    </row>
    <row r="313" spans="1:19">
      <c r="A313" s="491"/>
      <c r="B313" s="348"/>
      <c r="C313" s="313">
        <f t="shared" si="46"/>
        <v>1</v>
      </c>
      <c r="D313" s="1128"/>
      <c r="E313" s="313">
        <f t="shared" si="47"/>
        <v>0.05</v>
      </c>
      <c r="F313" s="1128"/>
      <c r="G313" s="313">
        <f t="shared" si="48"/>
        <v>0.1</v>
      </c>
      <c r="H313" s="1128"/>
      <c r="I313" s="313">
        <f t="shared" si="49"/>
        <v>1</v>
      </c>
      <c r="J313" s="1128"/>
      <c r="K313" s="313">
        <f t="shared" si="50"/>
        <v>1</v>
      </c>
      <c r="L313" s="1128"/>
      <c r="M313" s="313">
        <f t="shared" si="51"/>
        <v>1</v>
      </c>
      <c r="N313" s="1128"/>
      <c r="O313" s="313">
        <f t="shared" si="52"/>
        <v>1</v>
      </c>
      <c r="P313" s="1128"/>
      <c r="Q313" s="313">
        <f t="shared" si="53"/>
        <v>0.2</v>
      </c>
      <c r="R313" s="1124">
        <f t="shared" si="54"/>
        <v>0</v>
      </c>
      <c r="S313" s="698">
        <f t="shared" si="45"/>
        <v>0</v>
      </c>
    </row>
    <row r="314" spans="1:19">
      <c r="A314" s="491"/>
      <c r="B314" s="348"/>
      <c r="C314" s="313">
        <f t="shared" si="46"/>
        <v>1</v>
      </c>
      <c r="D314" s="1128"/>
      <c r="E314" s="313">
        <f t="shared" si="47"/>
        <v>0.05</v>
      </c>
      <c r="F314" s="1128"/>
      <c r="G314" s="313">
        <f t="shared" si="48"/>
        <v>0.1</v>
      </c>
      <c r="H314" s="1128"/>
      <c r="I314" s="313">
        <f t="shared" si="49"/>
        <v>1</v>
      </c>
      <c r="J314" s="1128"/>
      <c r="K314" s="313">
        <f t="shared" si="50"/>
        <v>1</v>
      </c>
      <c r="L314" s="1128"/>
      <c r="M314" s="313">
        <f t="shared" si="51"/>
        <v>1</v>
      </c>
      <c r="N314" s="1128"/>
      <c r="O314" s="313">
        <f t="shared" si="52"/>
        <v>1</v>
      </c>
      <c r="P314" s="1128"/>
      <c r="Q314" s="313">
        <f t="shared" si="53"/>
        <v>0.2</v>
      </c>
      <c r="R314" s="1124">
        <f t="shared" si="54"/>
        <v>0</v>
      </c>
      <c r="S314" s="698">
        <f t="shared" si="45"/>
        <v>0</v>
      </c>
    </row>
    <row r="315" spans="1:19">
      <c r="A315" s="491"/>
      <c r="B315" s="348"/>
      <c r="C315" s="313">
        <f t="shared" si="46"/>
        <v>1</v>
      </c>
      <c r="D315" s="1128"/>
      <c r="E315" s="313">
        <f t="shared" si="47"/>
        <v>0.05</v>
      </c>
      <c r="F315" s="1128"/>
      <c r="G315" s="313">
        <f t="shared" si="48"/>
        <v>0.1</v>
      </c>
      <c r="H315" s="1128"/>
      <c r="I315" s="313">
        <f t="shared" si="49"/>
        <v>1</v>
      </c>
      <c r="J315" s="1128"/>
      <c r="K315" s="313">
        <f t="shared" si="50"/>
        <v>1</v>
      </c>
      <c r="L315" s="1128"/>
      <c r="M315" s="313">
        <f t="shared" si="51"/>
        <v>1</v>
      </c>
      <c r="N315" s="1128"/>
      <c r="O315" s="313">
        <f t="shared" si="52"/>
        <v>1</v>
      </c>
      <c r="P315" s="1128"/>
      <c r="Q315" s="313">
        <f t="shared" si="53"/>
        <v>0.2</v>
      </c>
      <c r="R315" s="1124">
        <f t="shared" si="54"/>
        <v>0</v>
      </c>
      <c r="S315" s="698">
        <f t="shared" si="45"/>
        <v>0</v>
      </c>
    </row>
    <row r="316" spans="1:19">
      <c r="A316" s="491"/>
      <c r="B316" s="348"/>
      <c r="C316" s="313">
        <f t="shared" si="46"/>
        <v>1</v>
      </c>
      <c r="D316" s="1128"/>
      <c r="E316" s="313">
        <f t="shared" si="47"/>
        <v>0.05</v>
      </c>
      <c r="F316" s="1128"/>
      <c r="G316" s="313">
        <f t="shared" si="48"/>
        <v>0.1</v>
      </c>
      <c r="H316" s="1128"/>
      <c r="I316" s="313">
        <f t="shared" si="49"/>
        <v>1</v>
      </c>
      <c r="J316" s="1128"/>
      <c r="K316" s="313">
        <f t="shared" si="50"/>
        <v>1</v>
      </c>
      <c r="L316" s="1128"/>
      <c r="M316" s="313">
        <f t="shared" si="51"/>
        <v>1</v>
      </c>
      <c r="N316" s="1128"/>
      <c r="O316" s="313">
        <f t="shared" si="52"/>
        <v>1</v>
      </c>
      <c r="P316" s="1128"/>
      <c r="Q316" s="313">
        <f t="shared" si="53"/>
        <v>0.2</v>
      </c>
      <c r="R316" s="1124">
        <f t="shared" si="54"/>
        <v>0</v>
      </c>
      <c r="S316" s="698">
        <f t="shared" si="45"/>
        <v>0</v>
      </c>
    </row>
    <row r="317" spans="1:19">
      <c r="A317" s="491"/>
      <c r="B317" s="348"/>
      <c r="C317" s="313">
        <f t="shared" si="46"/>
        <v>1</v>
      </c>
      <c r="D317" s="1128"/>
      <c r="E317" s="313">
        <f t="shared" si="47"/>
        <v>0.05</v>
      </c>
      <c r="F317" s="1128"/>
      <c r="G317" s="313">
        <f t="shared" si="48"/>
        <v>0.1</v>
      </c>
      <c r="H317" s="1128"/>
      <c r="I317" s="313">
        <f t="shared" si="49"/>
        <v>1</v>
      </c>
      <c r="J317" s="1128"/>
      <c r="K317" s="313">
        <f t="shared" si="50"/>
        <v>1</v>
      </c>
      <c r="L317" s="1128"/>
      <c r="M317" s="313">
        <f t="shared" si="51"/>
        <v>1</v>
      </c>
      <c r="N317" s="1128"/>
      <c r="O317" s="313">
        <f t="shared" si="52"/>
        <v>1</v>
      </c>
      <c r="P317" s="1128"/>
      <c r="Q317" s="313">
        <f t="shared" si="53"/>
        <v>0.2</v>
      </c>
      <c r="R317" s="1124">
        <f t="shared" si="54"/>
        <v>0</v>
      </c>
      <c r="S317" s="698">
        <f t="shared" si="45"/>
        <v>0</v>
      </c>
    </row>
    <row r="318" spans="1:19">
      <c r="A318" s="491"/>
      <c r="B318" s="348"/>
      <c r="C318" s="313">
        <f t="shared" si="46"/>
        <v>1</v>
      </c>
      <c r="D318" s="1128"/>
      <c r="E318" s="313">
        <f t="shared" si="47"/>
        <v>0.05</v>
      </c>
      <c r="F318" s="1128"/>
      <c r="G318" s="313">
        <f t="shared" si="48"/>
        <v>0.1</v>
      </c>
      <c r="H318" s="1128"/>
      <c r="I318" s="313">
        <f t="shared" si="49"/>
        <v>1</v>
      </c>
      <c r="J318" s="1128"/>
      <c r="K318" s="313">
        <f t="shared" si="50"/>
        <v>1</v>
      </c>
      <c r="L318" s="1128"/>
      <c r="M318" s="313">
        <f t="shared" si="51"/>
        <v>1</v>
      </c>
      <c r="N318" s="1128"/>
      <c r="O318" s="313">
        <f t="shared" si="52"/>
        <v>1</v>
      </c>
      <c r="P318" s="1128"/>
      <c r="Q318" s="313">
        <f t="shared" si="53"/>
        <v>0.2</v>
      </c>
      <c r="R318" s="1124">
        <f t="shared" si="54"/>
        <v>0</v>
      </c>
      <c r="S318" s="698">
        <f t="shared" si="45"/>
        <v>0</v>
      </c>
    </row>
    <row r="319" spans="1:19">
      <c r="A319" s="491"/>
      <c r="B319" s="348"/>
      <c r="C319" s="313">
        <f t="shared" si="46"/>
        <v>1</v>
      </c>
      <c r="D319" s="1128"/>
      <c r="E319" s="313">
        <f t="shared" si="47"/>
        <v>0.05</v>
      </c>
      <c r="F319" s="1128"/>
      <c r="G319" s="313">
        <f t="shared" si="48"/>
        <v>0.1</v>
      </c>
      <c r="H319" s="1128"/>
      <c r="I319" s="313">
        <f t="shared" si="49"/>
        <v>1</v>
      </c>
      <c r="J319" s="1128"/>
      <c r="K319" s="313">
        <f t="shared" si="50"/>
        <v>1</v>
      </c>
      <c r="L319" s="1128"/>
      <c r="M319" s="313">
        <f t="shared" si="51"/>
        <v>1</v>
      </c>
      <c r="N319" s="1128"/>
      <c r="O319" s="313">
        <f t="shared" si="52"/>
        <v>1</v>
      </c>
      <c r="P319" s="1128"/>
      <c r="Q319" s="313">
        <f t="shared" si="53"/>
        <v>0.2</v>
      </c>
      <c r="R319" s="1124">
        <f t="shared" si="54"/>
        <v>0</v>
      </c>
      <c r="S319" s="698">
        <f t="shared" si="45"/>
        <v>0</v>
      </c>
    </row>
    <row r="320" spans="1:19">
      <c r="A320" s="491"/>
      <c r="B320" s="348"/>
      <c r="C320" s="313">
        <f t="shared" si="46"/>
        <v>1</v>
      </c>
      <c r="D320" s="1128"/>
      <c r="E320" s="313">
        <f t="shared" si="47"/>
        <v>0.05</v>
      </c>
      <c r="F320" s="1128"/>
      <c r="G320" s="313">
        <f t="shared" si="48"/>
        <v>0.1</v>
      </c>
      <c r="H320" s="1128"/>
      <c r="I320" s="313">
        <f t="shared" si="49"/>
        <v>1</v>
      </c>
      <c r="J320" s="1128"/>
      <c r="K320" s="313">
        <f t="shared" si="50"/>
        <v>1</v>
      </c>
      <c r="L320" s="1128"/>
      <c r="M320" s="313">
        <f t="shared" si="51"/>
        <v>1</v>
      </c>
      <c r="N320" s="1128"/>
      <c r="O320" s="313">
        <f t="shared" si="52"/>
        <v>1</v>
      </c>
      <c r="P320" s="1128"/>
      <c r="Q320" s="313">
        <f t="shared" si="53"/>
        <v>0.2</v>
      </c>
      <c r="R320" s="1124">
        <f t="shared" si="54"/>
        <v>0</v>
      </c>
      <c r="S320" s="698">
        <f t="shared" si="45"/>
        <v>0</v>
      </c>
    </row>
    <row r="321" spans="1:19">
      <c r="A321" s="491"/>
      <c r="B321" s="348"/>
      <c r="C321" s="313">
        <f t="shared" si="46"/>
        <v>1</v>
      </c>
      <c r="D321" s="1128"/>
      <c r="E321" s="313">
        <f t="shared" si="47"/>
        <v>0.05</v>
      </c>
      <c r="F321" s="1128"/>
      <c r="G321" s="313">
        <f t="shared" si="48"/>
        <v>0.1</v>
      </c>
      <c r="H321" s="1128"/>
      <c r="I321" s="313">
        <f t="shared" si="49"/>
        <v>1</v>
      </c>
      <c r="J321" s="1128"/>
      <c r="K321" s="313">
        <f t="shared" si="50"/>
        <v>1</v>
      </c>
      <c r="L321" s="1128"/>
      <c r="M321" s="313">
        <f t="shared" si="51"/>
        <v>1</v>
      </c>
      <c r="N321" s="1128"/>
      <c r="O321" s="313">
        <f t="shared" si="52"/>
        <v>1</v>
      </c>
      <c r="P321" s="1128"/>
      <c r="Q321" s="313">
        <f t="shared" si="53"/>
        <v>0.2</v>
      </c>
      <c r="R321" s="1124">
        <f t="shared" si="54"/>
        <v>0</v>
      </c>
      <c r="S321" s="698">
        <f t="shared" si="45"/>
        <v>0</v>
      </c>
    </row>
    <row r="322" spans="1:19">
      <c r="A322" s="491"/>
      <c r="B322" s="348"/>
      <c r="C322" s="313">
        <f t="shared" si="46"/>
        <v>1</v>
      </c>
      <c r="D322" s="1128"/>
      <c r="E322" s="313">
        <f t="shared" si="47"/>
        <v>0.05</v>
      </c>
      <c r="F322" s="1128"/>
      <c r="G322" s="313">
        <f t="shared" si="48"/>
        <v>0.1</v>
      </c>
      <c r="H322" s="1128"/>
      <c r="I322" s="313">
        <f t="shared" si="49"/>
        <v>1</v>
      </c>
      <c r="J322" s="1128"/>
      <c r="K322" s="313">
        <f t="shared" si="50"/>
        <v>1</v>
      </c>
      <c r="L322" s="1128"/>
      <c r="M322" s="313">
        <f t="shared" si="51"/>
        <v>1</v>
      </c>
      <c r="N322" s="1128"/>
      <c r="O322" s="313">
        <f t="shared" si="52"/>
        <v>1</v>
      </c>
      <c r="P322" s="1128"/>
      <c r="Q322" s="313">
        <f t="shared" si="53"/>
        <v>0.2</v>
      </c>
      <c r="R322" s="1124">
        <f t="shared" si="54"/>
        <v>0</v>
      </c>
      <c r="S322" s="698">
        <f t="shared" si="45"/>
        <v>0</v>
      </c>
    </row>
    <row r="323" spans="1:19">
      <c r="A323" s="491"/>
      <c r="B323" s="348"/>
      <c r="C323" s="313">
        <f t="shared" si="46"/>
        <v>1</v>
      </c>
      <c r="D323" s="1128"/>
      <c r="E323" s="313">
        <f t="shared" si="47"/>
        <v>0.05</v>
      </c>
      <c r="F323" s="1128"/>
      <c r="G323" s="313">
        <f t="shared" si="48"/>
        <v>0.1</v>
      </c>
      <c r="H323" s="1128"/>
      <c r="I323" s="313">
        <f t="shared" si="49"/>
        <v>1</v>
      </c>
      <c r="J323" s="1128"/>
      <c r="K323" s="313">
        <f t="shared" si="50"/>
        <v>1</v>
      </c>
      <c r="L323" s="1128"/>
      <c r="M323" s="313">
        <f t="shared" si="51"/>
        <v>1</v>
      </c>
      <c r="N323" s="1128"/>
      <c r="O323" s="313">
        <f t="shared" si="52"/>
        <v>1</v>
      </c>
      <c r="P323" s="1128"/>
      <c r="Q323" s="313">
        <f t="shared" si="53"/>
        <v>0.2</v>
      </c>
      <c r="R323" s="1124">
        <f t="shared" si="54"/>
        <v>0</v>
      </c>
      <c r="S323" s="698">
        <f t="shared" si="45"/>
        <v>0</v>
      </c>
    </row>
    <row r="324" spans="1:19">
      <c r="A324" s="491"/>
      <c r="B324" s="348"/>
      <c r="C324" s="313">
        <f t="shared" si="46"/>
        <v>1</v>
      </c>
      <c r="D324" s="1128"/>
      <c r="E324" s="313">
        <f t="shared" si="47"/>
        <v>0.05</v>
      </c>
      <c r="F324" s="1128"/>
      <c r="G324" s="313">
        <f t="shared" si="48"/>
        <v>0.1</v>
      </c>
      <c r="H324" s="1128"/>
      <c r="I324" s="313">
        <f t="shared" si="49"/>
        <v>1</v>
      </c>
      <c r="J324" s="1128"/>
      <c r="K324" s="313">
        <f t="shared" si="50"/>
        <v>1</v>
      </c>
      <c r="L324" s="1128"/>
      <c r="M324" s="313">
        <f t="shared" si="51"/>
        <v>1</v>
      </c>
      <c r="N324" s="1128"/>
      <c r="O324" s="313">
        <f t="shared" si="52"/>
        <v>1</v>
      </c>
      <c r="P324" s="1128"/>
      <c r="Q324" s="313">
        <f t="shared" si="53"/>
        <v>0.2</v>
      </c>
      <c r="R324" s="1124">
        <f t="shared" si="54"/>
        <v>0</v>
      </c>
      <c r="S324" s="698">
        <f t="shared" si="45"/>
        <v>0</v>
      </c>
    </row>
    <row r="325" spans="1:19">
      <c r="A325" s="491"/>
      <c r="B325" s="348"/>
      <c r="C325" s="313">
        <f t="shared" si="46"/>
        <v>1</v>
      </c>
      <c r="D325" s="1128"/>
      <c r="E325" s="313">
        <f t="shared" si="47"/>
        <v>0.05</v>
      </c>
      <c r="F325" s="1128"/>
      <c r="G325" s="313">
        <f t="shared" si="48"/>
        <v>0.1</v>
      </c>
      <c r="H325" s="1128"/>
      <c r="I325" s="313">
        <f t="shared" si="49"/>
        <v>1</v>
      </c>
      <c r="J325" s="1128"/>
      <c r="K325" s="313">
        <f t="shared" si="50"/>
        <v>1</v>
      </c>
      <c r="L325" s="1128"/>
      <c r="M325" s="313">
        <f t="shared" si="51"/>
        <v>1</v>
      </c>
      <c r="N325" s="1128"/>
      <c r="O325" s="313">
        <f t="shared" si="52"/>
        <v>1</v>
      </c>
      <c r="P325" s="1128"/>
      <c r="Q325" s="313">
        <f t="shared" si="53"/>
        <v>0.2</v>
      </c>
      <c r="R325" s="1124">
        <f t="shared" si="54"/>
        <v>0</v>
      </c>
      <c r="S325" s="698">
        <f t="shared" si="45"/>
        <v>0</v>
      </c>
    </row>
    <row r="326" spans="1:19">
      <c r="A326" s="491"/>
      <c r="B326" s="348"/>
      <c r="C326" s="313">
        <f t="shared" si="46"/>
        <v>1</v>
      </c>
      <c r="D326" s="1128"/>
      <c r="E326" s="313">
        <f t="shared" si="47"/>
        <v>0.05</v>
      </c>
      <c r="F326" s="1128"/>
      <c r="G326" s="313">
        <f t="shared" si="48"/>
        <v>0.1</v>
      </c>
      <c r="H326" s="1128"/>
      <c r="I326" s="313">
        <f t="shared" si="49"/>
        <v>1</v>
      </c>
      <c r="J326" s="1128"/>
      <c r="K326" s="313">
        <f t="shared" si="50"/>
        <v>1</v>
      </c>
      <c r="L326" s="1128"/>
      <c r="M326" s="313">
        <f t="shared" si="51"/>
        <v>1</v>
      </c>
      <c r="N326" s="1128"/>
      <c r="O326" s="313">
        <f t="shared" si="52"/>
        <v>1</v>
      </c>
      <c r="P326" s="1128"/>
      <c r="Q326" s="313">
        <f t="shared" si="53"/>
        <v>0.2</v>
      </c>
      <c r="R326" s="1124">
        <f t="shared" si="54"/>
        <v>0</v>
      </c>
      <c r="S326" s="698">
        <f t="shared" si="45"/>
        <v>0</v>
      </c>
    </row>
    <row r="327" spans="1:19">
      <c r="A327" s="491"/>
      <c r="B327" s="348"/>
      <c r="C327" s="313">
        <f t="shared" si="46"/>
        <v>1</v>
      </c>
      <c r="D327" s="1128"/>
      <c r="E327" s="313">
        <f t="shared" si="47"/>
        <v>0.05</v>
      </c>
      <c r="F327" s="1128"/>
      <c r="G327" s="313">
        <f t="shared" si="48"/>
        <v>0.1</v>
      </c>
      <c r="H327" s="1128"/>
      <c r="I327" s="313">
        <f t="shared" si="49"/>
        <v>1</v>
      </c>
      <c r="J327" s="1128"/>
      <c r="K327" s="313">
        <f t="shared" si="50"/>
        <v>1</v>
      </c>
      <c r="L327" s="1128"/>
      <c r="M327" s="313">
        <f t="shared" si="51"/>
        <v>1</v>
      </c>
      <c r="N327" s="1128"/>
      <c r="O327" s="313">
        <f t="shared" si="52"/>
        <v>1</v>
      </c>
      <c r="P327" s="1128"/>
      <c r="Q327" s="313">
        <f t="shared" si="53"/>
        <v>0.2</v>
      </c>
      <c r="R327" s="1124">
        <f t="shared" si="54"/>
        <v>0</v>
      </c>
      <c r="S327" s="698">
        <f t="shared" si="45"/>
        <v>0</v>
      </c>
    </row>
    <row r="328" spans="1:19">
      <c r="A328" s="491"/>
      <c r="B328" s="348"/>
      <c r="C328" s="313">
        <f t="shared" si="46"/>
        <v>1</v>
      </c>
      <c r="D328" s="1128"/>
      <c r="E328" s="313">
        <f t="shared" si="47"/>
        <v>0.05</v>
      </c>
      <c r="F328" s="1128"/>
      <c r="G328" s="313">
        <f t="shared" si="48"/>
        <v>0.1</v>
      </c>
      <c r="H328" s="1128"/>
      <c r="I328" s="313">
        <f t="shared" si="49"/>
        <v>1</v>
      </c>
      <c r="J328" s="1128"/>
      <c r="K328" s="313">
        <f t="shared" si="50"/>
        <v>1</v>
      </c>
      <c r="L328" s="1128"/>
      <c r="M328" s="313">
        <f t="shared" si="51"/>
        <v>1</v>
      </c>
      <c r="N328" s="1128"/>
      <c r="O328" s="313">
        <f t="shared" si="52"/>
        <v>1</v>
      </c>
      <c r="P328" s="1128"/>
      <c r="Q328" s="313">
        <f t="shared" si="53"/>
        <v>0.2</v>
      </c>
      <c r="R328" s="1124">
        <f t="shared" si="54"/>
        <v>0</v>
      </c>
      <c r="S328" s="698">
        <f t="shared" si="45"/>
        <v>0</v>
      </c>
    </row>
    <row r="329" spans="1:19">
      <c r="A329" s="491"/>
      <c r="B329" s="348"/>
      <c r="C329" s="313">
        <f t="shared" si="46"/>
        <v>1</v>
      </c>
      <c r="D329" s="1128"/>
      <c r="E329" s="313">
        <f t="shared" si="47"/>
        <v>0.05</v>
      </c>
      <c r="F329" s="1128"/>
      <c r="G329" s="313">
        <f t="shared" si="48"/>
        <v>0.1</v>
      </c>
      <c r="H329" s="1128"/>
      <c r="I329" s="313">
        <f t="shared" si="49"/>
        <v>1</v>
      </c>
      <c r="J329" s="1128"/>
      <c r="K329" s="313">
        <f t="shared" si="50"/>
        <v>1</v>
      </c>
      <c r="L329" s="1128"/>
      <c r="M329" s="313">
        <f t="shared" si="51"/>
        <v>1</v>
      </c>
      <c r="N329" s="1128"/>
      <c r="O329" s="313">
        <f t="shared" si="52"/>
        <v>1</v>
      </c>
      <c r="P329" s="1128"/>
      <c r="Q329" s="313">
        <f t="shared" si="53"/>
        <v>0.2</v>
      </c>
      <c r="R329" s="1124">
        <f t="shared" si="54"/>
        <v>0</v>
      </c>
      <c r="S329" s="698">
        <f t="shared" si="45"/>
        <v>0</v>
      </c>
    </row>
    <row r="330" spans="1:19">
      <c r="A330" s="491"/>
      <c r="B330" s="348"/>
      <c r="C330" s="313">
        <f t="shared" si="46"/>
        <v>1</v>
      </c>
      <c r="D330" s="1128"/>
      <c r="E330" s="313">
        <f t="shared" si="47"/>
        <v>0.05</v>
      </c>
      <c r="F330" s="1128"/>
      <c r="G330" s="313">
        <f t="shared" si="48"/>
        <v>0.1</v>
      </c>
      <c r="H330" s="1128"/>
      <c r="I330" s="313">
        <f t="shared" si="49"/>
        <v>1</v>
      </c>
      <c r="J330" s="1128"/>
      <c r="K330" s="313">
        <f t="shared" si="50"/>
        <v>1</v>
      </c>
      <c r="L330" s="1128"/>
      <c r="M330" s="313">
        <f t="shared" si="51"/>
        <v>1</v>
      </c>
      <c r="N330" s="1128"/>
      <c r="O330" s="313">
        <f t="shared" si="52"/>
        <v>1</v>
      </c>
      <c r="P330" s="1128"/>
      <c r="Q330" s="313">
        <f t="shared" si="53"/>
        <v>0.2</v>
      </c>
      <c r="R330" s="1124">
        <f t="shared" si="54"/>
        <v>0</v>
      </c>
      <c r="S330" s="698">
        <f t="shared" si="45"/>
        <v>0</v>
      </c>
    </row>
    <row r="331" spans="1:19">
      <c r="A331" s="491"/>
      <c r="B331" s="348"/>
      <c r="C331" s="313">
        <f t="shared" si="46"/>
        <v>1</v>
      </c>
      <c r="D331" s="1128"/>
      <c r="E331" s="313">
        <f t="shared" si="47"/>
        <v>0.05</v>
      </c>
      <c r="F331" s="1128"/>
      <c r="G331" s="313">
        <f t="shared" si="48"/>
        <v>0.1</v>
      </c>
      <c r="H331" s="1128"/>
      <c r="I331" s="313">
        <f t="shared" si="49"/>
        <v>1</v>
      </c>
      <c r="J331" s="1128"/>
      <c r="K331" s="313">
        <f t="shared" si="50"/>
        <v>1</v>
      </c>
      <c r="L331" s="1128"/>
      <c r="M331" s="313">
        <f t="shared" si="51"/>
        <v>1</v>
      </c>
      <c r="N331" s="1128"/>
      <c r="O331" s="313">
        <f t="shared" si="52"/>
        <v>1</v>
      </c>
      <c r="P331" s="1128"/>
      <c r="Q331" s="313">
        <f t="shared" si="53"/>
        <v>0.2</v>
      </c>
      <c r="R331" s="1124">
        <f t="shared" si="54"/>
        <v>0</v>
      </c>
      <c r="S331" s="698">
        <f t="shared" si="45"/>
        <v>0</v>
      </c>
    </row>
    <row r="332" spans="1:19">
      <c r="A332" s="491"/>
      <c r="B332" s="348"/>
      <c r="C332" s="313">
        <f t="shared" si="46"/>
        <v>1</v>
      </c>
      <c r="D332" s="1128"/>
      <c r="E332" s="313">
        <f t="shared" si="47"/>
        <v>0.05</v>
      </c>
      <c r="F332" s="1128"/>
      <c r="G332" s="313">
        <f t="shared" si="48"/>
        <v>0.1</v>
      </c>
      <c r="H332" s="1128"/>
      <c r="I332" s="313">
        <f t="shared" si="49"/>
        <v>1</v>
      </c>
      <c r="J332" s="1128"/>
      <c r="K332" s="313">
        <f t="shared" si="50"/>
        <v>1</v>
      </c>
      <c r="L332" s="1128"/>
      <c r="M332" s="313">
        <f t="shared" si="51"/>
        <v>1</v>
      </c>
      <c r="N332" s="1128"/>
      <c r="O332" s="313">
        <f t="shared" si="52"/>
        <v>1</v>
      </c>
      <c r="P332" s="1128"/>
      <c r="Q332" s="313">
        <f t="shared" si="53"/>
        <v>0.2</v>
      </c>
      <c r="R332" s="1124">
        <f t="shared" si="54"/>
        <v>0</v>
      </c>
      <c r="S332" s="698">
        <f t="shared" si="45"/>
        <v>0</v>
      </c>
    </row>
    <row r="333" spans="1:19">
      <c r="A333" s="491"/>
      <c r="B333" s="348"/>
      <c r="C333" s="313">
        <f t="shared" si="46"/>
        <v>1</v>
      </c>
      <c r="D333" s="1128"/>
      <c r="E333" s="313">
        <f t="shared" si="47"/>
        <v>0.05</v>
      </c>
      <c r="F333" s="1128"/>
      <c r="G333" s="313">
        <f t="shared" si="48"/>
        <v>0.1</v>
      </c>
      <c r="H333" s="1128"/>
      <c r="I333" s="313">
        <f t="shared" si="49"/>
        <v>1</v>
      </c>
      <c r="J333" s="1128"/>
      <c r="K333" s="313">
        <f t="shared" si="50"/>
        <v>1</v>
      </c>
      <c r="L333" s="1128"/>
      <c r="M333" s="313">
        <f t="shared" si="51"/>
        <v>1</v>
      </c>
      <c r="N333" s="1128"/>
      <c r="O333" s="313">
        <f t="shared" si="52"/>
        <v>1</v>
      </c>
      <c r="P333" s="1128"/>
      <c r="Q333" s="313">
        <f t="shared" si="53"/>
        <v>0.2</v>
      </c>
      <c r="R333" s="1124">
        <f t="shared" si="54"/>
        <v>0</v>
      </c>
      <c r="S333" s="698">
        <f t="shared" si="45"/>
        <v>0</v>
      </c>
    </row>
    <row r="334" spans="1:19">
      <c r="A334" s="491"/>
      <c r="B334" s="348"/>
      <c r="C334" s="313">
        <f t="shared" si="46"/>
        <v>1</v>
      </c>
      <c r="D334" s="1128"/>
      <c r="E334" s="313">
        <f t="shared" si="47"/>
        <v>0.05</v>
      </c>
      <c r="F334" s="1128"/>
      <c r="G334" s="313">
        <f t="shared" si="48"/>
        <v>0.1</v>
      </c>
      <c r="H334" s="1128"/>
      <c r="I334" s="313">
        <f t="shared" si="49"/>
        <v>1</v>
      </c>
      <c r="J334" s="1128"/>
      <c r="K334" s="313">
        <f t="shared" si="50"/>
        <v>1</v>
      </c>
      <c r="L334" s="1128"/>
      <c r="M334" s="313">
        <f t="shared" si="51"/>
        <v>1</v>
      </c>
      <c r="N334" s="1128"/>
      <c r="O334" s="313">
        <f t="shared" si="52"/>
        <v>1</v>
      </c>
      <c r="P334" s="1128"/>
      <c r="Q334" s="313">
        <f t="shared" si="53"/>
        <v>0.2</v>
      </c>
      <c r="R334" s="1124">
        <f t="shared" si="54"/>
        <v>0</v>
      </c>
      <c r="S334" s="698">
        <f t="shared" si="45"/>
        <v>0</v>
      </c>
    </row>
    <row r="335" spans="1:19">
      <c r="A335" s="491"/>
      <c r="B335" s="348"/>
      <c r="C335" s="313">
        <f t="shared" si="46"/>
        <v>1</v>
      </c>
      <c r="D335" s="1128"/>
      <c r="E335" s="313">
        <f t="shared" si="47"/>
        <v>0.05</v>
      </c>
      <c r="F335" s="1128"/>
      <c r="G335" s="313">
        <f t="shared" si="48"/>
        <v>0.1</v>
      </c>
      <c r="H335" s="1128"/>
      <c r="I335" s="313">
        <f t="shared" si="49"/>
        <v>1</v>
      </c>
      <c r="J335" s="1128"/>
      <c r="K335" s="313">
        <f t="shared" si="50"/>
        <v>1</v>
      </c>
      <c r="L335" s="1128"/>
      <c r="M335" s="313">
        <f t="shared" si="51"/>
        <v>1</v>
      </c>
      <c r="N335" s="1128"/>
      <c r="O335" s="313">
        <f t="shared" si="52"/>
        <v>1</v>
      </c>
      <c r="P335" s="1128"/>
      <c r="Q335" s="313">
        <f t="shared" si="53"/>
        <v>0.2</v>
      </c>
      <c r="R335" s="1124">
        <f t="shared" si="54"/>
        <v>0</v>
      </c>
      <c r="S335" s="698">
        <f t="shared" si="45"/>
        <v>0</v>
      </c>
    </row>
    <row r="336" spans="1:19">
      <c r="A336" s="491"/>
      <c r="B336" s="348"/>
      <c r="C336" s="313">
        <f t="shared" si="46"/>
        <v>1</v>
      </c>
      <c r="D336" s="1128"/>
      <c r="E336" s="313">
        <f t="shared" si="47"/>
        <v>0.05</v>
      </c>
      <c r="F336" s="1128"/>
      <c r="G336" s="313">
        <f t="shared" si="48"/>
        <v>0.1</v>
      </c>
      <c r="H336" s="1128"/>
      <c r="I336" s="313">
        <f t="shared" si="49"/>
        <v>1</v>
      </c>
      <c r="J336" s="1128"/>
      <c r="K336" s="313">
        <f t="shared" si="50"/>
        <v>1</v>
      </c>
      <c r="L336" s="1128"/>
      <c r="M336" s="313">
        <f t="shared" si="51"/>
        <v>1</v>
      </c>
      <c r="N336" s="1128"/>
      <c r="O336" s="313">
        <f t="shared" si="52"/>
        <v>1</v>
      </c>
      <c r="P336" s="1128"/>
      <c r="Q336" s="313">
        <f t="shared" si="53"/>
        <v>0.2</v>
      </c>
      <c r="R336" s="1124">
        <f t="shared" si="54"/>
        <v>0</v>
      </c>
      <c r="S336" s="698">
        <f t="shared" si="45"/>
        <v>0</v>
      </c>
    </row>
    <row r="337" spans="1:19">
      <c r="A337" s="491"/>
      <c r="B337" s="348"/>
      <c r="C337" s="313">
        <f t="shared" si="46"/>
        <v>1</v>
      </c>
      <c r="D337" s="1128"/>
      <c r="E337" s="313">
        <f t="shared" si="47"/>
        <v>0.05</v>
      </c>
      <c r="F337" s="1128"/>
      <c r="G337" s="313">
        <f t="shared" si="48"/>
        <v>0.1</v>
      </c>
      <c r="H337" s="1128"/>
      <c r="I337" s="313">
        <f t="shared" si="49"/>
        <v>1</v>
      </c>
      <c r="J337" s="1128"/>
      <c r="K337" s="313">
        <f t="shared" si="50"/>
        <v>1</v>
      </c>
      <c r="L337" s="1128"/>
      <c r="M337" s="313">
        <f t="shared" si="51"/>
        <v>1</v>
      </c>
      <c r="N337" s="1128"/>
      <c r="O337" s="313">
        <f t="shared" si="52"/>
        <v>1</v>
      </c>
      <c r="P337" s="1128"/>
      <c r="Q337" s="313">
        <f t="shared" si="53"/>
        <v>0.2</v>
      </c>
      <c r="R337" s="1124">
        <f t="shared" si="54"/>
        <v>0</v>
      </c>
      <c r="S337" s="698">
        <f t="shared" si="45"/>
        <v>0</v>
      </c>
    </row>
    <row r="338" spans="1:19">
      <c r="A338" s="491"/>
      <c r="B338" s="348"/>
      <c r="C338" s="313">
        <f t="shared" si="46"/>
        <v>1</v>
      </c>
      <c r="D338" s="1128"/>
      <c r="E338" s="313">
        <f t="shared" si="47"/>
        <v>0.05</v>
      </c>
      <c r="F338" s="1128"/>
      <c r="G338" s="313">
        <f t="shared" si="48"/>
        <v>0.1</v>
      </c>
      <c r="H338" s="1128"/>
      <c r="I338" s="313">
        <f t="shared" si="49"/>
        <v>1</v>
      </c>
      <c r="J338" s="1128"/>
      <c r="K338" s="313">
        <f t="shared" si="50"/>
        <v>1</v>
      </c>
      <c r="L338" s="1128"/>
      <c r="M338" s="313">
        <f t="shared" si="51"/>
        <v>1</v>
      </c>
      <c r="N338" s="1128"/>
      <c r="O338" s="313">
        <f t="shared" si="52"/>
        <v>1</v>
      </c>
      <c r="P338" s="1128"/>
      <c r="Q338" s="313">
        <f t="shared" si="53"/>
        <v>0.2</v>
      </c>
      <c r="R338" s="1124">
        <f t="shared" si="54"/>
        <v>0</v>
      </c>
      <c r="S338" s="698">
        <f t="shared" si="45"/>
        <v>0</v>
      </c>
    </row>
    <row r="339" spans="1:19">
      <c r="A339" s="491"/>
      <c r="B339" s="348"/>
      <c r="C339" s="313">
        <f t="shared" si="46"/>
        <v>1</v>
      </c>
      <c r="D339" s="1128"/>
      <c r="E339" s="313">
        <f t="shared" si="47"/>
        <v>0.05</v>
      </c>
      <c r="F339" s="1128"/>
      <c r="G339" s="313">
        <f t="shared" si="48"/>
        <v>0.1</v>
      </c>
      <c r="H339" s="1128"/>
      <c r="I339" s="313">
        <f t="shared" si="49"/>
        <v>1</v>
      </c>
      <c r="J339" s="1128"/>
      <c r="K339" s="313">
        <f t="shared" si="50"/>
        <v>1</v>
      </c>
      <c r="L339" s="1128"/>
      <c r="M339" s="313">
        <f t="shared" si="51"/>
        <v>1</v>
      </c>
      <c r="N339" s="1128"/>
      <c r="O339" s="313">
        <f t="shared" si="52"/>
        <v>1</v>
      </c>
      <c r="P339" s="1128"/>
      <c r="Q339" s="313">
        <f t="shared" si="53"/>
        <v>0.2</v>
      </c>
      <c r="R339" s="1124">
        <f t="shared" si="54"/>
        <v>0</v>
      </c>
      <c r="S339" s="698">
        <f t="shared" si="45"/>
        <v>0</v>
      </c>
    </row>
    <row r="340" spans="1:19">
      <c r="A340" s="491"/>
      <c r="B340" s="348"/>
      <c r="C340" s="313">
        <f t="shared" si="46"/>
        <v>1</v>
      </c>
      <c r="D340" s="1128"/>
      <c r="E340" s="313">
        <f t="shared" si="47"/>
        <v>0.05</v>
      </c>
      <c r="F340" s="1128"/>
      <c r="G340" s="313">
        <f t="shared" si="48"/>
        <v>0.1</v>
      </c>
      <c r="H340" s="1128"/>
      <c r="I340" s="313">
        <f t="shared" si="49"/>
        <v>1</v>
      </c>
      <c r="J340" s="1128"/>
      <c r="K340" s="313">
        <f t="shared" si="50"/>
        <v>1</v>
      </c>
      <c r="L340" s="1128"/>
      <c r="M340" s="313">
        <f t="shared" si="51"/>
        <v>1</v>
      </c>
      <c r="N340" s="1128"/>
      <c r="O340" s="313">
        <f t="shared" si="52"/>
        <v>1</v>
      </c>
      <c r="P340" s="1128"/>
      <c r="Q340" s="313">
        <f t="shared" si="53"/>
        <v>0.2</v>
      </c>
      <c r="R340" s="1124">
        <f t="shared" si="54"/>
        <v>0</v>
      </c>
      <c r="S340" s="698">
        <f t="shared" si="45"/>
        <v>0</v>
      </c>
    </row>
    <row r="341" spans="1:19">
      <c r="A341" s="491"/>
      <c r="B341" s="348"/>
      <c r="C341" s="313">
        <f t="shared" si="46"/>
        <v>1</v>
      </c>
      <c r="D341" s="1128"/>
      <c r="E341" s="313">
        <f t="shared" si="47"/>
        <v>0.05</v>
      </c>
      <c r="F341" s="1128"/>
      <c r="G341" s="313">
        <f t="shared" si="48"/>
        <v>0.1</v>
      </c>
      <c r="H341" s="1128"/>
      <c r="I341" s="313">
        <f t="shared" si="49"/>
        <v>1</v>
      </c>
      <c r="J341" s="1128"/>
      <c r="K341" s="313">
        <f t="shared" si="50"/>
        <v>1</v>
      </c>
      <c r="L341" s="1128"/>
      <c r="M341" s="313">
        <f t="shared" si="51"/>
        <v>1</v>
      </c>
      <c r="N341" s="1128"/>
      <c r="O341" s="313">
        <f t="shared" si="52"/>
        <v>1</v>
      </c>
      <c r="P341" s="1128"/>
      <c r="Q341" s="313">
        <f t="shared" si="53"/>
        <v>0.2</v>
      </c>
      <c r="R341" s="1124">
        <f t="shared" si="54"/>
        <v>0</v>
      </c>
      <c r="S341" s="698">
        <f t="shared" si="45"/>
        <v>0</v>
      </c>
    </row>
    <row r="342" spans="1:19">
      <c r="A342" s="491"/>
      <c r="B342" s="348"/>
      <c r="C342" s="313">
        <f t="shared" si="46"/>
        <v>1</v>
      </c>
      <c r="D342" s="1128"/>
      <c r="E342" s="313">
        <f t="shared" si="47"/>
        <v>0.05</v>
      </c>
      <c r="F342" s="1128"/>
      <c r="G342" s="313">
        <f t="shared" si="48"/>
        <v>0.1</v>
      </c>
      <c r="H342" s="1128"/>
      <c r="I342" s="313">
        <f t="shared" si="49"/>
        <v>1</v>
      </c>
      <c r="J342" s="1128"/>
      <c r="K342" s="313">
        <f t="shared" si="50"/>
        <v>1</v>
      </c>
      <c r="L342" s="1128"/>
      <c r="M342" s="313">
        <f t="shared" si="51"/>
        <v>1</v>
      </c>
      <c r="N342" s="1128"/>
      <c r="O342" s="313">
        <f t="shared" si="52"/>
        <v>1</v>
      </c>
      <c r="P342" s="1128"/>
      <c r="Q342" s="313">
        <f t="shared" si="53"/>
        <v>0.2</v>
      </c>
      <c r="R342" s="1124">
        <f t="shared" si="54"/>
        <v>0</v>
      </c>
      <c r="S342" s="698">
        <f t="shared" si="45"/>
        <v>0</v>
      </c>
    </row>
    <row r="343" spans="1:19">
      <c r="A343" s="491"/>
      <c r="B343" s="348"/>
      <c r="C343" s="313">
        <f t="shared" si="46"/>
        <v>1</v>
      </c>
      <c r="D343" s="1128"/>
      <c r="E343" s="313">
        <f t="shared" si="47"/>
        <v>0.05</v>
      </c>
      <c r="F343" s="1128"/>
      <c r="G343" s="313">
        <f t="shared" si="48"/>
        <v>0.1</v>
      </c>
      <c r="H343" s="1128"/>
      <c r="I343" s="313">
        <f t="shared" si="49"/>
        <v>1</v>
      </c>
      <c r="J343" s="1128"/>
      <c r="K343" s="313">
        <f t="shared" si="50"/>
        <v>1</v>
      </c>
      <c r="L343" s="1128"/>
      <c r="M343" s="313">
        <f t="shared" si="51"/>
        <v>1</v>
      </c>
      <c r="N343" s="1128"/>
      <c r="O343" s="313">
        <f t="shared" si="52"/>
        <v>1</v>
      </c>
      <c r="P343" s="1128"/>
      <c r="Q343" s="313">
        <f t="shared" si="53"/>
        <v>0.2</v>
      </c>
      <c r="R343" s="1124">
        <f t="shared" si="54"/>
        <v>0</v>
      </c>
      <c r="S343" s="698">
        <f t="shared" si="45"/>
        <v>0</v>
      </c>
    </row>
    <row r="344" spans="1:19">
      <c r="A344" s="491"/>
      <c r="B344" s="348"/>
      <c r="C344" s="313">
        <f t="shared" si="46"/>
        <v>1</v>
      </c>
      <c r="D344" s="1128"/>
      <c r="E344" s="313">
        <f t="shared" si="47"/>
        <v>0.05</v>
      </c>
      <c r="F344" s="1128"/>
      <c r="G344" s="313">
        <f t="shared" si="48"/>
        <v>0.1</v>
      </c>
      <c r="H344" s="1128"/>
      <c r="I344" s="313">
        <f t="shared" si="49"/>
        <v>1</v>
      </c>
      <c r="J344" s="1128"/>
      <c r="K344" s="313">
        <f t="shared" si="50"/>
        <v>1</v>
      </c>
      <c r="L344" s="1128"/>
      <c r="M344" s="313">
        <f t="shared" si="51"/>
        <v>1</v>
      </c>
      <c r="N344" s="1128"/>
      <c r="O344" s="313">
        <f t="shared" si="52"/>
        <v>1</v>
      </c>
      <c r="P344" s="1128"/>
      <c r="Q344" s="313">
        <f t="shared" si="53"/>
        <v>0.2</v>
      </c>
      <c r="R344" s="1124">
        <f t="shared" si="54"/>
        <v>0</v>
      </c>
      <c r="S344" s="698">
        <f t="shared" ref="S344:S407" si="55">ROUND(R344*B344/10000,0)</f>
        <v>0</v>
      </c>
    </row>
    <row r="345" spans="1:19">
      <c r="A345" s="491"/>
      <c r="B345" s="348"/>
      <c r="C345" s="313">
        <f t="shared" si="46"/>
        <v>1</v>
      </c>
      <c r="D345" s="1128"/>
      <c r="E345" s="313">
        <f t="shared" si="47"/>
        <v>0.05</v>
      </c>
      <c r="F345" s="1128"/>
      <c r="G345" s="313">
        <f t="shared" si="48"/>
        <v>0.1</v>
      </c>
      <c r="H345" s="1128"/>
      <c r="I345" s="313">
        <f t="shared" si="49"/>
        <v>1</v>
      </c>
      <c r="J345" s="1128"/>
      <c r="K345" s="313">
        <f t="shared" si="50"/>
        <v>1</v>
      </c>
      <c r="L345" s="1128"/>
      <c r="M345" s="313">
        <f t="shared" si="51"/>
        <v>1</v>
      </c>
      <c r="N345" s="1128"/>
      <c r="O345" s="313">
        <f t="shared" si="52"/>
        <v>1</v>
      </c>
      <c r="P345" s="1128"/>
      <c r="Q345" s="313">
        <f t="shared" si="53"/>
        <v>0.2</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0.05</v>
      </c>
      <c r="F346" s="1128"/>
      <c r="G346" s="313">
        <f t="shared" ref="G346:G409" si="58">(SUMIF($7:$7,F346,$8:$8)-SUMIF($7:$7,$F$24,$8:$8)+100)/100</f>
        <v>0.1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0.2</v>
      </c>
      <c r="R346" s="1124">
        <f t="shared" ref="R346:R409" si="64">IF(B346="",0,ROUND($R$24*C346*E346*G346*I346*K346*M346*O346*Q346,0))</f>
        <v>0</v>
      </c>
      <c r="S346" s="698">
        <f t="shared" si="55"/>
        <v>0</v>
      </c>
    </row>
    <row r="347" spans="1:19">
      <c r="A347" s="491"/>
      <c r="B347" s="348"/>
      <c r="C347" s="313">
        <f t="shared" si="56"/>
        <v>1</v>
      </c>
      <c r="D347" s="1128"/>
      <c r="E347" s="313">
        <f t="shared" si="57"/>
        <v>0.05</v>
      </c>
      <c r="F347" s="1128"/>
      <c r="G347" s="313">
        <f t="shared" si="58"/>
        <v>0.1</v>
      </c>
      <c r="H347" s="1128"/>
      <c r="I347" s="313">
        <f t="shared" si="59"/>
        <v>1</v>
      </c>
      <c r="J347" s="1128"/>
      <c r="K347" s="313">
        <f t="shared" si="60"/>
        <v>1</v>
      </c>
      <c r="L347" s="1128"/>
      <c r="M347" s="313">
        <f t="shared" si="61"/>
        <v>1</v>
      </c>
      <c r="N347" s="1128"/>
      <c r="O347" s="313">
        <f t="shared" si="62"/>
        <v>1</v>
      </c>
      <c r="P347" s="1128"/>
      <c r="Q347" s="313">
        <f t="shared" si="63"/>
        <v>0.2</v>
      </c>
      <c r="R347" s="1124">
        <f t="shared" si="64"/>
        <v>0</v>
      </c>
      <c r="S347" s="698">
        <f t="shared" si="55"/>
        <v>0</v>
      </c>
    </row>
    <row r="348" spans="1:19">
      <c r="A348" s="491"/>
      <c r="B348" s="348"/>
      <c r="C348" s="313">
        <f t="shared" si="56"/>
        <v>1</v>
      </c>
      <c r="D348" s="1128"/>
      <c r="E348" s="313">
        <f t="shared" si="57"/>
        <v>0.05</v>
      </c>
      <c r="F348" s="1128"/>
      <c r="G348" s="313">
        <f t="shared" si="58"/>
        <v>0.1</v>
      </c>
      <c r="H348" s="1128"/>
      <c r="I348" s="313">
        <f t="shared" si="59"/>
        <v>1</v>
      </c>
      <c r="J348" s="1128"/>
      <c r="K348" s="313">
        <f t="shared" si="60"/>
        <v>1</v>
      </c>
      <c r="L348" s="1128"/>
      <c r="M348" s="313">
        <f t="shared" si="61"/>
        <v>1</v>
      </c>
      <c r="N348" s="1128"/>
      <c r="O348" s="313">
        <f t="shared" si="62"/>
        <v>1</v>
      </c>
      <c r="P348" s="1128"/>
      <c r="Q348" s="313">
        <f t="shared" si="63"/>
        <v>0.2</v>
      </c>
      <c r="R348" s="1124">
        <f t="shared" si="64"/>
        <v>0</v>
      </c>
      <c r="S348" s="698">
        <f t="shared" si="55"/>
        <v>0</v>
      </c>
    </row>
    <row r="349" spans="1:19">
      <c r="A349" s="491"/>
      <c r="B349" s="348"/>
      <c r="C349" s="313">
        <f t="shared" si="56"/>
        <v>1</v>
      </c>
      <c r="D349" s="1128"/>
      <c r="E349" s="313">
        <f t="shared" si="57"/>
        <v>0.05</v>
      </c>
      <c r="F349" s="1128"/>
      <c r="G349" s="313">
        <f t="shared" si="58"/>
        <v>0.1</v>
      </c>
      <c r="H349" s="1128"/>
      <c r="I349" s="313">
        <f t="shared" si="59"/>
        <v>1</v>
      </c>
      <c r="J349" s="1128"/>
      <c r="K349" s="313">
        <f t="shared" si="60"/>
        <v>1</v>
      </c>
      <c r="L349" s="1128"/>
      <c r="M349" s="313">
        <f t="shared" si="61"/>
        <v>1</v>
      </c>
      <c r="N349" s="1128"/>
      <c r="O349" s="313">
        <f t="shared" si="62"/>
        <v>1</v>
      </c>
      <c r="P349" s="1128"/>
      <c r="Q349" s="313">
        <f t="shared" si="63"/>
        <v>0.2</v>
      </c>
      <c r="R349" s="1124">
        <f t="shared" si="64"/>
        <v>0</v>
      </c>
      <c r="S349" s="698">
        <f t="shared" si="55"/>
        <v>0</v>
      </c>
    </row>
    <row r="350" spans="1:19">
      <c r="A350" s="491"/>
      <c r="B350" s="348"/>
      <c r="C350" s="313">
        <f t="shared" si="56"/>
        <v>1</v>
      </c>
      <c r="D350" s="1128"/>
      <c r="E350" s="313">
        <f t="shared" si="57"/>
        <v>0.05</v>
      </c>
      <c r="F350" s="1128"/>
      <c r="G350" s="313">
        <f t="shared" si="58"/>
        <v>0.1</v>
      </c>
      <c r="H350" s="1128"/>
      <c r="I350" s="313">
        <f t="shared" si="59"/>
        <v>1</v>
      </c>
      <c r="J350" s="1128"/>
      <c r="K350" s="313">
        <f t="shared" si="60"/>
        <v>1</v>
      </c>
      <c r="L350" s="1128"/>
      <c r="M350" s="313">
        <f t="shared" si="61"/>
        <v>1</v>
      </c>
      <c r="N350" s="1128"/>
      <c r="O350" s="313">
        <f t="shared" si="62"/>
        <v>1</v>
      </c>
      <c r="P350" s="1128"/>
      <c r="Q350" s="313">
        <f t="shared" si="63"/>
        <v>0.2</v>
      </c>
      <c r="R350" s="1124">
        <f t="shared" si="64"/>
        <v>0</v>
      </c>
      <c r="S350" s="698">
        <f t="shared" si="55"/>
        <v>0</v>
      </c>
    </row>
    <row r="351" spans="1:19">
      <c r="A351" s="491"/>
      <c r="B351" s="348"/>
      <c r="C351" s="313">
        <f t="shared" si="56"/>
        <v>1</v>
      </c>
      <c r="D351" s="1128"/>
      <c r="E351" s="313">
        <f t="shared" si="57"/>
        <v>0.05</v>
      </c>
      <c r="F351" s="1128"/>
      <c r="G351" s="313">
        <f t="shared" si="58"/>
        <v>0.1</v>
      </c>
      <c r="H351" s="1128"/>
      <c r="I351" s="313">
        <f t="shared" si="59"/>
        <v>1</v>
      </c>
      <c r="J351" s="1128"/>
      <c r="K351" s="313">
        <f t="shared" si="60"/>
        <v>1</v>
      </c>
      <c r="L351" s="1128"/>
      <c r="M351" s="313">
        <f t="shared" si="61"/>
        <v>1</v>
      </c>
      <c r="N351" s="1128"/>
      <c r="O351" s="313">
        <f t="shared" si="62"/>
        <v>1</v>
      </c>
      <c r="P351" s="1128"/>
      <c r="Q351" s="313">
        <f t="shared" si="63"/>
        <v>0.2</v>
      </c>
      <c r="R351" s="1124">
        <f t="shared" si="64"/>
        <v>0</v>
      </c>
      <c r="S351" s="698">
        <f t="shared" si="55"/>
        <v>0</v>
      </c>
    </row>
    <row r="352" spans="1:19">
      <c r="A352" s="491"/>
      <c r="B352" s="348"/>
      <c r="C352" s="313">
        <f t="shared" si="56"/>
        <v>1</v>
      </c>
      <c r="D352" s="1128"/>
      <c r="E352" s="313">
        <f t="shared" si="57"/>
        <v>0.05</v>
      </c>
      <c r="F352" s="1128"/>
      <c r="G352" s="313">
        <f t="shared" si="58"/>
        <v>0.1</v>
      </c>
      <c r="H352" s="1128"/>
      <c r="I352" s="313">
        <f t="shared" si="59"/>
        <v>1</v>
      </c>
      <c r="J352" s="1128"/>
      <c r="K352" s="313">
        <f t="shared" si="60"/>
        <v>1</v>
      </c>
      <c r="L352" s="1128"/>
      <c r="M352" s="313">
        <f t="shared" si="61"/>
        <v>1</v>
      </c>
      <c r="N352" s="1128"/>
      <c r="O352" s="313">
        <f t="shared" si="62"/>
        <v>1</v>
      </c>
      <c r="P352" s="1128"/>
      <c r="Q352" s="313">
        <f t="shared" si="63"/>
        <v>0.2</v>
      </c>
      <c r="R352" s="1124">
        <f t="shared" si="64"/>
        <v>0</v>
      </c>
      <c r="S352" s="698">
        <f t="shared" si="55"/>
        <v>0</v>
      </c>
    </row>
    <row r="353" spans="1:19">
      <c r="A353" s="491"/>
      <c r="B353" s="348"/>
      <c r="C353" s="313">
        <f t="shared" si="56"/>
        <v>1</v>
      </c>
      <c r="D353" s="1128"/>
      <c r="E353" s="313">
        <f t="shared" si="57"/>
        <v>0.05</v>
      </c>
      <c r="F353" s="1128"/>
      <c r="G353" s="313">
        <f t="shared" si="58"/>
        <v>0.1</v>
      </c>
      <c r="H353" s="1128"/>
      <c r="I353" s="313">
        <f t="shared" si="59"/>
        <v>1</v>
      </c>
      <c r="J353" s="1128"/>
      <c r="K353" s="313">
        <f t="shared" si="60"/>
        <v>1</v>
      </c>
      <c r="L353" s="1128"/>
      <c r="M353" s="313">
        <f t="shared" si="61"/>
        <v>1</v>
      </c>
      <c r="N353" s="1128"/>
      <c r="O353" s="313">
        <f t="shared" si="62"/>
        <v>1</v>
      </c>
      <c r="P353" s="1128"/>
      <c r="Q353" s="313">
        <f t="shared" si="63"/>
        <v>0.2</v>
      </c>
      <c r="R353" s="1124">
        <f t="shared" si="64"/>
        <v>0</v>
      </c>
      <c r="S353" s="698">
        <f t="shared" si="55"/>
        <v>0</v>
      </c>
    </row>
    <row r="354" spans="1:19">
      <c r="A354" s="491"/>
      <c r="B354" s="348"/>
      <c r="C354" s="313">
        <f t="shared" si="56"/>
        <v>1</v>
      </c>
      <c r="D354" s="1128"/>
      <c r="E354" s="313">
        <f t="shared" si="57"/>
        <v>0.05</v>
      </c>
      <c r="F354" s="1128"/>
      <c r="G354" s="313">
        <f t="shared" si="58"/>
        <v>0.1</v>
      </c>
      <c r="H354" s="1128"/>
      <c r="I354" s="313">
        <f t="shared" si="59"/>
        <v>1</v>
      </c>
      <c r="J354" s="1128"/>
      <c r="K354" s="313">
        <f t="shared" si="60"/>
        <v>1</v>
      </c>
      <c r="L354" s="1128"/>
      <c r="M354" s="313">
        <f t="shared" si="61"/>
        <v>1</v>
      </c>
      <c r="N354" s="1128"/>
      <c r="O354" s="313">
        <f t="shared" si="62"/>
        <v>1</v>
      </c>
      <c r="P354" s="1128"/>
      <c r="Q354" s="313">
        <f t="shared" si="63"/>
        <v>0.2</v>
      </c>
      <c r="R354" s="1124">
        <f t="shared" si="64"/>
        <v>0</v>
      </c>
      <c r="S354" s="698">
        <f t="shared" si="55"/>
        <v>0</v>
      </c>
    </row>
    <row r="355" spans="1:19">
      <c r="A355" s="491"/>
      <c r="B355" s="348"/>
      <c r="C355" s="313">
        <f t="shared" si="56"/>
        <v>1</v>
      </c>
      <c r="D355" s="1128"/>
      <c r="E355" s="313">
        <f t="shared" si="57"/>
        <v>0.05</v>
      </c>
      <c r="F355" s="1128"/>
      <c r="G355" s="313">
        <f t="shared" si="58"/>
        <v>0.1</v>
      </c>
      <c r="H355" s="1128"/>
      <c r="I355" s="313">
        <f t="shared" si="59"/>
        <v>1</v>
      </c>
      <c r="J355" s="1128"/>
      <c r="K355" s="313">
        <f t="shared" si="60"/>
        <v>1</v>
      </c>
      <c r="L355" s="1128"/>
      <c r="M355" s="313">
        <f t="shared" si="61"/>
        <v>1</v>
      </c>
      <c r="N355" s="1128"/>
      <c r="O355" s="313">
        <f t="shared" si="62"/>
        <v>1</v>
      </c>
      <c r="P355" s="1128"/>
      <c r="Q355" s="313">
        <f t="shared" si="63"/>
        <v>0.2</v>
      </c>
      <c r="R355" s="1124">
        <f t="shared" si="64"/>
        <v>0</v>
      </c>
      <c r="S355" s="698">
        <f t="shared" si="55"/>
        <v>0</v>
      </c>
    </row>
    <row r="356" spans="1:19">
      <c r="A356" s="491"/>
      <c r="B356" s="348"/>
      <c r="C356" s="313">
        <f t="shared" si="56"/>
        <v>1</v>
      </c>
      <c r="D356" s="1128"/>
      <c r="E356" s="313">
        <f t="shared" si="57"/>
        <v>0.05</v>
      </c>
      <c r="F356" s="1128"/>
      <c r="G356" s="313">
        <f t="shared" si="58"/>
        <v>0.1</v>
      </c>
      <c r="H356" s="1128"/>
      <c r="I356" s="313">
        <f t="shared" si="59"/>
        <v>1</v>
      </c>
      <c r="J356" s="1128"/>
      <c r="K356" s="313">
        <f t="shared" si="60"/>
        <v>1</v>
      </c>
      <c r="L356" s="1128"/>
      <c r="M356" s="313">
        <f t="shared" si="61"/>
        <v>1</v>
      </c>
      <c r="N356" s="1128"/>
      <c r="O356" s="313">
        <f t="shared" si="62"/>
        <v>1</v>
      </c>
      <c r="P356" s="1128"/>
      <c r="Q356" s="313">
        <f t="shared" si="63"/>
        <v>0.2</v>
      </c>
      <c r="R356" s="1124">
        <f t="shared" si="64"/>
        <v>0</v>
      </c>
      <c r="S356" s="698">
        <f t="shared" si="55"/>
        <v>0</v>
      </c>
    </row>
    <row r="357" spans="1:19">
      <c r="A357" s="491"/>
      <c r="B357" s="348"/>
      <c r="C357" s="313">
        <f t="shared" si="56"/>
        <v>1</v>
      </c>
      <c r="D357" s="1128"/>
      <c r="E357" s="313">
        <f t="shared" si="57"/>
        <v>0.05</v>
      </c>
      <c r="F357" s="1128"/>
      <c r="G357" s="313">
        <f t="shared" si="58"/>
        <v>0.1</v>
      </c>
      <c r="H357" s="1128"/>
      <c r="I357" s="313">
        <f t="shared" si="59"/>
        <v>1</v>
      </c>
      <c r="J357" s="1128"/>
      <c r="K357" s="313">
        <f t="shared" si="60"/>
        <v>1</v>
      </c>
      <c r="L357" s="1128"/>
      <c r="M357" s="313">
        <f t="shared" si="61"/>
        <v>1</v>
      </c>
      <c r="N357" s="1128"/>
      <c r="O357" s="313">
        <f t="shared" si="62"/>
        <v>1</v>
      </c>
      <c r="P357" s="1128"/>
      <c r="Q357" s="313">
        <f t="shared" si="63"/>
        <v>0.2</v>
      </c>
      <c r="R357" s="1124">
        <f t="shared" si="64"/>
        <v>0</v>
      </c>
      <c r="S357" s="698">
        <f t="shared" si="55"/>
        <v>0</v>
      </c>
    </row>
    <row r="358" spans="1:19">
      <c r="A358" s="491"/>
      <c r="B358" s="348"/>
      <c r="C358" s="313">
        <f t="shared" si="56"/>
        <v>1</v>
      </c>
      <c r="D358" s="1128"/>
      <c r="E358" s="313">
        <f t="shared" si="57"/>
        <v>0.05</v>
      </c>
      <c r="F358" s="1128"/>
      <c r="G358" s="313">
        <f t="shared" si="58"/>
        <v>0.1</v>
      </c>
      <c r="H358" s="1128"/>
      <c r="I358" s="313">
        <f t="shared" si="59"/>
        <v>1</v>
      </c>
      <c r="J358" s="1128"/>
      <c r="K358" s="313">
        <f t="shared" si="60"/>
        <v>1</v>
      </c>
      <c r="L358" s="1128"/>
      <c r="M358" s="313">
        <f t="shared" si="61"/>
        <v>1</v>
      </c>
      <c r="N358" s="1128"/>
      <c r="O358" s="313">
        <f t="shared" si="62"/>
        <v>1</v>
      </c>
      <c r="P358" s="1128"/>
      <c r="Q358" s="313">
        <f t="shared" si="63"/>
        <v>0.2</v>
      </c>
      <c r="R358" s="1124">
        <f t="shared" si="64"/>
        <v>0</v>
      </c>
      <c r="S358" s="698">
        <f t="shared" si="55"/>
        <v>0</v>
      </c>
    </row>
    <row r="359" spans="1:19">
      <c r="A359" s="491"/>
      <c r="B359" s="348"/>
      <c r="C359" s="313">
        <f t="shared" si="56"/>
        <v>1</v>
      </c>
      <c r="D359" s="1128"/>
      <c r="E359" s="313">
        <f t="shared" si="57"/>
        <v>0.05</v>
      </c>
      <c r="F359" s="1128"/>
      <c r="G359" s="313">
        <f t="shared" si="58"/>
        <v>0.1</v>
      </c>
      <c r="H359" s="1128"/>
      <c r="I359" s="313">
        <f t="shared" si="59"/>
        <v>1</v>
      </c>
      <c r="J359" s="1128"/>
      <c r="K359" s="313">
        <f t="shared" si="60"/>
        <v>1</v>
      </c>
      <c r="L359" s="1128"/>
      <c r="M359" s="313">
        <f t="shared" si="61"/>
        <v>1</v>
      </c>
      <c r="N359" s="1128"/>
      <c r="O359" s="313">
        <f t="shared" si="62"/>
        <v>1</v>
      </c>
      <c r="P359" s="1128"/>
      <c r="Q359" s="313">
        <f t="shared" si="63"/>
        <v>0.2</v>
      </c>
      <c r="R359" s="1124">
        <f t="shared" si="64"/>
        <v>0</v>
      </c>
      <c r="S359" s="698">
        <f t="shared" si="55"/>
        <v>0</v>
      </c>
    </row>
    <row r="360" spans="1:19">
      <c r="A360" s="491"/>
      <c r="B360" s="348"/>
      <c r="C360" s="313">
        <f t="shared" si="56"/>
        <v>1</v>
      </c>
      <c r="D360" s="1128"/>
      <c r="E360" s="313">
        <f t="shared" si="57"/>
        <v>0.05</v>
      </c>
      <c r="F360" s="1128"/>
      <c r="G360" s="313">
        <f t="shared" si="58"/>
        <v>0.1</v>
      </c>
      <c r="H360" s="1128"/>
      <c r="I360" s="313">
        <f t="shared" si="59"/>
        <v>1</v>
      </c>
      <c r="J360" s="1128"/>
      <c r="K360" s="313">
        <f t="shared" si="60"/>
        <v>1</v>
      </c>
      <c r="L360" s="1128"/>
      <c r="M360" s="313">
        <f t="shared" si="61"/>
        <v>1</v>
      </c>
      <c r="N360" s="1128"/>
      <c r="O360" s="313">
        <f t="shared" si="62"/>
        <v>1</v>
      </c>
      <c r="P360" s="1128"/>
      <c r="Q360" s="313">
        <f t="shared" si="63"/>
        <v>0.2</v>
      </c>
      <c r="R360" s="1124">
        <f t="shared" si="64"/>
        <v>0</v>
      </c>
      <c r="S360" s="698">
        <f t="shared" si="55"/>
        <v>0</v>
      </c>
    </row>
    <row r="361" spans="1:19">
      <c r="A361" s="491"/>
      <c r="B361" s="348"/>
      <c r="C361" s="313">
        <f t="shared" si="56"/>
        <v>1</v>
      </c>
      <c r="D361" s="1128"/>
      <c r="E361" s="313">
        <f t="shared" si="57"/>
        <v>0.05</v>
      </c>
      <c r="F361" s="1128"/>
      <c r="G361" s="313">
        <f t="shared" si="58"/>
        <v>0.1</v>
      </c>
      <c r="H361" s="1128"/>
      <c r="I361" s="313">
        <f t="shared" si="59"/>
        <v>1</v>
      </c>
      <c r="J361" s="1128"/>
      <c r="K361" s="313">
        <f t="shared" si="60"/>
        <v>1</v>
      </c>
      <c r="L361" s="1128"/>
      <c r="M361" s="313">
        <f t="shared" si="61"/>
        <v>1</v>
      </c>
      <c r="N361" s="1128"/>
      <c r="O361" s="313">
        <f t="shared" si="62"/>
        <v>1</v>
      </c>
      <c r="P361" s="1128"/>
      <c r="Q361" s="313">
        <f t="shared" si="63"/>
        <v>0.2</v>
      </c>
      <c r="R361" s="1124">
        <f t="shared" si="64"/>
        <v>0</v>
      </c>
      <c r="S361" s="698">
        <f t="shared" si="55"/>
        <v>0</v>
      </c>
    </row>
    <row r="362" spans="1:19">
      <c r="A362" s="491"/>
      <c r="B362" s="348"/>
      <c r="C362" s="313">
        <f t="shared" si="56"/>
        <v>1</v>
      </c>
      <c r="D362" s="1128"/>
      <c r="E362" s="313">
        <f t="shared" si="57"/>
        <v>0.05</v>
      </c>
      <c r="F362" s="1128"/>
      <c r="G362" s="313">
        <f t="shared" si="58"/>
        <v>0.1</v>
      </c>
      <c r="H362" s="1128"/>
      <c r="I362" s="313">
        <f t="shared" si="59"/>
        <v>1</v>
      </c>
      <c r="J362" s="1128"/>
      <c r="K362" s="313">
        <f t="shared" si="60"/>
        <v>1</v>
      </c>
      <c r="L362" s="1128"/>
      <c r="M362" s="313">
        <f t="shared" si="61"/>
        <v>1</v>
      </c>
      <c r="N362" s="1128"/>
      <c r="O362" s="313">
        <f t="shared" si="62"/>
        <v>1</v>
      </c>
      <c r="P362" s="1128"/>
      <c r="Q362" s="313">
        <f t="shared" si="63"/>
        <v>0.2</v>
      </c>
      <c r="R362" s="1124">
        <f t="shared" si="64"/>
        <v>0</v>
      </c>
      <c r="S362" s="698">
        <f t="shared" si="55"/>
        <v>0</v>
      </c>
    </row>
    <row r="363" spans="1:19">
      <c r="A363" s="491"/>
      <c r="B363" s="348"/>
      <c r="C363" s="313">
        <f t="shared" si="56"/>
        <v>1</v>
      </c>
      <c r="D363" s="1128"/>
      <c r="E363" s="313">
        <f t="shared" si="57"/>
        <v>0.05</v>
      </c>
      <c r="F363" s="1128"/>
      <c r="G363" s="313">
        <f t="shared" si="58"/>
        <v>0.1</v>
      </c>
      <c r="H363" s="1128"/>
      <c r="I363" s="313">
        <f t="shared" si="59"/>
        <v>1</v>
      </c>
      <c r="J363" s="1128"/>
      <c r="K363" s="313">
        <f t="shared" si="60"/>
        <v>1</v>
      </c>
      <c r="L363" s="1128"/>
      <c r="M363" s="313">
        <f t="shared" si="61"/>
        <v>1</v>
      </c>
      <c r="N363" s="1128"/>
      <c r="O363" s="313">
        <f t="shared" si="62"/>
        <v>1</v>
      </c>
      <c r="P363" s="1128"/>
      <c r="Q363" s="313">
        <f t="shared" si="63"/>
        <v>0.2</v>
      </c>
      <c r="R363" s="1124">
        <f t="shared" si="64"/>
        <v>0</v>
      </c>
      <c r="S363" s="698">
        <f t="shared" si="55"/>
        <v>0</v>
      </c>
    </row>
    <row r="364" spans="1:19">
      <c r="A364" s="491"/>
      <c r="B364" s="348"/>
      <c r="C364" s="313">
        <f t="shared" si="56"/>
        <v>1</v>
      </c>
      <c r="D364" s="1128"/>
      <c r="E364" s="313">
        <f t="shared" si="57"/>
        <v>0.05</v>
      </c>
      <c r="F364" s="1128"/>
      <c r="G364" s="313">
        <f t="shared" si="58"/>
        <v>0.1</v>
      </c>
      <c r="H364" s="1128"/>
      <c r="I364" s="313">
        <f t="shared" si="59"/>
        <v>1</v>
      </c>
      <c r="J364" s="1128"/>
      <c r="K364" s="313">
        <f t="shared" si="60"/>
        <v>1</v>
      </c>
      <c r="L364" s="1128"/>
      <c r="M364" s="313">
        <f t="shared" si="61"/>
        <v>1</v>
      </c>
      <c r="N364" s="1128"/>
      <c r="O364" s="313">
        <f t="shared" si="62"/>
        <v>1</v>
      </c>
      <c r="P364" s="1128"/>
      <c r="Q364" s="313">
        <f t="shared" si="63"/>
        <v>0.2</v>
      </c>
      <c r="R364" s="1124">
        <f t="shared" si="64"/>
        <v>0</v>
      </c>
      <c r="S364" s="698">
        <f t="shared" si="55"/>
        <v>0</v>
      </c>
    </row>
    <row r="365" spans="1:19">
      <c r="A365" s="491"/>
      <c r="B365" s="348"/>
      <c r="C365" s="313">
        <f t="shared" si="56"/>
        <v>1</v>
      </c>
      <c r="D365" s="1128"/>
      <c r="E365" s="313">
        <f t="shared" si="57"/>
        <v>0.05</v>
      </c>
      <c r="F365" s="1128"/>
      <c r="G365" s="313">
        <f t="shared" si="58"/>
        <v>0.1</v>
      </c>
      <c r="H365" s="1128"/>
      <c r="I365" s="313">
        <f t="shared" si="59"/>
        <v>1</v>
      </c>
      <c r="J365" s="1128"/>
      <c r="K365" s="313">
        <f t="shared" si="60"/>
        <v>1</v>
      </c>
      <c r="L365" s="1128"/>
      <c r="M365" s="313">
        <f t="shared" si="61"/>
        <v>1</v>
      </c>
      <c r="N365" s="1128"/>
      <c r="O365" s="313">
        <f t="shared" si="62"/>
        <v>1</v>
      </c>
      <c r="P365" s="1128"/>
      <c r="Q365" s="313">
        <f t="shared" si="63"/>
        <v>0.2</v>
      </c>
      <c r="R365" s="1124">
        <f t="shared" si="64"/>
        <v>0</v>
      </c>
      <c r="S365" s="698">
        <f t="shared" si="55"/>
        <v>0</v>
      </c>
    </row>
    <row r="366" spans="1:19">
      <c r="A366" s="491"/>
      <c r="B366" s="348"/>
      <c r="C366" s="313">
        <f t="shared" si="56"/>
        <v>1</v>
      </c>
      <c r="D366" s="1128"/>
      <c r="E366" s="313">
        <f t="shared" si="57"/>
        <v>0.05</v>
      </c>
      <c r="F366" s="1128"/>
      <c r="G366" s="313">
        <f t="shared" si="58"/>
        <v>0.1</v>
      </c>
      <c r="H366" s="1128"/>
      <c r="I366" s="313">
        <f t="shared" si="59"/>
        <v>1</v>
      </c>
      <c r="J366" s="1128"/>
      <c r="K366" s="313">
        <f t="shared" si="60"/>
        <v>1</v>
      </c>
      <c r="L366" s="1128"/>
      <c r="M366" s="313">
        <f t="shared" si="61"/>
        <v>1</v>
      </c>
      <c r="N366" s="1128"/>
      <c r="O366" s="313">
        <f t="shared" si="62"/>
        <v>1</v>
      </c>
      <c r="P366" s="1128"/>
      <c r="Q366" s="313">
        <f t="shared" si="63"/>
        <v>0.2</v>
      </c>
      <c r="R366" s="1124">
        <f t="shared" si="64"/>
        <v>0</v>
      </c>
      <c r="S366" s="698">
        <f t="shared" si="55"/>
        <v>0</v>
      </c>
    </row>
    <row r="367" spans="1:19">
      <c r="A367" s="491"/>
      <c r="B367" s="348"/>
      <c r="C367" s="313">
        <f t="shared" si="56"/>
        <v>1</v>
      </c>
      <c r="D367" s="1128"/>
      <c r="E367" s="313">
        <f t="shared" si="57"/>
        <v>0.05</v>
      </c>
      <c r="F367" s="1128"/>
      <c r="G367" s="313">
        <f t="shared" si="58"/>
        <v>0.1</v>
      </c>
      <c r="H367" s="1128"/>
      <c r="I367" s="313">
        <f t="shared" si="59"/>
        <v>1</v>
      </c>
      <c r="J367" s="1128"/>
      <c r="K367" s="313">
        <f t="shared" si="60"/>
        <v>1</v>
      </c>
      <c r="L367" s="1128"/>
      <c r="M367" s="313">
        <f t="shared" si="61"/>
        <v>1</v>
      </c>
      <c r="N367" s="1128"/>
      <c r="O367" s="313">
        <f t="shared" si="62"/>
        <v>1</v>
      </c>
      <c r="P367" s="1128"/>
      <c r="Q367" s="313">
        <f t="shared" si="63"/>
        <v>0.2</v>
      </c>
      <c r="R367" s="1124">
        <f t="shared" si="64"/>
        <v>0</v>
      </c>
      <c r="S367" s="698">
        <f t="shared" si="55"/>
        <v>0</v>
      </c>
    </row>
    <row r="368" spans="1:19">
      <c r="A368" s="491"/>
      <c r="B368" s="348"/>
      <c r="C368" s="313">
        <f t="shared" si="56"/>
        <v>1</v>
      </c>
      <c r="D368" s="1128"/>
      <c r="E368" s="313">
        <f t="shared" si="57"/>
        <v>0.05</v>
      </c>
      <c r="F368" s="1128"/>
      <c r="G368" s="313">
        <f t="shared" si="58"/>
        <v>0.1</v>
      </c>
      <c r="H368" s="1128"/>
      <c r="I368" s="313">
        <f t="shared" si="59"/>
        <v>1</v>
      </c>
      <c r="J368" s="1128"/>
      <c r="K368" s="313">
        <f t="shared" si="60"/>
        <v>1</v>
      </c>
      <c r="L368" s="1128"/>
      <c r="M368" s="313">
        <f t="shared" si="61"/>
        <v>1</v>
      </c>
      <c r="N368" s="1128"/>
      <c r="O368" s="313">
        <f t="shared" si="62"/>
        <v>1</v>
      </c>
      <c r="P368" s="1128"/>
      <c r="Q368" s="313">
        <f t="shared" si="63"/>
        <v>0.2</v>
      </c>
      <c r="R368" s="1124">
        <f t="shared" si="64"/>
        <v>0</v>
      </c>
      <c r="S368" s="698">
        <f t="shared" si="55"/>
        <v>0</v>
      </c>
    </row>
    <row r="369" spans="1:19">
      <c r="A369" s="491"/>
      <c r="B369" s="348"/>
      <c r="C369" s="313">
        <f t="shared" si="56"/>
        <v>1</v>
      </c>
      <c r="D369" s="1128"/>
      <c r="E369" s="313">
        <f t="shared" si="57"/>
        <v>0.05</v>
      </c>
      <c r="F369" s="1128"/>
      <c r="G369" s="313">
        <f t="shared" si="58"/>
        <v>0.1</v>
      </c>
      <c r="H369" s="1128"/>
      <c r="I369" s="313">
        <f t="shared" si="59"/>
        <v>1</v>
      </c>
      <c r="J369" s="1128"/>
      <c r="K369" s="313">
        <f t="shared" si="60"/>
        <v>1</v>
      </c>
      <c r="L369" s="1128"/>
      <c r="M369" s="313">
        <f t="shared" si="61"/>
        <v>1</v>
      </c>
      <c r="N369" s="1128"/>
      <c r="O369" s="313">
        <f t="shared" si="62"/>
        <v>1</v>
      </c>
      <c r="P369" s="1128"/>
      <c r="Q369" s="313">
        <f t="shared" si="63"/>
        <v>0.2</v>
      </c>
      <c r="R369" s="1124">
        <f t="shared" si="64"/>
        <v>0</v>
      </c>
      <c r="S369" s="698">
        <f t="shared" si="55"/>
        <v>0</v>
      </c>
    </row>
    <row r="370" spans="1:19">
      <c r="A370" s="491"/>
      <c r="B370" s="348"/>
      <c r="C370" s="313">
        <f t="shared" si="56"/>
        <v>1</v>
      </c>
      <c r="D370" s="1128"/>
      <c r="E370" s="313">
        <f t="shared" si="57"/>
        <v>0.05</v>
      </c>
      <c r="F370" s="1128"/>
      <c r="G370" s="313">
        <f t="shared" si="58"/>
        <v>0.1</v>
      </c>
      <c r="H370" s="1128"/>
      <c r="I370" s="313">
        <f t="shared" si="59"/>
        <v>1</v>
      </c>
      <c r="J370" s="1128"/>
      <c r="K370" s="313">
        <f t="shared" si="60"/>
        <v>1</v>
      </c>
      <c r="L370" s="1128"/>
      <c r="M370" s="313">
        <f t="shared" si="61"/>
        <v>1</v>
      </c>
      <c r="N370" s="1128"/>
      <c r="O370" s="313">
        <f t="shared" si="62"/>
        <v>1</v>
      </c>
      <c r="P370" s="1128"/>
      <c r="Q370" s="313">
        <f t="shared" si="63"/>
        <v>0.2</v>
      </c>
      <c r="R370" s="1124">
        <f t="shared" si="64"/>
        <v>0</v>
      </c>
      <c r="S370" s="698">
        <f t="shared" si="55"/>
        <v>0</v>
      </c>
    </row>
    <row r="371" spans="1:19">
      <c r="A371" s="491"/>
      <c r="B371" s="348"/>
      <c r="C371" s="313">
        <f t="shared" si="56"/>
        <v>1</v>
      </c>
      <c r="D371" s="1128"/>
      <c r="E371" s="313">
        <f t="shared" si="57"/>
        <v>0.05</v>
      </c>
      <c r="F371" s="1128"/>
      <c r="G371" s="313">
        <f t="shared" si="58"/>
        <v>0.1</v>
      </c>
      <c r="H371" s="1128"/>
      <c r="I371" s="313">
        <f t="shared" si="59"/>
        <v>1</v>
      </c>
      <c r="J371" s="1128"/>
      <c r="K371" s="313">
        <f t="shared" si="60"/>
        <v>1</v>
      </c>
      <c r="L371" s="1128"/>
      <c r="M371" s="313">
        <f t="shared" si="61"/>
        <v>1</v>
      </c>
      <c r="N371" s="1128"/>
      <c r="O371" s="313">
        <f t="shared" si="62"/>
        <v>1</v>
      </c>
      <c r="P371" s="1128"/>
      <c r="Q371" s="313">
        <f t="shared" si="63"/>
        <v>0.2</v>
      </c>
      <c r="R371" s="1124">
        <f t="shared" si="64"/>
        <v>0</v>
      </c>
      <c r="S371" s="698">
        <f t="shared" si="55"/>
        <v>0</v>
      </c>
    </row>
    <row r="372" spans="1:19">
      <c r="A372" s="491"/>
      <c r="B372" s="348"/>
      <c r="C372" s="313">
        <f t="shared" si="56"/>
        <v>1</v>
      </c>
      <c r="D372" s="1128"/>
      <c r="E372" s="313">
        <f t="shared" si="57"/>
        <v>0.05</v>
      </c>
      <c r="F372" s="1128"/>
      <c r="G372" s="313">
        <f t="shared" si="58"/>
        <v>0.1</v>
      </c>
      <c r="H372" s="1128"/>
      <c r="I372" s="313">
        <f t="shared" si="59"/>
        <v>1</v>
      </c>
      <c r="J372" s="1128"/>
      <c r="K372" s="313">
        <f t="shared" si="60"/>
        <v>1</v>
      </c>
      <c r="L372" s="1128"/>
      <c r="M372" s="313">
        <f t="shared" si="61"/>
        <v>1</v>
      </c>
      <c r="N372" s="1128"/>
      <c r="O372" s="313">
        <f t="shared" si="62"/>
        <v>1</v>
      </c>
      <c r="P372" s="1128"/>
      <c r="Q372" s="313">
        <f t="shared" si="63"/>
        <v>0.2</v>
      </c>
      <c r="R372" s="1124">
        <f t="shared" si="64"/>
        <v>0</v>
      </c>
      <c r="S372" s="698">
        <f t="shared" si="55"/>
        <v>0</v>
      </c>
    </row>
    <row r="373" spans="1:19">
      <c r="A373" s="491"/>
      <c r="B373" s="348"/>
      <c r="C373" s="313">
        <f t="shared" si="56"/>
        <v>1</v>
      </c>
      <c r="D373" s="1128"/>
      <c r="E373" s="313">
        <f t="shared" si="57"/>
        <v>0.05</v>
      </c>
      <c r="F373" s="1128"/>
      <c r="G373" s="313">
        <f t="shared" si="58"/>
        <v>0.1</v>
      </c>
      <c r="H373" s="1128"/>
      <c r="I373" s="313">
        <f t="shared" si="59"/>
        <v>1</v>
      </c>
      <c r="J373" s="1128"/>
      <c r="K373" s="313">
        <f t="shared" si="60"/>
        <v>1</v>
      </c>
      <c r="L373" s="1128"/>
      <c r="M373" s="313">
        <f t="shared" si="61"/>
        <v>1</v>
      </c>
      <c r="N373" s="1128"/>
      <c r="O373" s="313">
        <f t="shared" si="62"/>
        <v>1</v>
      </c>
      <c r="P373" s="1128"/>
      <c r="Q373" s="313">
        <f t="shared" si="63"/>
        <v>0.2</v>
      </c>
      <c r="R373" s="1124">
        <f t="shared" si="64"/>
        <v>0</v>
      </c>
      <c r="S373" s="698">
        <f t="shared" si="55"/>
        <v>0</v>
      </c>
    </row>
    <row r="374" spans="1:19">
      <c r="A374" s="491"/>
      <c r="B374" s="348"/>
      <c r="C374" s="313">
        <f t="shared" si="56"/>
        <v>1</v>
      </c>
      <c r="D374" s="1128"/>
      <c r="E374" s="313">
        <f t="shared" si="57"/>
        <v>0.05</v>
      </c>
      <c r="F374" s="1128"/>
      <c r="G374" s="313">
        <f t="shared" si="58"/>
        <v>0.1</v>
      </c>
      <c r="H374" s="1128"/>
      <c r="I374" s="313">
        <f t="shared" si="59"/>
        <v>1</v>
      </c>
      <c r="J374" s="1128"/>
      <c r="K374" s="313">
        <f t="shared" si="60"/>
        <v>1</v>
      </c>
      <c r="L374" s="1128"/>
      <c r="M374" s="313">
        <f t="shared" si="61"/>
        <v>1</v>
      </c>
      <c r="N374" s="1128"/>
      <c r="O374" s="313">
        <f t="shared" si="62"/>
        <v>1</v>
      </c>
      <c r="P374" s="1128"/>
      <c r="Q374" s="313">
        <f t="shared" si="63"/>
        <v>0.2</v>
      </c>
      <c r="R374" s="1124">
        <f t="shared" si="64"/>
        <v>0</v>
      </c>
      <c r="S374" s="698">
        <f t="shared" si="55"/>
        <v>0</v>
      </c>
    </row>
    <row r="375" spans="1:19">
      <c r="A375" s="491"/>
      <c r="B375" s="348"/>
      <c r="C375" s="313">
        <f t="shared" si="56"/>
        <v>1</v>
      </c>
      <c r="D375" s="1128"/>
      <c r="E375" s="313">
        <f t="shared" si="57"/>
        <v>0.05</v>
      </c>
      <c r="F375" s="1128"/>
      <c r="G375" s="313">
        <f t="shared" si="58"/>
        <v>0.1</v>
      </c>
      <c r="H375" s="1128"/>
      <c r="I375" s="313">
        <f t="shared" si="59"/>
        <v>1</v>
      </c>
      <c r="J375" s="1128"/>
      <c r="K375" s="313">
        <f t="shared" si="60"/>
        <v>1</v>
      </c>
      <c r="L375" s="1128"/>
      <c r="M375" s="313">
        <f t="shared" si="61"/>
        <v>1</v>
      </c>
      <c r="N375" s="1128"/>
      <c r="O375" s="313">
        <f t="shared" si="62"/>
        <v>1</v>
      </c>
      <c r="P375" s="1128"/>
      <c r="Q375" s="313">
        <f t="shared" si="63"/>
        <v>0.2</v>
      </c>
      <c r="R375" s="1124">
        <f t="shared" si="64"/>
        <v>0</v>
      </c>
      <c r="S375" s="698">
        <f t="shared" si="55"/>
        <v>0</v>
      </c>
    </row>
    <row r="376" spans="1:19">
      <c r="A376" s="491"/>
      <c r="B376" s="348"/>
      <c r="C376" s="313">
        <f t="shared" si="56"/>
        <v>1</v>
      </c>
      <c r="D376" s="1128"/>
      <c r="E376" s="313">
        <f t="shared" si="57"/>
        <v>0.05</v>
      </c>
      <c r="F376" s="1128"/>
      <c r="G376" s="313">
        <f t="shared" si="58"/>
        <v>0.1</v>
      </c>
      <c r="H376" s="1128"/>
      <c r="I376" s="313">
        <f t="shared" si="59"/>
        <v>1</v>
      </c>
      <c r="J376" s="1128"/>
      <c r="K376" s="313">
        <f t="shared" si="60"/>
        <v>1</v>
      </c>
      <c r="L376" s="1128"/>
      <c r="M376" s="313">
        <f t="shared" si="61"/>
        <v>1</v>
      </c>
      <c r="N376" s="1128"/>
      <c r="O376" s="313">
        <f t="shared" si="62"/>
        <v>1</v>
      </c>
      <c r="P376" s="1128"/>
      <c r="Q376" s="313">
        <f t="shared" si="63"/>
        <v>0.2</v>
      </c>
      <c r="R376" s="1124">
        <f t="shared" si="64"/>
        <v>0</v>
      </c>
      <c r="S376" s="698">
        <f t="shared" si="55"/>
        <v>0</v>
      </c>
    </row>
    <row r="377" spans="1:19">
      <c r="A377" s="491"/>
      <c r="B377" s="348"/>
      <c r="C377" s="313">
        <f t="shared" si="56"/>
        <v>1</v>
      </c>
      <c r="D377" s="1128"/>
      <c r="E377" s="313">
        <f t="shared" si="57"/>
        <v>0.05</v>
      </c>
      <c r="F377" s="1128"/>
      <c r="G377" s="313">
        <f t="shared" si="58"/>
        <v>0.1</v>
      </c>
      <c r="H377" s="1128"/>
      <c r="I377" s="313">
        <f t="shared" si="59"/>
        <v>1</v>
      </c>
      <c r="J377" s="1128"/>
      <c r="K377" s="313">
        <f t="shared" si="60"/>
        <v>1</v>
      </c>
      <c r="L377" s="1128"/>
      <c r="M377" s="313">
        <f t="shared" si="61"/>
        <v>1</v>
      </c>
      <c r="N377" s="1128"/>
      <c r="O377" s="313">
        <f t="shared" si="62"/>
        <v>1</v>
      </c>
      <c r="P377" s="1128"/>
      <c r="Q377" s="313">
        <f t="shared" si="63"/>
        <v>0.2</v>
      </c>
      <c r="R377" s="1124">
        <f t="shared" si="64"/>
        <v>0</v>
      </c>
      <c r="S377" s="698">
        <f t="shared" si="55"/>
        <v>0</v>
      </c>
    </row>
    <row r="378" spans="1:19">
      <c r="A378" s="491"/>
      <c r="B378" s="348"/>
      <c r="C378" s="313">
        <f t="shared" si="56"/>
        <v>1</v>
      </c>
      <c r="D378" s="1128"/>
      <c r="E378" s="313">
        <f t="shared" si="57"/>
        <v>0.05</v>
      </c>
      <c r="F378" s="1128"/>
      <c r="G378" s="313">
        <f t="shared" si="58"/>
        <v>0.1</v>
      </c>
      <c r="H378" s="1128"/>
      <c r="I378" s="313">
        <f t="shared" si="59"/>
        <v>1</v>
      </c>
      <c r="J378" s="1128"/>
      <c r="K378" s="313">
        <f t="shared" si="60"/>
        <v>1</v>
      </c>
      <c r="L378" s="1128"/>
      <c r="M378" s="313">
        <f t="shared" si="61"/>
        <v>1</v>
      </c>
      <c r="N378" s="1128"/>
      <c r="O378" s="313">
        <f t="shared" si="62"/>
        <v>1</v>
      </c>
      <c r="P378" s="1128"/>
      <c r="Q378" s="313">
        <f t="shared" si="63"/>
        <v>0.2</v>
      </c>
      <c r="R378" s="1124">
        <f t="shared" si="64"/>
        <v>0</v>
      </c>
      <c r="S378" s="698">
        <f t="shared" si="55"/>
        <v>0</v>
      </c>
    </row>
    <row r="379" spans="1:19">
      <c r="A379" s="491"/>
      <c r="B379" s="348"/>
      <c r="C379" s="313">
        <f t="shared" si="56"/>
        <v>1</v>
      </c>
      <c r="D379" s="1128"/>
      <c r="E379" s="313">
        <f t="shared" si="57"/>
        <v>0.05</v>
      </c>
      <c r="F379" s="1128"/>
      <c r="G379" s="313">
        <f t="shared" si="58"/>
        <v>0.1</v>
      </c>
      <c r="H379" s="1128"/>
      <c r="I379" s="313">
        <f t="shared" si="59"/>
        <v>1</v>
      </c>
      <c r="J379" s="1128"/>
      <c r="K379" s="313">
        <f t="shared" si="60"/>
        <v>1</v>
      </c>
      <c r="L379" s="1128"/>
      <c r="M379" s="313">
        <f t="shared" si="61"/>
        <v>1</v>
      </c>
      <c r="N379" s="1128"/>
      <c r="O379" s="313">
        <f t="shared" si="62"/>
        <v>1</v>
      </c>
      <c r="P379" s="1128"/>
      <c r="Q379" s="313">
        <f t="shared" si="63"/>
        <v>0.2</v>
      </c>
      <c r="R379" s="1124">
        <f t="shared" si="64"/>
        <v>0</v>
      </c>
      <c r="S379" s="698">
        <f t="shared" si="55"/>
        <v>0</v>
      </c>
    </row>
    <row r="380" spans="1:19">
      <c r="A380" s="491"/>
      <c r="B380" s="348"/>
      <c r="C380" s="313">
        <f t="shared" si="56"/>
        <v>1</v>
      </c>
      <c r="D380" s="1128"/>
      <c r="E380" s="313">
        <f t="shared" si="57"/>
        <v>0.05</v>
      </c>
      <c r="F380" s="1128"/>
      <c r="G380" s="313">
        <f t="shared" si="58"/>
        <v>0.1</v>
      </c>
      <c r="H380" s="1128"/>
      <c r="I380" s="313">
        <f t="shared" si="59"/>
        <v>1</v>
      </c>
      <c r="J380" s="1128"/>
      <c r="K380" s="313">
        <f t="shared" si="60"/>
        <v>1</v>
      </c>
      <c r="L380" s="1128"/>
      <c r="M380" s="313">
        <f t="shared" si="61"/>
        <v>1</v>
      </c>
      <c r="N380" s="1128"/>
      <c r="O380" s="313">
        <f t="shared" si="62"/>
        <v>1</v>
      </c>
      <c r="P380" s="1128"/>
      <c r="Q380" s="313">
        <f t="shared" si="63"/>
        <v>0.2</v>
      </c>
      <c r="R380" s="1124">
        <f t="shared" si="64"/>
        <v>0</v>
      </c>
      <c r="S380" s="698">
        <f t="shared" si="55"/>
        <v>0</v>
      </c>
    </row>
    <row r="381" spans="1:19">
      <c r="A381" s="491"/>
      <c r="B381" s="348"/>
      <c r="C381" s="313">
        <f t="shared" si="56"/>
        <v>1</v>
      </c>
      <c r="D381" s="1128"/>
      <c r="E381" s="313">
        <f t="shared" si="57"/>
        <v>0.05</v>
      </c>
      <c r="F381" s="1128"/>
      <c r="G381" s="313">
        <f t="shared" si="58"/>
        <v>0.1</v>
      </c>
      <c r="H381" s="1128"/>
      <c r="I381" s="313">
        <f t="shared" si="59"/>
        <v>1</v>
      </c>
      <c r="J381" s="1128"/>
      <c r="K381" s="313">
        <f t="shared" si="60"/>
        <v>1</v>
      </c>
      <c r="L381" s="1128"/>
      <c r="M381" s="313">
        <f t="shared" si="61"/>
        <v>1</v>
      </c>
      <c r="N381" s="1128"/>
      <c r="O381" s="313">
        <f t="shared" si="62"/>
        <v>1</v>
      </c>
      <c r="P381" s="1128"/>
      <c r="Q381" s="313">
        <f t="shared" si="63"/>
        <v>0.2</v>
      </c>
      <c r="R381" s="1124">
        <f t="shared" si="64"/>
        <v>0</v>
      </c>
      <c r="S381" s="698">
        <f t="shared" si="55"/>
        <v>0</v>
      </c>
    </row>
    <row r="382" spans="1:19">
      <c r="A382" s="491"/>
      <c r="B382" s="348"/>
      <c r="C382" s="313">
        <f t="shared" si="56"/>
        <v>1</v>
      </c>
      <c r="D382" s="1128"/>
      <c r="E382" s="313">
        <f t="shared" si="57"/>
        <v>0.05</v>
      </c>
      <c r="F382" s="1128"/>
      <c r="G382" s="313">
        <f t="shared" si="58"/>
        <v>0.1</v>
      </c>
      <c r="H382" s="1128"/>
      <c r="I382" s="313">
        <f t="shared" si="59"/>
        <v>1</v>
      </c>
      <c r="J382" s="1128"/>
      <c r="K382" s="313">
        <f t="shared" si="60"/>
        <v>1</v>
      </c>
      <c r="L382" s="1128"/>
      <c r="M382" s="313">
        <f t="shared" si="61"/>
        <v>1</v>
      </c>
      <c r="N382" s="1128"/>
      <c r="O382" s="313">
        <f t="shared" si="62"/>
        <v>1</v>
      </c>
      <c r="P382" s="1128"/>
      <c r="Q382" s="313">
        <f t="shared" si="63"/>
        <v>0.2</v>
      </c>
      <c r="R382" s="1124">
        <f t="shared" si="64"/>
        <v>0</v>
      </c>
      <c r="S382" s="698">
        <f t="shared" si="55"/>
        <v>0</v>
      </c>
    </row>
    <row r="383" spans="1:19">
      <c r="A383" s="491"/>
      <c r="B383" s="348"/>
      <c r="C383" s="313">
        <f t="shared" si="56"/>
        <v>1</v>
      </c>
      <c r="D383" s="1128"/>
      <c r="E383" s="313">
        <f t="shared" si="57"/>
        <v>0.05</v>
      </c>
      <c r="F383" s="1128"/>
      <c r="G383" s="313">
        <f t="shared" si="58"/>
        <v>0.1</v>
      </c>
      <c r="H383" s="1128"/>
      <c r="I383" s="313">
        <f t="shared" si="59"/>
        <v>1</v>
      </c>
      <c r="J383" s="1128"/>
      <c r="K383" s="313">
        <f t="shared" si="60"/>
        <v>1</v>
      </c>
      <c r="L383" s="1128"/>
      <c r="M383" s="313">
        <f t="shared" si="61"/>
        <v>1</v>
      </c>
      <c r="N383" s="1128"/>
      <c r="O383" s="313">
        <f t="shared" si="62"/>
        <v>1</v>
      </c>
      <c r="P383" s="1128"/>
      <c r="Q383" s="313">
        <f t="shared" si="63"/>
        <v>0.2</v>
      </c>
      <c r="R383" s="1124">
        <f t="shared" si="64"/>
        <v>0</v>
      </c>
      <c r="S383" s="698">
        <f t="shared" si="55"/>
        <v>0</v>
      </c>
    </row>
    <row r="384" spans="1:19">
      <c r="A384" s="491"/>
      <c r="B384" s="348"/>
      <c r="C384" s="313">
        <f t="shared" si="56"/>
        <v>1</v>
      </c>
      <c r="D384" s="1128"/>
      <c r="E384" s="313">
        <f t="shared" si="57"/>
        <v>0.05</v>
      </c>
      <c r="F384" s="1128"/>
      <c r="G384" s="313">
        <f t="shared" si="58"/>
        <v>0.1</v>
      </c>
      <c r="H384" s="1128"/>
      <c r="I384" s="313">
        <f t="shared" si="59"/>
        <v>1</v>
      </c>
      <c r="J384" s="1128"/>
      <c r="K384" s="313">
        <f t="shared" si="60"/>
        <v>1</v>
      </c>
      <c r="L384" s="1128"/>
      <c r="M384" s="313">
        <f t="shared" si="61"/>
        <v>1</v>
      </c>
      <c r="N384" s="1128"/>
      <c r="O384" s="313">
        <f t="shared" si="62"/>
        <v>1</v>
      </c>
      <c r="P384" s="1128"/>
      <c r="Q384" s="313">
        <f t="shared" si="63"/>
        <v>0.2</v>
      </c>
      <c r="R384" s="1124">
        <f t="shared" si="64"/>
        <v>0</v>
      </c>
      <c r="S384" s="698">
        <f t="shared" si="55"/>
        <v>0</v>
      </c>
    </row>
    <row r="385" spans="1:19">
      <c r="A385" s="491"/>
      <c r="B385" s="348"/>
      <c r="C385" s="313">
        <f t="shared" si="56"/>
        <v>1</v>
      </c>
      <c r="D385" s="1128"/>
      <c r="E385" s="313">
        <f t="shared" si="57"/>
        <v>0.05</v>
      </c>
      <c r="F385" s="1128"/>
      <c r="G385" s="313">
        <f t="shared" si="58"/>
        <v>0.1</v>
      </c>
      <c r="H385" s="1128"/>
      <c r="I385" s="313">
        <f t="shared" si="59"/>
        <v>1</v>
      </c>
      <c r="J385" s="1128"/>
      <c r="K385" s="313">
        <f t="shared" si="60"/>
        <v>1</v>
      </c>
      <c r="L385" s="1128"/>
      <c r="M385" s="313">
        <f t="shared" si="61"/>
        <v>1</v>
      </c>
      <c r="N385" s="1128"/>
      <c r="O385" s="313">
        <f t="shared" si="62"/>
        <v>1</v>
      </c>
      <c r="P385" s="1128"/>
      <c r="Q385" s="313">
        <f t="shared" si="63"/>
        <v>0.2</v>
      </c>
      <c r="R385" s="1124">
        <f t="shared" si="64"/>
        <v>0</v>
      </c>
      <c r="S385" s="698">
        <f t="shared" si="55"/>
        <v>0</v>
      </c>
    </row>
    <row r="386" spans="1:19">
      <c r="A386" s="491"/>
      <c r="B386" s="348"/>
      <c r="C386" s="313">
        <f t="shared" si="56"/>
        <v>1</v>
      </c>
      <c r="D386" s="1128"/>
      <c r="E386" s="313">
        <f t="shared" si="57"/>
        <v>0.05</v>
      </c>
      <c r="F386" s="1128"/>
      <c r="G386" s="313">
        <f t="shared" si="58"/>
        <v>0.1</v>
      </c>
      <c r="H386" s="1128"/>
      <c r="I386" s="313">
        <f t="shared" si="59"/>
        <v>1</v>
      </c>
      <c r="J386" s="1128"/>
      <c r="K386" s="313">
        <f t="shared" si="60"/>
        <v>1</v>
      </c>
      <c r="L386" s="1128"/>
      <c r="M386" s="313">
        <f t="shared" si="61"/>
        <v>1</v>
      </c>
      <c r="N386" s="1128"/>
      <c r="O386" s="313">
        <f t="shared" si="62"/>
        <v>1</v>
      </c>
      <c r="P386" s="1128"/>
      <c r="Q386" s="313">
        <f t="shared" si="63"/>
        <v>0.2</v>
      </c>
      <c r="R386" s="1124">
        <f t="shared" si="64"/>
        <v>0</v>
      </c>
      <c r="S386" s="698">
        <f t="shared" si="55"/>
        <v>0</v>
      </c>
    </row>
    <row r="387" spans="1:19">
      <c r="A387" s="491"/>
      <c r="B387" s="348"/>
      <c r="C387" s="313">
        <f t="shared" si="56"/>
        <v>1</v>
      </c>
      <c r="D387" s="1128"/>
      <c r="E387" s="313">
        <f t="shared" si="57"/>
        <v>0.05</v>
      </c>
      <c r="F387" s="1128"/>
      <c r="G387" s="313">
        <f t="shared" si="58"/>
        <v>0.1</v>
      </c>
      <c r="H387" s="1128"/>
      <c r="I387" s="313">
        <f t="shared" si="59"/>
        <v>1</v>
      </c>
      <c r="J387" s="1128"/>
      <c r="K387" s="313">
        <f t="shared" si="60"/>
        <v>1</v>
      </c>
      <c r="L387" s="1128"/>
      <c r="M387" s="313">
        <f t="shared" si="61"/>
        <v>1</v>
      </c>
      <c r="N387" s="1128"/>
      <c r="O387" s="313">
        <f t="shared" si="62"/>
        <v>1</v>
      </c>
      <c r="P387" s="1128"/>
      <c r="Q387" s="313">
        <f t="shared" si="63"/>
        <v>0.2</v>
      </c>
      <c r="R387" s="1124">
        <f t="shared" si="64"/>
        <v>0</v>
      </c>
      <c r="S387" s="698">
        <f t="shared" si="55"/>
        <v>0</v>
      </c>
    </row>
    <row r="388" spans="1:19">
      <c r="A388" s="491"/>
      <c r="B388" s="348"/>
      <c r="C388" s="313">
        <f t="shared" si="56"/>
        <v>1</v>
      </c>
      <c r="D388" s="1128"/>
      <c r="E388" s="313">
        <f t="shared" si="57"/>
        <v>0.05</v>
      </c>
      <c r="F388" s="1128"/>
      <c r="G388" s="313">
        <f t="shared" si="58"/>
        <v>0.1</v>
      </c>
      <c r="H388" s="1128"/>
      <c r="I388" s="313">
        <f t="shared" si="59"/>
        <v>1</v>
      </c>
      <c r="J388" s="1128"/>
      <c r="K388" s="313">
        <f t="shared" si="60"/>
        <v>1</v>
      </c>
      <c r="L388" s="1128"/>
      <c r="M388" s="313">
        <f t="shared" si="61"/>
        <v>1</v>
      </c>
      <c r="N388" s="1128"/>
      <c r="O388" s="313">
        <f t="shared" si="62"/>
        <v>1</v>
      </c>
      <c r="P388" s="1128"/>
      <c r="Q388" s="313">
        <f t="shared" si="63"/>
        <v>0.2</v>
      </c>
      <c r="R388" s="1124">
        <f t="shared" si="64"/>
        <v>0</v>
      </c>
      <c r="S388" s="698">
        <f t="shared" si="55"/>
        <v>0</v>
      </c>
    </row>
    <row r="389" spans="1:19">
      <c r="A389" s="491"/>
      <c r="B389" s="348"/>
      <c r="C389" s="313">
        <f t="shared" si="56"/>
        <v>1</v>
      </c>
      <c r="D389" s="1128"/>
      <c r="E389" s="313">
        <f t="shared" si="57"/>
        <v>0.05</v>
      </c>
      <c r="F389" s="1128"/>
      <c r="G389" s="313">
        <f t="shared" si="58"/>
        <v>0.1</v>
      </c>
      <c r="H389" s="1128"/>
      <c r="I389" s="313">
        <f t="shared" si="59"/>
        <v>1</v>
      </c>
      <c r="J389" s="1128"/>
      <c r="K389" s="313">
        <f t="shared" si="60"/>
        <v>1</v>
      </c>
      <c r="L389" s="1128"/>
      <c r="M389" s="313">
        <f t="shared" si="61"/>
        <v>1</v>
      </c>
      <c r="N389" s="1128"/>
      <c r="O389" s="313">
        <f t="shared" si="62"/>
        <v>1</v>
      </c>
      <c r="P389" s="1128"/>
      <c r="Q389" s="313">
        <f t="shared" si="63"/>
        <v>0.2</v>
      </c>
      <c r="R389" s="1124">
        <f t="shared" si="64"/>
        <v>0</v>
      </c>
      <c r="S389" s="698">
        <f t="shared" si="55"/>
        <v>0</v>
      </c>
    </row>
    <row r="390" spans="1:19">
      <c r="A390" s="491"/>
      <c r="B390" s="348"/>
      <c r="C390" s="313">
        <f t="shared" si="56"/>
        <v>1</v>
      </c>
      <c r="D390" s="1128"/>
      <c r="E390" s="313">
        <f t="shared" si="57"/>
        <v>0.05</v>
      </c>
      <c r="F390" s="1128"/>
      <c r="G390" s="313">
        <f t="shared" si="58"/>
        <v>0.1</v>
      </c>
      <c r="H390" s="1128"/>
      <c r="I390" s="313">
        <f t="shared" si="59"/>
        <v>1</v>
      </c>
      <c r="J390" s="1128"/>
      <c r="K390" s="313">
        <f t="shared" si="60"/>
        <v>1</v>
      </c>
      <c r="L390" s="1128"/>
      <c r="M390" s="313">
        <f t="shared" si="61"/>
        <v>1</v>
      </c>
      <c r="N390" s="1128"/>
      <c r="O390" s="313">
        <f t="shared" si="62"/>
        <v>1</v>
      </c>
      <c r="P390" s="1128"/>
      <c r="Q390" s="313">
        <f t="shared" si="63"/>
        <v>0.2</v>
      </c>
      <c r="R390" s="1124">
        <f t="shared" si="64"/>
        <v>0</v>
      </c>
      <c r="S390" s="698">
        <f t="shared" si="55"/>
        <v>0</v>
      </c>
    </row>
    <row r="391" spans="1:19">
      <c r="A391" s="491"/>
      <c r="B391" s="348"/>
      <c r="C391" s="313">
        <f t="shared" si="56"/>
        <v>1</v>
      </c>
      <c r="D391" s="1128"/>
      <c r="E391" s="313">
        <f t="shared" si="57"/>
        <v>0.05</v>
      </c>
      <c r="F391" s="1128"/>
      <c r="G391" s="313">
        <f t="shared" si="58"/>
        <v>0.1</v>
      </c>
      <c r="H391" s="1128"/>
      <c r="I391" s="313">
        <f t="shared" si="59"/>
        <v>1</v>
      </c>
      <c r="J391" s="1128"/>
      <c r="K391" s="313">
        <f t="shared" si="60"/>
        <v>1</v>
      </c>
      <c r="L391" s="1128"/>
      <c r="M391" s="313">
        <f t="shared" si="61"/>
        <v>1</v>
      </c>
      <c r="N391" s="1128"/>
      <c r="O391" s="313">
        <f t="shared" si="62"/>
        <v>1</v>
      </c>
      <c r="P391" s="1128"/>
      <c r="Q391" s="313">
        <f t="shared" si="63"/>
        <v>0.2</v>
      </c>
      <c r="R391" s="1124">
        <f t="shared" si="64"/>
        <v>0</v>
      </c>
      <c r="S391" s="698">
        <f t="shared" si="55"/>
        <v>0</v>
      </c>
    </row>
    <row r="392" spans="1:19">
      <c r="A392" s="491"/>
      <c r="B392" s="348"/>
      <c r="C392" s="313">
        <f t="shared" si="56"/>
        <v>1</v>
      </c>
      <c r="D392" s="1128"/>
      <c r="E392" s="313">
        <f t="shared" si="57"/>
        <v>0.05</v>
      </c>
      <c r="F392" s="1128"/>
      <c r="G392" s="313">
        <f t="shared" si="58"/>
        <v>0.1</v>
      </c>
      <c r="H392" s="1128"/>
      <c r="I392" s="313">
        <f t="shared" si="59"/>
        <v>1</v>
      </c>
      <c r="J392" s="1128"/>
      <c r="K392" s="313">
        <f t="shared" si="60"/>
        <v>1</v>
      </c>
      <c r="L392" s="1128"/>
      <c r="M392" s="313">
        <f t="shared" si="61"/>
        <v>1</v>
      </c>
      <c r="N392" s="1128"/>
      <c r="O392" s="313">
        <f t="shared" si="62"/>
        <v>1</v>
      </c>
      <c r="P392" s="1128"/>
      <c r="Q392" s="313">
        <f t="shared" si="63"/>
        <v>0.2</v>
      </c>
      <c r="R392" s="1124">
        <f t="shared" si="64"/>
        <v>0</v>
      </c>
      <c r="S392" s="698">
        <f t="shared" si="55"/>
        <v>0</v>
      </c>
    </row>
    <row r="393" spans="1:19">
      <c r="A393" s="491"/>
      <c r="B393" s="348"/>
      <c r="C393" s="313">
        <f t="shared" si="56"/>
        <v>1</v>
      </c>
      <c r="D393" s="1128"/>
      <c r="E393" s="313">
        <f t="shared" si="57"/>
        <v>0.05</v>
      </c>
      <c r="F393" s="1128"/>
      <c r="G393" s="313">
        <f t="shared" si="58"/>
        <v>0.1</v>
      </c>
      <c r="H393" s="1128"/>
      <c r="I393" s="313">
        <f t="shared" si="59"/>
        <v>1</v>
      </c>
      <c r="J393" s="1128"/>
      <c r="K393" s="313">
        <f t="shared" si="60"/>
        <v>1</v>
      </c>
      <c r="L393" s="1128"/>
      <c r="M393" s="313">
        <f t="shared" si="61"/>
        <v>1</v>
      </c>
      <c r="N393" s="1128"/>
      <c r="O393" s="313">
        <f t="shared" si="62"/>
        <v>1</v>
      </c>
      <c r="P393" s="1128"/>
      <c r="Q393" s="313">
        <f t="shared" si="63"/>
        <v>0.2</v>
      </c>
      <c r="R393" s="1124">
        <f t="shared" si="64"/>
        <v>0</v>
      </c>
      <c r="S393" s="698">
        <f t="shared" si="55"/>
        <v>0</v>
      </c>
    </row>
    <row r="394" spans="1:19">
      <c r="A394" s="491"/>
      <c r="B394" s="348"/>
      <c r="C394" s="313">
        <f t="shared" si="56"/>
        <v>1</v>
      </c>
      <c r="D394" s="1128"/>
      <c r="E394" s="313">
        <f t="shared" si="57"/>
        <v>0.05</v>
      </c>
      <c r="F394" s="1128"/>
      <c r="G394" s="313">
        <f t="shared" si="58"/>
        <v>0.1</v>
      </c>
      <c r="H394" s="1128"/>
      <c r="I394" s="313">
        <f t="shared" si="59"/>
        <v>1</v>
      </c>
      <c r="J394" s="1128"/>
      <c r="K394" s="313">
        <f t="shared" si="60"/>
        <v>1</v>
      </c>
      <c r="L394" s="1128"/>
      <c r="M394" s="313">
        <f t="shared" si="61"/>
        <v>1</v>
      </c>
      <c r="N394" s="1128"/>
      <c r="O394" s="313">
        <f t="shared" si="62"/>
        <v>1</v>
      </c>
      <c r="P394" s="1128"/>
      <c r="Q394" s="313">
        <f t="shared" si="63"/>
        <v>0.2</v>
      </c>
      <c r="R394" s="1124">
        <f t="shared" si="64"/>
        <v>0</v>
      </c>
      <c r="S394" s="698">
        <f t="shared" si="55"/>
        <v>0</v>
      </c>
    </row>
    <row r="395" spans="1:19">
      <c r="A395" s="491"/>
      <c r="B395" s="348"/>
      <c r="C395" s="313">
        <f t="shared" si="56"/>
        <v>1</v>
      </c>
      <c r="D395" s="1128"/>
      <c r="E395" s="313">
        <f t="shared" si="57"/>
        <v>0.05</v>
      </c>
      <c r="F395" s="1128"/>
      <c r="G395" s="313">
        <f t="shared" si="58"/>
        <v>0.1</v>
      </c>
      <c r="H395" s="1128"/>
      <c r="I395" s="313">
        <f t="shared" si="59"/>
        <v>1</v>
      </c>
      <c r="J395" s="1128"/>
      <c r="K395" s="313">
        <f t="shared" si="60"/>
        <v>1</v>
      </c>
      <c r="L395" s="1128"/>
      <c r="M395" s="313">
        <f t="shared" si="61"/>
        <v>1</v>
      </c>
      <c r="N395" s="1128"/>
      <c r="O395" s="313">
        <f t="shared" si="62"/>
        <v>1</v>
      </c>
      <c r="P395" s="1128"/>
      <c r="Q395" s="313">
        <f t="shared" si="63"/>
        <v>0.2</v>
      </c>
      <c r="R395" s="1124">
        <f t="shared" si="64"/>
        <v>0</v>
      </c>
      <c r="S395" s="698">
        <f t="shared" si="55"/>
        <v>0</v>
      </c>
    </row>
    <row r="396" spans="1:19">
      <c r="A396" s="491"/>
      <c r="B396" s="348"/>
      <c r="C396" s="313">
        <f t="shared" si="56"/>
        <v>1</v>
      </c>
      <c r="D396" s="1128"/>
      <c r="E396" s="313">
        <f t="shared" si="57"/>
        <v>0.05</v>
      </c>
      <c r="F396" s="1128"/>
      <c r="G396" s="313">
        <f t="shared" si="58"/>
        <v>0.1</v>
      </c>
      <c r="H396" s="1128"/>
      <c r="I396" s="313">
        <f t="shared" si="59"/>
        <v>1</v>
      </c>
      <c r="J396" s="1128"/>
      <c r="K396" s="313">
        <f t="shared" si="60"/>
        <v>1</v>
      </c>
      <c r="L396" s="1128"/>
      <c r="M396" s="313">
        <f t="shared" si="61"/>
        <v>1</v>
      </c>
      <c r="N396" s="1128"/>
      <c r="O396" s="313">
        <f t="shared" si="62"/>
        <v>1</v>
      </c>
      <c r="P396" s="1128"/>
      <c r="Q396" s="313">
        <f t="shared" si="63"/>
        <v>0.2</v>
      </c>
      <c r="R396" s="1124">
        <f t="shared" si="64"/>
        <v>0</v>
      </c>
      <c r="S396" s="698">
        <f t="shared" si="55"/>
        <v>0</v>
      </c>
    </row>
    <row r="397" spans="1:19">
      <c r="A397" s="491"/>
      <c r="B397" s="348"/>
      <c r="C397" s="313">
        <f t="shared" si="56"/>
        <v>1</v>
      </c>
      <c r="D397" s="1128"/>
      <c r="E397" s="313">
        <f t="shared" si="57"/>
        <v>0.05</v>
      </c>
      <c r="F397" s="1128"/>
      <c r="G397" s="313">
        <f t="shared" si="58"/>
        <v>0.1</v>
      </c>
      <c r="H397" s="1128"/>
      <c r="I397" s="313">
        <f t="shared" si="59"/>
        <v>1</v>
      </c>
      <c r="J397" s="1128"/>
      <c r="K397" s="313">
        <f t="shared" si="60"/>
        <v>1</v>
      </c>
      <c r="L397" s="1128"/>
      <c r="M397" s="313">
        <f t="shared" si="61"/>
        <v>1</v>
      </c>
      <c r="N397" s="1128"/>
      <c r="O397" s="313">
        <f t="shared" si="62"/>
        <v>1</v>
      </c>
      <c r="P397" s="1128"/>
      <c r="Q397" s="313">
        <f t="shared" si="63"/>
        <v>0.2</v>
      </c>
      <c r="R397" s="1124">
        <f t="shared" si="64"/>
        <v>0</v>
      </c>
      <c r="S397" s="698">
        <f t="shared" si="55"/>
        <v>0</v>
      </c>
    </row>
    <row r="398" spans="1:19">
      <c r="A398" s="491"/>
      <c r="B398" s="348"/>
      <c r="C398" s="313">
        <f t="shared" si="56"/>
        <v>1</v>
      </c>
      <c r="D398" s="1128"/>
      <c r="E398" s="313">
        <f t="shared" si="57"/>
        <v>0.05</v>
      </c>
      <c r="F398" s="1128"/>
      <c r="G398" s="313">
        <f t="shared" si="58"/>
        <v>0.1</v>
      </c>
      <c r="H398" s="1128"/>
      <c r="I398" s="313">
        <f t="shared" si="59"/>
        <v>1</v>
      </c>
      <c r="J398" s="1128"/>
      <c r="K398" s="313">
        <f t="shared" si="60"/>
        <v>1</v>
      </c>
      <c r="L398" s="1128"/>
      <c r="M398" s="313">
        <f t="shared" si="61"/>
        <v>1</v>
      </c>
      <c r="N398" s="1128"/>
      <c r="O398" s="313">
        <f t="shared" si="62"/>
        <v>1</v>
      </c>
      <c r="P398" s="1128"/>
      <c r="Q398" s="313">
        <f t="shared" si="63"/>
        <v>0.2</v>
      </c>
      <c r="R398" s="1124">
        <f t="shared" si="64"/>
        <v>0</v>
      </c>
      <c r="S398" s="698">
        <f t="shared" si="55"/>
        <v>0</v>
      </c>
    </row>
    <row r="399" spans="1:19">
      <c r="A399" s="491"/>
      <c r="B399" s="348"/>
      <c r="C399" s="313">
        <f t="shared" si="56"/>
        <v>1</v>
      </c>
      <c r="D399" s="1128"/>
      <c r="E399" s="313">
        <f t="shared" si="57"/>
        <v>0.05</v>
      </c>
      <c r="F399" s="1128"/>
      <c r="G399" s="313">
        <f t="shared" si="58"/>
        <v>0.1</v>
      </c>
      <c r="H399" s="1128"/>
      <c r="I399" s="313">
        <f t="shared" si="59"/>
        <v>1</v>
      </c>
      <c r="J399" s="1128"/>
      <c r="K399" s="313">
        <f t="shared" si="60"/>
        <v>1</v>
      </c>
      <c r="L399" s="1128"/>
      <c r="M399" s="313">
        <f t="shared" si="61"/>
        <v>1</v>
      </c>
      <c r="N399" s="1128"/>
      <c r="O399" s="313">
        <f t="shared" si="62"/>
        <v>1</v>
      </c>
      <c r="P399" s="1128"/>
      <c r="Q399" s="313">
        <f t="shared" si="63"/>
        <v>0.2</v>
      </c>
      <c r="R399" s="1124">
        <f t="shared" si="64"/>
        <v>0</v>
      </c>
      <c r="S399" s="698">
        <f t="shared" si="55"/>
        <v>0</v>
      </c>
    </row>
    <row r="400" spans="1:19">
      <c r="A400" s="491"/>
      <c r="B400" s="348"/>
      <c r="C400" s="313">
        <f t="shared" si="56"/>
        <v>1</v>
      </c>
      <c r="D400" s="1128"/>
      <c r="E400" s="313">
        <f t="shared" si="57"/>
        <v>0.05</v>
      </c>
      <c r="F400" s="1128"/>
      <c r="G400" s="313">
        <f t="shared" si="58"/>
        <v>0.1</v>
      </c>
      <c r="H400" s="1128"/>
      <c r="I400" s="313">
        <f t="shared" si="59"/>
        <v>1</v>
      </c>
      <c r="J400" s="1128"/>
      <c r="K400" s="313">
        <f t="shared" si="60"/>
        <v>1</v>
      </c>
      <c r="L400" s="1128"/>
      <c r="M400" s="313">
        <f t="shared" si="61"/>
        <v>1</v>
      </c>
      <c r="N400" s="1128"/>
      <c r="O400" s="313">
        <f t="shared" si="62"/>
        <v>1</v>
      </c>
      <c r="P400" s="1128"/>
      <c r="Q400" s="313">
        <f t="shared" si="63"/>
        <v>0.2</v>
      </c>
      <c r="R400" s="1124">
        <f t="shared" si="64"/>
        <v>0</v>
      </c>
      <c r="S400" s="698">
        <f t="shared" si="55"/>
        <v>0</v>
      </c>
    </row>
    <row r="401" spans="1:19">
      <c r="A401" s="491"/>
      <c r="B401" s="348"/>
      <c r="C401" s="313">
        <f t="shared" si="56"/>
        <v>1</v>
      </c>
      <c r="D401" s="1128"/>
      <c r="E401" s="313">
        <f t="shared" si="57"/>
        <v>0.05</v>
      </c>
      <c r="F401" s="1128"/>
      <c r="G401" s="313">
        <f t="shared" si="58"/>
        <v>0.1</v>
      </c>
      <c r="H401" s="1128"/>
      <c r="I401" s="313">
        <f t="shared" si="59"/>
        <v>1</v>
      </c>
      <c r="J401" s="1128"/>
      <c r="K401" s="313">
        <f t="shared" si="60"/>
        <v>1</v>
      </c>
      <c r="L401" s="1128"/>
      <c r="M401" s="313">
        <f t="shared" si="61"/>
        <v>1</v>
      </c>
      <c r="N401" s="1128"/>
      <c r="O401" s="313">
        <f t="shared" si="62"/>
        <v>1</v>
      </c>
      <c r="P401" s="1128"/>
      <c r="Q401" s="313">
        <f t="shared" si="63"/>
        <v>0.2</v>
      </c>
      <c r="R401" s="1124">
        <f t="shared" si="64"/>
        <v>0</v>
      </c>
      <c r="S401" s="698">
        <f t="shared" si="55"/>
        <v>0</v>
      </c>
    </row>
    <row r="402" spans="1:19">
      <c r="A402" s="491"/>
      <c r="B402" s="348"/>
      <c r="C402" s="313">
        <f t="shared" si="56"/>
        <v>1</v>
      </c>
      <c r="D402" s="1128"/>
      <c r="E402" s="313">
        <f t="shared" si="57"/>
        <v>0.05</v>
      </c>
      <c r="F402" s="1128"/>
      <c r="G402" s="313">
        <f t="shared" si="58"/>
        <v>0.1</v>
      </c>
      <c r="H402" s="1128"/>
      <c r="I402" s="313">
        <f t="shared" si="59"/>
        <v>1</v>
      </c>
      <c r="J402" s="1128"/>
      <c r="K402" s="313">
        <f t="shared" si="60"/>
        <v>1</v>
      </c>
      <c r="L402" s="1128"/>
      <c r="M402" s="313">
        <f t="shared" si="61"/>
        <v>1</v>
      </c>
      <c r="N402" s="1128"/>
      <c r="O402" s="313">
        <f t="shared" si="62"/>
        <v>1</v>
      </c>
      <c r="P402" s="1128"/>
      <c r="Q402" s="313">
        <f t="shared" si="63"/>
        <v>0.2</v>
      </c>
      <c r="R402" s="1124">
        <f t="shared" si="64"/>
        <v>0</v>
      </c>
      <c r="S402" s="698">
        <f t="shared" si="55"/>
        <v>0</v>
      </c>
    </row>
    <row r="403" spans="1:19">
      <c r="A403" s="491"/>
      <c r="B403" s="348"/>
      <c r="C403" s="313">
        <f t="shared" si="56"/>
        <v>1</v>
      </c>
      <c r="D403" s="1128"/>
      <c r="E403" s="313">
        <f t="shared" si="57"/>
        <v>0.05</v>
      </c>
      <c r="F403" s="1128"/>
      <c r="G403" s="313">
        <f t="shared" si="58"/>
        <v>0.1</v>
      </c>
      <c r="H403" s="1128"/>
      <c r="I403" s="313">
        <f t="shared" si="59"/>
        <v>1</v>
      </c>
      <c r="J403" s="1128"/>
      <c r="K403" s="313">
        <f t="shared" si="60"/>
        <v>1</v>
      </c>
      <c r="L403" s="1128"/>
      <c r="M403" s="313">
        <f t="shared" si="61"/>
        <v>1</v>
      </c>
      <c r="N403" s="1128"/>
      <c r="O403" s="313">
        <f t="shared" si="62"/>
        <v>1</v>
      </c>
      <c r="P403" s="1128"/>
      <c r="Q403" s="313">
        <f t="shared" si="63"/>
        <v>0.2</v>
      </c>
      <c r="R403" s="1124">
        <f t="shared" si="64"/>
        <v>0</v>
      </c>
      <c r="S403" s="698">
        <f t="shared" si="55"/>
        <v>0</v>
      </c>
    </row>
    <row r="404" spans="1:19">
      <c r="A404" s="491"/>
      <c r="B404" s="348"/>
      <c r="C404" s="313">
        <f t="shared" si="56"/>
        <v>1</v>
      </c>
      <c r="D404" s="1128"/>
      <c r="E404" s="313">
        <f t="shared" si="57"/>
        <v>0.05</v>
      </c>
      <c r="F404" s="1128"/>
      <c r="G404" s="313">
        <f t="shared" si="58"/>
        <v>0.1</v>
      </c>
      <c r="H404" s="1128"/>
      <c r="I404" s="313">
        <f t="shared" si="59"/>
        <v>1</v>
      </c>
      <c r="J404" s="1128"/>
      <c r="K404" s="313">
        <f t="shared" si="60"/>
        <v>1</v>
      </c>
      <c r="L404" s="1128"/>
      <c r="M404" s="313">
        <f t="shared" si="61"/>
        <v>1</v>
      </c>
      <c r="N404" s="1128"/>
      <c r="O404" s="313">
        <f t="shared" si="62"/>
        <v>1</v>
      </c>
      <c r="P404" s="1128"/>
      <c r="Q404" s="313">
        <f t="shared" si="63"/>
        <v>0.2</v>
      </c>
      <c r="R404" s="1124">
        <f t="shared" si="64"/>
        <v>0</v>
      </c>
      <c r="S404" s="698">
        <f t="shared" si="55"/>
        <v>0</v>
      </c>
    </row>
    <row r="405" spans="1:19">
      <c r="A405" s="491"/>
      <c r="B405" s="348"/>
      <c r="C405" s="313">
        <f t="shared" si="56"/>
        <v>1</v>
      </c>
      <c r="D405" s="1128"/>
      <c r="E405" s="313">
        <f t="shared" si="57"/>
        <v>0.05</v>
      </c>
      <c r="F405" s="1128"/>
      <c r="G405" s="313">
        <f t="shared" si="58"/>
        <v>0.1</v>
      </c>
      <c r="H405" s="1128"/>
      <c r="I405" s="313">
        <f t="shared" si="59"/>
        <v>1</v>
      </c>
      <c r="J405" s="1128"/>
      <c r="K405" s="313">
        <f t="shared" si="60"/>
        <v>1</v>
      </c>
      <c r="L405" s="1128"/>
      <c r="M405" s="313">
        <f t="shared" si="61"/>
        <v>1</v>
      </c>
      <c r="N405" s="1128"/>
      <c r="O405" s="313">
        <f t="shared" si="62"/>
        <v>1</v>
      </c>
      <c r="P405" s="1128"/>
      <c r="Q405" s="313">
        <f t="shared" si="63"/>
        <v>0.2</v>
      </c>
      <c r="R405" s="1124">
        <f t="shared" si="64"/>
        <v>0</v>
      </c>
      <c r="S405" s="698">
        <f t="shared" si="55"/>
        <v>0</v>
      </c>
    </row>
    <row r="406" spans="1:19">
      <c r="A406" s="491"/>
      <c r="B406" s="348"/>
      <c r="C406" s="313">
        <f t="shared" si="56"/>
        <v>1</v>
      </c>
      <c r="D406" s="1128"/>
      <c r="E406" s="313">
        <f t="shared" si="57"/>
        <v>0.05</v>
      </c>
      <c r="F406" s="1128"/>
      <c r="G406" s="313">
        <f t="shared" si="58"/>
        <v>0.1</v>
      </c>
      <c r="H406" s="1128"/>
      <c r="I406" s="313">
        <f t="shared" si="59"/>
        <v>1</v>
      </c>
      <c r="J406" s="1128"/>
      <c r="K406" s="313">
        <f t="shared" si="60"/>
        <v>1</v>
      </c>
      <c r="L406" s="1128"/>
      <c r="M406" s="313">
        <f t="shared" si="61"/>
        <v>1</v>
      </c>
      <c r="N406" s="1128"/>
      <c r="O406" s="313">
        <f t="shared" si="62"/>
        <v>1</v>
      </c>
      <c r="P406" s="1128"/>
      <c r="Q406" s="313">
        <f t="shared" si="63"/>
        <v>0.2</v>
      </c>
      <c r="R406" s="1124">
        <f t="shared" si="64"/>
        <v>0</v>
      </c>
      <c r="S406" s="698">
        <f t="shared" si="55"/>
        <v>0</v>
      </c>
    </row>
    <row r="407" spans="1:19">
      <c r="A407" s="491"/>
      <c r="B407" s="348"/>
      <c r="C407" s="313">
        <f t="shared" si="56"/>
        <v>1</v>
      </c>
      <c r="D407" s="1128"/>
      <c r="E407" s="313">
        <f t="shared" si="57"/>
        <v>0.05</v>
      </c>
      <c r="F407" s="1128"/>
      <c r="G407" s="313">
        <f t="shared" si="58"/>
        <v>0.1</v>
      </c>
      <c r="H407" s="1128"/>
      <c r="I407" s="313">
        <f t="shared" si="59"/>
        <v>1</v>
      </c>
      <c r="J407" s="1128"/>
      <c r="K407" s="313">
        <f t="shared" si="60"/>
        <v>1</v>
      </c>
      <c r="L407" s="1128"/>
      <c r="M407" s="313">
        <f t="shared" si="61"/>
        <v>1</v>
      </c>
      <c r="N407" s="1128"/>
      <c r="O407" s="313">
        <f t="shared" si="62"/>
        <v>1</v>
      </c>
      <c r="P407" s="1128"/>
      <c r="Q407" s="313">
        <f t="shared" si="63"/>
        <v>0.2</v>
      </c>
      <c r="R407" s="1124">
        <f t="shared" si="64"/>
        <v>0</v>
      </c>
      <c r="S407" s="698">
        <f t="shared" si="55"/>
        <v>0</v>
      </c>
    </row>
    <row r="408" spans="1:19">
      <c r="A408" s="491"/>
      <c r="B408" s="348"/>
      <c r="C408" s="313">
        <f t="shared" si="56"/>
        <v>1</v>
      </c>
      <c r="D408" s="1128"/>
      <c r="E408" s="313">
        <f t="shared" si="57"/>
        <v>0.05</v>
      </c>
      <c r="F408" s="1128"/>
      <c r="G408" s="313">
        <f t="shared" si="58"/>
        <v>0.1</v>
      </c>
      <c r="H408" s="1128"/>
      <c r="I408" s="313">
        <f t="shared" si="59"/>
        <v>1</v>
      </c>
      <c r="J408" s="1128"/>
      <c r="K408" s="313">
        <f t="shared" si="60"/>
        <v>1</v>
      </c>
      <c r="L408" s="1128"/>
      <c r="M408" s="313">
        <f t="shared" si="61"/>
        <v>1</v>
      </c>
      <c r="N408" s="1128"/>
      <c r="O408" s="313">
        <f t="shared" si="62"/>
        <v>1</v>
      </c>
      <c r="P408" s="1128"/>
      <c r="Q408" s="313">
        <f t="shared" si="63"/>
        <v>0.2</v>
      </c>
      <c r="R408" s="1124">
        <f t="shared" si="64"/>
        <v>0</v>
      </c>
      <c r="S408" s="698">
        <f t="shared" ref="S408:S471" si="65">ROUND(R408*B408/10000,0)</f>
        <v>0</v>
      </c>
    </row>
    <row r="409" spans="1:19">
      <c r="A409" s="491"/>
      <c r="B409" s="348"/>
      <c r="C409" s="313">
        <f t="shared" si="56"/>
        <v>1</v>
      </c>
      <c r="D409" s="1128"/>
      <c r="E409" s="313">
        <f t="shared" si="57"/>
        <v>0.05</v>
      </c>
      <c r="F409" s="1128"/>
      <c r="G409" s="313">
        <f t="shared" si="58"/>
        <v>0.1</v>
      </c>
      <c r="H409" s="1128"/>
      <c r="I409" s="313">
        <f t="shared" si="59"/>
        <v>1</v>
      </c>
      <c r="J409" s="1128"/>
      <c r="K409" s="313">
        <f t="shared" si="60"/>
        <v>1</v>
      </c>
      <c r="L409" s="1128"/>
      <c r="M409" s="313">
        <f t="shared" si="61"/>
        <v>1</v>
      </c>
      <c r="N409" s="1128"/>
      <c r="O409" s="313">
        <f t="shared" si="62"/>
        <v>1</v>
      </c>
      <c r="P409" s="1128"/>
      <c r="Q409" s="313">
        <f t="shared" si="63"/>
        <v>0.2</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0.05</v>
      </c>
      <c r="F410" s="1128"/>
      <c r="G410" s="313">
        <f t="shared" ref="G410:G473" si="68">(SUMIF($7:$7,F410,$8:$8)-SUMIF($7:$7,$F$24,$8:$8)+100)/100</f>
        <v>0.1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0.2</v>
      </c>
      <c r="R410" s="1124">
        <f t="shared" ref="R410:R473" si="74">IF(B410="",0,ROUND($R$24*C410*E410*G410*I410*K410*M410*O410*Q410,0))</f>
        <v>0</v>
      </c>
      <c r="S410" s="698">
        <f t="shared" si="65"/>
        <v>0</v>
      </c>
    </row>
    <row r="411" spans="1:19">
      <c r="A411" s="491"/>
      <c r="B411" s="348"/>
      <c r="C411" s="313">
        <f t="shared" si="66"/>
        <v>1</v>
      </c>
      <c r="D411" s="1128"/>
      <c r="E411" s="313">
        <f t="shared" si="67"/>
        <v>0.05</v>
      </c>
      <c r="F411" s="1128"/>
      <c r="G411" s="313">
        <f t="shared" si="68"/>
        <v>0.1</v>
      </c>
      <c r="H411" s="1128"/>
      <c r="I411" s="313">
        <f t="shared" si="69"/>
        <v>1</v>
      </c>
      <c r="J411" s="1128"/>
      <c r="K411" s="313">
        <f t="shared" si="70"/>
        <v>1</v>
      </c>
      <c r="L411" s="1128"/>
      <c r="M411" s="313">
        <f t="shared" si="71"/>
        <v>1</v>
      </c>
      <c r="N411" s="1128"/>
      <c r="O411" s="313">
        <f t="shared" si="72"/>
        <v>1</v>
      </c>
      <c r="P411" s="1128"/>
      <c r="Q411" s="313">
        <f t="shared" si="73"/>
        <v>0.2</v>
      </c>
      <c r="R411" s="1124">
        <f t="shared" si="74"/>
        <v>0</v>
      </c>
      <c r="S411" s="698">
        <f t="shared" si="65"/>
        <v>0</v>
      </c>
    </row>
    <row r="412" spans="1:19">
      <c r="A412" s="491"/>
      <c r="B412" s="348"/>
      <c r="C412" s="313">
        <f t="shared" si="66"/>
        <v>1</v>
      </c>
      <c r="D412" s="1128"/>
      <c r="E412" s="313">
        <f t="shared" si="67"/>
        <v>0.05</v>
      </c>
      <c r="F412" s="1128"/>
      <c r="G412" s="313">
        <f t="shared" si="68"/>
        <v>0.1</v>
      </c>
      <c r="H412" s="1128"/>
      <c r="I412" s="313">
        <f t="shared" si="69"/>
        <v>1</v>
      </c>
      <c r="J412" s="1128"/>
      <c r="K412" s="313">
        <f t="shared" si="70"/>
        <v>1</v>
      </c>
      <c r="L412" s="1128"/>
      <c r="M412" s="313">
        <f t="shared" si="71"/>
        <v>1</v>
      </c>
      <c r="N412" s="1128"/>
      <c r="O412" s="313">
        <f t="shared" si="72"/>
        <v>1</v>
      </c>
      <c r="P412" s="1128"/>
      <c r="Q412" s="313">
        <f t="shared" si="73"/>
        <v>0.2</v>
      </c>
      <c r="R412" s="1124">
        <f t="shared" si="74"/>
        <v>0</v>
      </c>
      <c r="S412" s="698">
        <f t="shared" si="65"/>
        <v>0</v>
      </c>
    </row>
    <row r="413" spans="1:19">
      <c r="A413" s="491"/>
      <c r="B413" s="348"/>
      <c r="C413" s="313">
        <f t="shared" si="66"/>
        <v>1</v>
      </c>
      <c r="D413" s="1128"/>
      <c r="E413" s="313">
        <f t="shared" si="67"/>
        <v>0.05</v>
      </c>
      <c r="F413" s="1128"/>
      <c r="G413" s="313">
        <f t="shared" si="68"/>
        <v>0.1</v>
      </c>
      <c r="H413" s="1128"/>
      <c r="I413" s="313">
        <f t="shared" si="69"/>
        <v>1</v>
      </c>
      <c r="J413" s="1128"/>
      <c r="K413" s="313">
        <f t="shared" si="70"/>
        <v>1</v>
      </c>
      <c r="L413" s="1128"/>
      <c r="M413" s="313">
        <f t="shared" si="71"/>
        <v>1</v>
      </c>
      <c r="N413" s="1128"/>
      <c r="O413" s="313">
        <f t="shared" si="72"/>
        <v>1</v>
      </c>
      <c r="P413" s="1128"/>
      <c r="Q413" s="313">
        <f t="shared" si="73"/>
        <v>0.2</v>
      </c>
      <c r="R413" s="1124">
        <f t="shared" si="74"/>
        <v>0</v>
      </c>
      <c r="S413" s="698">
        <f t="shared" si="65"/>
        <v>0</v>
      </c>
    </row>
    <row r="414" spans="1:19">
      <c r="A414" s="491"/>
      <c r="B414" s="348"/>
      <c r="C414" s="313">
        <f t="shared" si="66"/>
        <v>1</v>
      </c>
      <c r="D414" s="1128"/>
      <c r="E414" s="313">
        <f t="shared" si="67"/>
        <v>0.05</v>
      </c>
      <c r="F414" s="1128"/>
      <c r="G414" s="313">
        <f t="shared" si="68"/>
        <v>0.1</v>
      </c>
      <c r="H414" s="1128"/>
      <c r="I414" s="313">
        <f t="shared" si="69"/>
        <v>1</v>
      </c>
      <c r="J414" s="1128"/>
      <c r="K414" s="313">
        <f t="shared" si="70"/>
        <v>1</v>
      </c>
      <c r="L414" s="1128"/>
      <c r="M414" s="313">
        <f t="shared" si="71"/>
        <v>1</v>
      </c>
      <c r="N414" s="1128"/>
      <c r="O414" s="313">
        <f t="shared" si="72"/>
        <v>1</v>
      </c>
      <c r="P414" s="1128"/>
      <c r="Q414" s="313">
        <f t="shared" si="73"/>
        <v>0.2</v>
      </c>
      <c r="R414" s="1124">
        <f t="shared" si="74"/>
        <v>0</v>
      </c>
      <c r="S414" s="698">
        <f t="shared" si="65"/>
        <v>0</v>
      </c>
    </row>
    <row r="415" spans="1:19">
      <c r="A415" s="491"/>
      <c r="B415" s="348"/>
      <c r="C415" s="313">
        <f t="shared" si="66"/>
        <v>1</v>
      </c>
      <c r="D415" s="1128"/>
      <c r="E415" s="313">
        <f t="shared" si="67"/>
        <v>0.05</v>
      </c>
      <c r="F415" s="1128"/>
      <c r="G415" s="313">
        <f t="shared" si="68"/>
        <v>0.1</v>
      </c>
      <c r="H415" s="1128"/>
      <c r="I415" s="313">
        <f t="shared" si="69"/>
        <v>1</v>
      </c>
      <c r="J415" s="1128"/>
      <c r="K415" s="313">
        <f t="shared" si="70"/>
        <v>1</v>
      </c>
      <c r="L415" s="1128"/>
      <c r="M415" s="313">
        <f t="shared" si="71"/>
        <v>1</v>
      </c>
      <c r="N415" s="1128"/>
      <c r="O415" s="313">
        <f t="shared" si="72"/>
        <v>1</v>
      </c>
      <c r="P415" s="1128"/>
      <c r="Q415" s="313">
        <f t="shared" si="73"/>
        <v>0.2</v>
      </c>
      <c r="R415" s="1124">
        <f t="shared" si="74"/>
        <v>0</v>
      </c>
      <c r="S415" s="698">
        <f t="shared" si="65"/>
        <v>0</v>
      </c>
    </row>
    <row r="416" spans="1:19">
      <c r="A416" s="491"/>
      <c r="B416" s="348"/>
      <c r="C416" s="313">
        <f t="shared" si="66"/>
        <v>1</v>
      </c>
      <c r="D416" s="1128"/>
      <c r="E416" s="313">
        <f t="shared" si="67"/>
        <v>0.05</v>
      </c>
      <c r="F416" s="1128"/>
      <c r="G416" s="313">
        <f t="shared" si="68"/>
        <v>0.1</v>
      </c>
      <c r="H416" s="1128"/>
      <c r="I416" s="313">
        <f t="shared" si="69"/>
        <v>1</v>
      </c>
      <c r="J416" s="1128"/>
      <c r="K416" s="313">
        <f t="shared" si="70"/>
        <v>1</v>
      </c>
      <c r="L416" s="1128"/>
      <c r="M416" s="313">
        <f t="shared" si="71"/>
        <v>1</v>
      </c>
      <c r="N416" s="1128"/>
      <c r="O416" s="313">
        <f t="shared" si="72"/>
        <v>1</v>
      </c>
      <c r="P416" s="1128"/>
      <c r="Q416" s="313">
        <f t="shared" si="73"/>
        <v>0.2</v>
      </c>
      <c r="R416" s="1124">
        <f t="shared" si="74"/>
        <v>0</v>
      </c>
      <c r="S416" s="698">
        <f t="shared" si="65"/>
        <v>0</v>
      </c>
    </row>
    <row r="417" spans="1:19">
      <c r="A417" s="491"/>
      <c r="B417" s="348"/>
      <c r="C417" s="313">
        <f t="shared" si="66"/>
        <v>1</v>
      </c>
      <c r="D417" s="1128"/>
      <c r="E417" s="313">
        <f t="shared" si="67"/>
        <v>0.05</v>
      </c>
      <c r="F417" s="1128"/>
      <c r="G417" s="313">
        <f t="shared" si="68"/>
        <v>0.1</v>
      </c>
      <c r="H417" s="1128"/>
      <c r="I417" s="313">
        <f t="shared" si="69"/>
        <v>1</v>
      </c>
      <c r="J417" s="1128"/>
      <c r="K417" s="313">
        <f t="shared" si="70"/>
        <v>1</v>
      </c>
      <c r="L417" s="1128"/>
      <c r="M417" s="313">
        <f t="shared" si="71"/>
        <v>1</v>
      </c>
      <c r="N417" s="1128"/>
      <c r="O417" s="313">
        <f t="shared" si="72"/>
        <v>1</v>
      </c>
      <c r="P417" s="1128"/>
      <c r="Q417" s="313">
        <f t="shared" si="73"/>
        <v>0.2</v>
      </c>
      <c r="R417" s="1124">
        <f t="shared" si="74"/>
        <v>0</v>
      </c>
      <c r="S417" s="698">
        <f t="shared" si="65"/>
        <v>0</v>
      </c>
    </row>
    <row r="418" spans="1:19">
      <c r="A418" s="491"/>
      <c r="B418" s="348"/>
      <c r="C418" s="313">
        <f t="shared" si="66"/>
        <v>1</v>
      </c>
      <c r="D418" s="1128"/>
      <c r="E418" s="313">
        <f t="shared" si="67"/>
        <v>0.05</v>
      </c>
      <c r="F418" s="1128"/>
      <c r="G418" s="313">
        <f t="shared" si="68"/>
        <v>0.1</v>
      </c>
      <c r="H418" s="1128"/>
      <c r="I418" s="313">
        <f t="shared" si="69"/>
        <v>1</v>
      </c>
      <c r="J418" s="1128"/>
      <c r="K418" s="313">
        <f t="shared" si="70"/>
        <v>1</v>
      </c>
      <c r="L418" s="1128"/>
      <c r="M418" s="313">
        <f t="shared" si="71"/>
        <v>1</v>
      </c>
      <c r="N418" s="1128"/>
      <c r="O418" s="313">
        <f t="shared" si="72"/>
        <v>1</v>
      </c>
      <c r="P418" s="1128"/>
      <c r="Q418" s="313">
        <f t="shared" si="73"/>
        <v>0.2</v>
      </c>
      <c r="R418" s="1124">
        <f t="shared" si="74"/>
        <v>0</v>
      </c>
      <c r="S418" s="698">
        <f t="shared" si="65"/>
        <v>0</v>
      </c>
    </row>
    <row r="419" spans="1:19">
      <c r="A419" s="491"/>
      <c r="B419" s="348"/>
      <c r="C419" s="313">
        <f t="shared" si="66"/>
        <v>1</v>
      </c>
      <c r="D419" s="1128"/>
      <c r="E419" s="313">
        <f t="shared" si="67"/>
        <v>0.05</v>
      </c>
      <c r="F419" s="1128"/>
      <c r="G419" s="313">
        <f t="shared" si="68"/>
        <v>0.1</v>
      </c>
      <c r="H419" s="1128"/>
      <c r="I419" s="313">
        <f t="shared" si="69"/>
        <v>1</v>
      </c>
      <c r="J419" s="1128"/>
      <c r="K419" s="313">
        <f t="shared" si="70"/>
        <v>1</v>
      </c>
      <c r="L419" s="1128"/>
      <c r="M419" s="313">
        <f t="shared" si="71"/>
        <v>1</v>
      </c>
      <c r="N419" s="1128"/>
      <c r="O419" s="313">
        <f t="shared" si="72"/>
        <v>1</v>
      </c>
      <c r="P419" s="1128"/>
      <c r="Q419" s="313">
        <f t="shared" si="73"/>
        <v>0.2</v>
      </c>
      <c r="R419" s="1124">
        <f t="shared" si="74"/>
        <v>0</v>
      </c>
      <c r="S419" s="698">
        <f t="shared" si="65"/>
        <v>0</v>
      </c>
    </row>
    <row r="420" spans="1:19">
      <c r="A420" s="491"/>
      <c r="B420" s="348"/>
      <c r="C420" s="313">
        <f t="shared" si="66"/>
        <v>1</v>
      </c>
      <c r="D420" s="1128"/>
      <c r="E420" s="313">
        <f t="shared" si="67"/>
        <v>0.05</v>
      </c>
      <c r="F420" s="1128"/>
      <c r="G420" s="313">
        <f t="shared" si="68"/>
        <v>0.1</v>
      </c>
      <c r="H420" s="1128"/>
      <c r="I420" s="313">
        <f t="shared" si="69"/>
        <v>1</v>
      </c>
      <c r="J420" s="1128"/>
      <c r="K420" s="313">
        <f t="shared" si="70"/>
        <v>1</v>
      </c>
      <c r="L420" s="1128"/>
      <c r="M420" s="313">
        <f t="shared" si="71"/>
        <v>1</v>
      </c>
      <c r="N420" s="1128"/>
      <c r="O420" s="313">
        <f t="shared" si="72"/>
        <v>1</v>
      </c>
      <c r="P420" s="1128"/>
      <c r="Q420" s="313">
        <f t="shared" si="73"/>
        <v>0.2</v>
      </c>
      <c r="R420" s="1124">
        <f t="shared" si="74"/>
        <v>0</v>
      </c>
      <c r="S420" s="698">
        <f t="shared" si="65"/>
        <v>0</v>
      </c>
    </row>
    <row r="421" spans="1:19">
      <c r="A421" s="491"/>
      <c r="B421" s="348"/>
      <c r="C421" s="313">
        <f t="shared" si="66"/>
        <v>1</v>
      </c>
      <c r="D421" s="1128"/>
      <c r="E421" s="313">
        <f t="shared" si="67"/>
        <v>0.05</v>
      </c>
      <c r="F421" s="1128"/>
      <c r="G421" s="313">
        <f t="shared" si="68"/>
        <v>0.1</v>
      </c>
      <c r="H421" s="1128"/>
      <c r="I421" s="313">
        <f t="shared" si="69"/>
        <v>1</v>
      </c>
      <c r="J421" s="1128"/>
      <c r="K421" s="313">
        <f t="shared" si="70"/>
        <v>1</v>
      </c>
      <c r="L421" s="1128"/>
      <c r="M421" s="313">
        <f t="shared" si="71"/>
        <v>1</v>
      </c>
      <c r="N421" s="1128"/>
      <c r="O421" s="313">
        <f t="shared" si="72"/>
        <v>1</v>
      </c>
      <c r="P421" s="1128"/>
      <c r="Q421" s="313">
        <f t="shared" si="73"/>
        <v>0.2</v>
      </c>
      <c r="R421" s="1124">
        <f t="shared" si="74"/>
        <v>0</v>
      </c>
      <c r="S421" s="698">
        <f t="shared" si="65"/>
        <v>0</v>
      </c>
    </row>
    <row r="422" spans="1:19">
      <c r="A422" s="491"/>
      <c r="B422" s="348"/>
      <c r="C422" s="313">
        <f t="shared" si="66"/>
        <v>1</v>
      </c>
      <c r="D422" s="1128"/>
      <c r="E422" s="313">
        <f t="shared" si="67"/>
        <v>0.05</v>
      </c>
      <c r="F422" s="1128"/>
      <c r="G422" s="313">
        <f t="shared" si="68"/>
        <v>0.1</v>
      </c>
      <c r="H422" s="1128"/>
      <c r="I422" s="313">
        <f t="shared" si="69"/>
        <v>1</v>
      </c>
      <c r="J422" s="1128"/>
      <c r="K422" s="313">
        <f t="shared" si="70"/>
        <v>1</v>
      </c>
      <c r="L422" s="1128"/>
      <c r="M422" s="313">
        <f t="shared" si="71"/>
        <v>1</v>
      </c>
      <c r="N422" s="1128"/>
      <c r="O422" s="313">
        <f t="shared" si="72"/>
        <v>1</v>
      </c>
      <c r="P422" s="1128"/>
      <c r="Q422" s="313">
        <f t="shared" si="73"/>
        <v>0.2</v>
      </c>
      <c r="R422" s="1124">
        <f t="shared" si="74"/>
        <v>0</v>
      </c>
      <c r="S422" s="698">
        <f t="shared" si="65"/>
        <v>0</v>
      </c>
    </row>
    <row r="423" spans="1:19">
      <c r="A423" s="491"/>
      <c r="B423" s="348"/>
      <c r="C423" s="313">
        <f t="shared" si="66"/>
        <v>1</v>
      </c>
      <c r="D423" s="1128"/>
      <c r="E423" s="313">
        <f t="shared" si="67"/>
        <v>0.05</v>
      </c>
      <c r="F423" s="1128"/>
      <c r="G423" s="313">
        <f t="shared" si="68"/>
        <v>0.1</v>
      </c>
      <c r="H423" s="1128"/>
      <c r="I423" s="313">
        <f t="shared" si="69"/>
        <v>1</v>
      </c>
      <c r="J423" s="1128"/>
      <c r="K423" s="313">
        <f t="shared" si="70"/>
        <v>1</v>
      </c>
      <c r="L423" s="1128"/>
      <c r="M423" s="313">
        <f t="shared" si="71"/>
        <v>1</v>
      </c>
      <c r="N423" s="1128"/>
      <c r="O423" s="313">
        <f t="shared" si="72"/>
        <v>1</v>
      </c>
      <c r="P423" s="1128"/>
      <c r="Q423" s="313">
        <f t="shared" si="73"/>
        <v>0.2</v>
      </c>
      <c r="R423" s="1124">
        <f t="shared" si="74"/>
        <v>0</v>
      </c>
      <c r="S423" s="698">
        <f t="shared" si="65"/>
        <v>0</v>
      </c>
    </row>
    <row r="424" spans="1:19">
      <c r="A424" s="491"/>
      <c r="B424" s="348"/>
      <c r="C424" s="313">
        <f t="shared" si="66"/>
        <v>1</v>
      </c>
      <c r="D424" s="1128"/>
      <c r="E424" s="313">
        <f t="shared" si="67"/>
        <v>0.05</v>
      </c>
      <c r="F424" s="1128"/>
      <c r="G424" s="313">
        <f t="shared" si="68"/>
        <v>0.1</v>
      </c>
      <c r="H424" s="1128"/>
      <c r="I424" s="313">
        <f t="shared" si="69"/>
        <v>1</v>
      </c>
      <c r="J424" s="1128"/>
      <c r="K424" s="313">
        <f t="shared" si="70"/>
        <v>1</v>
      </c>
      <c r="L424" s="1128"/>
      <c r="M424" s="313">
        <f t="shared" si="71"/>
        <v>1</v>
      </c>
      <c r="N424" s="1128"/>
      <c r="O424" s="313">
        <f t="shared" si="72"/>
        <v>1</v>
      </c>
      <c r="P424" s="1128"/>
      <c r="Q424" s="313">
        <f t="shared" si="73"/>
        <v>0.2</v>
      </c>
      <c r="R424" s="1124">
        <f t="shared" si="74"/>
        <v>0</v>
      </c>
      <c r="S424" s="698">
        <f t="shared" si="65"/>
        <v>0</v>
      </c>
    </row>
    <row r="425" spans="1:19">
      <c r="A425" s="491"/>
      <c r="B425" s="348"/>
      <c r="C425" s="313">
        <f t="shared" si="66"/>
        <v>1</v>
      </c>
      <c r="D425" s="1128"/>
      <c r="E425" s="313">
        <f t="shared" si="67"/>
        <v>0.05</v>
      </c>
      <c r="F425" s="1128"/>
      <c r="G425" s="313">
        <f t="shared" si="68"/>
        <v>0.1</v>
      </c>
      <c r="H425" s="1128"/>
      <c r="I425" s="313">
        <f t="shared" si="69"/>
        <v>1</v>
      </c>
      <c r="J425" s="1128"/>
      <c r="K425" s="313">
        <f t="shared" si="70"/>
        <v>1</v>
      </c>
      <c r="L425" s="1128"/>
      <c r="M425" s="313">
        <f t="shared" si="71"/>
        <v>1</v>
      </c>
      <c r="N425" s="1128"/>
      <c r="O425" s="313">
        <f t="shared" si="72"/>
        <v>1</v>
      </c>
      <c r="P425" s="1128"/>
      <c r="Q425" s="313">
        <f t="shared" si="73"/>
        <v>0.2</v>
      </c>
      <c r="R425" s="1124">
        <f t="shared" si="74"/>
        <v>0</v>
      </c>
      <c r="S425" s="698">
        <f t="shared" si="65"/>
        <v>0</v>
      </c>
    </row>
    <row r="426" spans="1:19">
      <c r="A426" s="491"/>
      <c r="B426" s="348"/>
      <c r="C426" s="313">
        <f t="shared" si="66"/>
        <v>1</v>
      </c>
      <c r="D426" s="1128"/>
      <c r="E426" s="313">
        <f t="shared" si="67"/>
        <v>0.05</v>
      </c>
      <c r="F426" s="1128"/>
      <c r="G426" s="313">
        <f t="shared" si="68"/>
        <v>0.1</v>
      </c>
      <c r="H426" s="1128"/>
      <c r="I426" s="313">
        <f t="shared" si="69"/>
        <v>1</v>
      </c>
      <c r="J426" s="1128"/>
      <c r="K426" s="313">
        <f t="shared" si="70"/>
        <v>1</v>
      </c>
      <c r="L426" s="1128"/>
      <c r="M426" s="313">
        <f t="shared" si="71"/>
        <v>1</v>
      </c>
      <c r="N426" s="1128"/>
      <c r="O426" s="313">
        <f t="shared" si="72"/>
        <v>1</v>
      </c>
      <c r="P426" s="1128"/>
      <c r="Q426" s="313">
        <f t="shared" si="73"/>
        <v>0.2</v>
      </c>
      <c r="R426" s="1124">
        <f t="shared" si="74"/>
        <v>0</v>
      </c>
      <c r="S426" s="698">
        <f t="shared" si="65"/>
        <v>0</v>
      </c>
    </row>
    <row r="427" spans="1:19">
      <c r="A427" s="491"/>
      <c r="B427" s="348"/>
      <c r="C427" s="313">
        <f t="shared" si="66"/>
        <v>1</v>
      </c>
      <c r="D427" s="1128"/>
      <c r="E427" s="313">
        <f t="shared" si="67"/>
        <v>0.05</v>
      </c>
      <c r="F427" s="1128"/>
      <c r="G427" s="313">
        <f t="shared" si="68"/>
        <v>0.1</v>
      </c>
      <c r="H427" s="1128"/>
      <c r="I427" s="313">
        <f t="shared" si="69"/>
        <v>1</v>
      </c>
      <c r="J427" s="1128"/>
      <c r="K427" s="313">
        <f t="shared" si="70"/>
        <v>1</v>
      </c>
      <c r="L427" s="1128"/>
      <c r="M427" s="313">
        <f t="shared" si="71"/>
        <v>1</v>
      </c>
      <c r="N427" s="1128"/>
      <c r="O427" s="313">
        <f t="shared" si="72"/>
        <v>1</v>
      </c>
      <c r="P427" s="1128"/>
      <c r="Q427" s="313">
        <f t="shared" si="73"/>
        <v>0.2</v>
      </c>
      <c r="R427" s="1124">
        <f t="shared" si="74"/>
        <v>0</v>
      </c>
      <c r="S427" s="698">
        <f t="shared" si="65"/>
        <v>0</v>
      </c>
    </row>
    <row r="428" spans="1:19">
      <c r="A428" s="491"/>
      <c r="B428" s="348"/>
      <c r="C428" s="313">
        <f t="shared" si="66"/>
        <v>1</v>
      </c>
      <c r="D428" s="1128"/>
      <c r="E428" s="313">
        <f t="shared" si="67"/>
        <v>0.05</v>
      </c>
      <c r="F428" s="1128"/>
      <c r="G428" s="313">
        <f t="shared" si="68"/>
        <v>0.1</v>
      </c>
      <c r="H428" s="1128"/>
      <c r="I428" s="313">
        <f t="shared" si="69"/>
        <v>1</v>
      </c>
      <c r="J428" s="1128"/>
      <c r="K428" s="313">
        <f t="shared" si="70"/>
        <v>1</v>
      </c>
      <c r="L428" s="1128"/>
      <c r="M428" s="313">
        <f t="shared" si="71"/>
        <v>1</v>
      </c>
      <c r="N428" s="1128"/>
      <c r="O428" s="313">
        <f t="shared" si="72"/>
        <v>1</v>
      </c>
      <c r="P428" s="1128"/>
      <c r="Q428" s="313">
        <f t="shared" si="73"/>
        <v>0.2</v>
      </c>
      <c r="R428" s="1124">
        <f t="shared" si="74"/>
        <v>0</v>
      </c>
      <c r="S428" s="698">
        <f t="shared" si="65"/>
        <v>0</v>
      </c>
    </row>
    <row r="429" spans="1:19">
      <c r="A429" s="491"/>
      <c r="B429" s="348"/>
      <c r="C429" s="313">
        <f t="shared" si="66"/>
        <v>1</v>
      </c>
      <c r="D429" s="1128"/>
      <c r="E429" s="313">
        <f t="shared" si="67"/>
        <v>0.05</v>
      </c>
      <c r="F429" s="1128"/>
      <c r="G429" s="313">
        <f t="shared" si="68"/>
        <v>0.1</v>
      </c>
      <c r="H429" s="1128"/>
      <c r="I429" s="313">
        <f t="shared" si="69"/>
        <v>1</v>
      </c>
      <c r="J429" s="1128"/>
      <c r="K429" s="313">
        <f t="shared" si="70"/>
        <v>1</v>
      </c>
      <c r="L429" s="1128"/>
      <c r="M429" s="313">
        <f t="shared" si="71"/>
        <v>1</v>
      </c>
      <c r="N429" s="1128"/>
      <c r="O429" s="313">
        <f t="shared" si="72"/>
        <v>1</v>
      </c>
      <c r="P429" s="1128"/>
      <c r="Q429" s="313">
        <f t="shared" si="73"/>
        <v>0.2</v>
      </c>
      <c r="R429" s="1124">
        <f t="shared" si="74"/>
        <v>0</v>
      </c>
      <c r="S429" s="698">
        <f t="shared" si="65"/>
        <v>0</v>
      </c>
    </row>
    <row r="430" spans="1:19">
      <c r="A430" s="491"/>
      <c r="B430" s="348"/>
      <c r="C430" s="313">
        <f t="shared" si="66"/>
        <v>1</v>
      </c>
      <c r="D430" s="1128"/>
      <c r="E430" s="313">
        <f t="shared" si="67"/>
        <v>0.05</v>
      </c>
      <c r="F430" s="1128"/>
      <c r="G430" s="313">
        <f t="shared" si="68"/>
        <v>0.1</v>
      </c>
      <c r="H430" s="1128"/>
      <c r="I430" s="313">
        <f t="shared" si="69"/>
        <v>1</v>
      </c>
      <c r="J430" s="1128"/>
      <c r="K430" s="313">
        <f t="shared" si="70"/>
        <v>1</v>
      </c>
      <c r="L430" s="1128"/>
      <c r="M430" s="313">
        <f t="shared" si="71"/>
        <v>1</v>
      </c>
      <c r="N430" s="1128"/>
      <c r="O430" s="313">
        <f t="shared" si="72"/>
        <v>1</v>
      </c>
      <c r="P430" s="1128"/>
      <c r="Q430" s="313">
        <f t="shared" si="73"/>
        <v>0.2</v>
      </c>
      <c r="R430" s="1124">
        <f t="shared" si="74"/>
        <v>0</v>
      </c>
      <c r="S430" s="698">
        <f t="shared" si="65"/>
        <v>0</v>
      </c>
    </row>
    <row r="431" spans="1:19">
      <c r="A431" s="491"/>
      <c r="B431" s="348"/>
      <c r="C431" s="313">
        <f t="shared" si="66"/>
        <v>1</v>
      </c>
      <c r="D431" s="1128"/>
      <c r="E431" s="313">
        <f t="shared" si="67"/>
        <v>0.05</v>
      </c>
      <c r="F431" s="1128"/>
      <c r="G431" s="313">
        <f t="shared" si="68"/>
        <v>0.1</v>
      </c>
      <c r="H431" s="1128"/>
      <c r="I431" s="313">
        <f t="shared" si="69"/>
        <v>1</v>
      </c>
      <c r="J431" s="1128"/>
      <c r="K431" s="313">
        <f t="shared" si="70"/>
        <v>1</v>
      </c>
      <c r="L431" s="1128"/>
      <c r="M431" s="313">
        <f t="shared" si="71"/>
        <v>1</v>
      </c>
      <c r="N431" s="1128"/>
      <c r="O431" s="313">
        <f t="shared" si="72"/>
        <v>1</v>
      </c>
      <c r="P431" s="1128"/>
      <c r="Q431" s="313">
        <f t="shared" si="73"/>
        <v>0.2</v>
      </c>
      <c r="R431" s="1124">
        <f t="shared" si="74"/>
        <v>0</v>
      </c>
      <c r="S431" s="698">
        <f t="shared" si="65"/>
        <v>0</v>
      </c>
    </row>
    <row r="432" spans="1:19">
      <c r="A432" s="491"/>
      <c r="B432" s="348"/>
      <c r="C432" s="313">
        <f t="shared" si="66"/>
        <v>1</v>
      </c>
      <c r="D432" s="1128"/>
      <c r="E432" s="313">
        <f t="shared" si="67"/>
        <v>0.05</v>
      </c>
      <c r="F432" s="1128"/>
      <c r="G432" s="313">
        <f t="shared" si="68"/>
        <v>0.1</v>
      </c>
      <c r="H432" s="1128"/>
      <c r="I432" s="313">
        <f t="shared" si="69"/>
        <v>1</v>
      </c>
      <c r="J432" s="1128"/>
      <c r="K432" s="313">
        <f t="shared" si="70"/>
        <v>1</v>
      </c>
      <c r="L432" s="1128"/>
      <c r="M432" s="313">
        <f t="shared" si="71"/>
        <v>1</v>
      </c>
      <c r="N432" s="1128"/>
      <c r="O432" s="313">
        <f t="shared" si="72"/>
        <v>1</v>
      </c>
      <c r="P432" s="1128"/>
      <c r="Q432" s="313">
        <f t="shared" si="73"/>
        <v>0.2</v>
      </c>
      <c r="R432" s="1124">
        <f t="shared" si="74"/>
        <v>0</v>
      </c>
      <c r="S432" s="698">
        <f t="shared" si="65"/>
        <v>0</v>
      </c>
    </row>
    <row r="433" spans="1:19">
      <c r="A433" s="491"/>
      <c r="B433" s="348"/>
      <c r="C433" s="313">
        <f t="shared" si="66"/>
        <v>1</v>
      </c>
      <c r="D433" s="1128"/>
      <c r="E433" s="313">
        <f t="shared" si="67"/>
        <v>0.05</v>
      </c>
      <c r="F433" s="1128"/>
      <c r="G433" s="313">
        <f t="shared" si="68"/>
        <v>0.1</v>
      </c>
      <c r="H433" s="1128"/>
      <c r="I433" s="313">
        <f t="shared" si="69"/>
        <v>1</v>
      </c>
      <c r="J433" s="1128"/>
      <c r="K433" s="313">
        <f t="shared" si="70"/>
        <v>1</v>
      </c>
      <c r="L433" s="1128"/>
      <c r="M433" s="313">
        <f t="shared" si="71"/>
        <v>1</v>
      </c>
      <c r="N433" s="1128"/>
      <c r="O433" s="313">
        <f t="shared" si="72"/>
        <v>1</v>
      </c>
      <c r="P433" s="1128"/>
      <c r="Q433" s="313">
        <f t="shared" si="73"/>
        <v>0.2</v>
      </c>
      <c r="R433" s="1124">
        <f t="shared" si="74"/>
        <v>0</v>
      </c>
      <c r="S433" s="698">
        <f t="shared" si="65"/>
        <v>0</v>
      </c>
    </row>
    <row r="434" spans="1:19">
      <c r="A434" s="491"/>
      <c r="B434" s="348"/>
      <c r="C434" s="313">
        <f t="shared" si="66"/>
        <v>1</v>
      </c>
      <c r="D434" s="1128"/>
      <c r="E434" s="313">
        <f t="shared" si="67"/>
        <v>0.05</v>
      </c>
      <c r="F434" s="1128"/>
      <c r="G434" s="313">
        <f t="shared" si="68"/>
        <v>0.1</v>
      </c>
      <c r="H434" s="1128"/>
      <c r="I434" s="313">
        <f t="shared" si="69"/>
        <v>1</v>
      </c>
      <c r="J434" s="1128"/>
      <c r="K434" s="313">
        <f t="shared" si="70"/>
        <v>1</v>
      </c>
      <c r="L434" s="1128"/>
      <c r="M434" s="313">
        <f t="shared" si="71"/>
        <v>1</v>
      </c>
      <c r="N434" s="1128"/>
      <c r="O434" s="313">
        <f t="shared" si="72"/>
        <v>1</v>
      </c>
      <c r="P434" s="1128"/>
      <c r="Q434" s="313">
        <f t="shared" si="73"/>
        <v>0.2</v>
      </c>
      <c r="R434" s="1124">
        <f t="shared" si="74"/>
        <v>0</v>
      </c>
      <c r="S434" s="698">
        <f t="shared" si="65"/>
        <v>0</v>
      </c>
    </row>
    <row r="435" spans="1:19">
      <c r="A435" s="491"/>
      <c r="B435" s="348"/>
      <c r="C435" s="313">
        <f t="shared" si="66"/>
        <v>1</v>
      </c>
      <c r="D435" s="1128"/>
      <c r="E435" s="313">
        <f t="shared" si="67"/>
        <v>0.05</v>
      </c>
      <c r="F435" s="1128"/>
      <c r="G435" s="313">
        <f t="shared" si="68"/>
        <v>0.1</v>
      </c>
      <c r="H435" s="1128"/>
      <c r="I435" s="313">
        <f t="shared" si="69"/>
        <v>1</v>
      </c>
      <c r="J435" s="1128"/>
      <c r="K435" s="313">
        <f t="shared" si="70"/>
        <v>1</v>
      </c>
      <c r="L435" s="1128"/>
      <c r="M435" s="313">
        <f t="shared" si="71"/>
        <v>1</v>
      </c>
      <c r="N435" s="1128"/>
      <c r="O435" s="313">
        <f t="shared" si="72"/>
        <v>1</v>
      </c>
      <c r="P435" s="1128"/>
      <c r="Q435" s="313">
        <f t="shared" si="73"/>
        <v>0.2</v>
      </c>
      <c r="R435" s="1124">
        <f t="shared" si="74"/>
        <v>0</v>
      </c>
      <c r="S435" s="698">
        <f t="shared" si="65"/>
        <v>0</v>
      </c>
    </row>
    <row r="436" spans="1:19">
      <c r="A436" s="491"/>
      <c r="B436" s="348"/>
      <c r="C436" s="313">
        <f t="shared" si="66"/>
        <v>1</v>
      </c>
      <c r="D436" s="1128"/>
      <c r="E436" s="313">
        <f t="shared" si="67"/>
        <v>0.05</v>
      </c>
      <c r="F436" s="1128"/>
      <c r="G436" s="313">
        <f t="shared" si="68"/>
        <v>0.1</v>
      </c>
      <c r="H436" s="1128"/>
      <c r="I436" s="313">
        <f t="shared" si="69"/>
        <v>1</v>
      </c>
      <c r="J436" s="1128"/>
      <c r="K436" s="313">
        <f t="shared" si="70"/>
        <v>1</v>
      </c>
      <c r="L436" s="1128"/>
      <c r="M436" s="313">
        <f t="shared" si="71"/>
        <v>1</v>
      </c>
      <c r="N436" s="1128"/>
      <c r="O436" s="313">
        <f t="shared" si="72"/>
        <v>1</v>
      </c>
      <c r="P436" s="1128"/>
      <c r="Q436" s="313">
        <f t="shared" si="73"/>
        <v>0.2</v>
      </c>
      <c r="R436" s="1124">
        <f t="shared" si="74"/>
        <v>0</v>
      </c>
      <c r="S436" s="698">
        <f t="shared" si="65"/>
        <v>0</v>
      </c>
    </row>
    <row r="437" spans="1:19">
      <c r="A437" s="491"/>
      <c r="B437" s="348"/>
      <c r="C437" s="313">
        <f t="shared" si="66"/>
        <v>1</v>
      </c>
      <c r="D437" s="1128"/>
      <c r="E437" s="313">
        <f t="shared" si="67"/>
        <v>0.05</v>
      </c>
      <c r="F437" s="1128"/>
      <c r="G437" s="313">
        <f t="shared" si="68"/>
        <v>0.1</v>
      </c>
      <c r="H437" s="1128"/>
      <c r="I437" s="313">
        <f t="shared" si="69"/>
        <v>1</v>
      </c>
      <c r="J437" s="1128"/>
      <c r="K437" s="313">
        <f t="shared" si="70"/>
        <v>1</v>
      </c>
      <c r="L437" s="1128"/>
      <c r="M437" s="313">
        <f t="shared" si="71"/>
        <v>1</v>
      </c>
      <c r="N437" s="1128"/>
      <c r="O437" s="313">
        <f t="shared" si="72"/>
        <v>1</v>
      </c>
      <c r="P437" s="1128"/>
      <c r="Q437" s="313">
        <f t="shared" si="73"/>
        <v>0.2</v>
      </c>
      <c r="R437" s="1124">
        <f t="shared" si="74"/>
        <v>0</v>
      </c>
      <c r="S437" s="698">
        <f t="shared" si="65"/>
        <v>0</v>
      </c>
    </row>
    <row r="438" spans="1:19">
      <c r="A438" s="491"/>
      <c r="B438" s="348"/>
      <c r="C438" s="313">
        <f t="shared" si="66"/>
        <v>1</v>
      </c>
      <c r="D438" s="1128"/>
      <c r="E438" s="313">
        <f t="shared" si="67"/>
        <v>0.05</v>
      </c>
      <c r="F438" s="1128"/>
      <c r="G438" s="313">
        <f t="shared" si="68"/>
        <v>0.1</v>
      </c>
      <c r="H438" s="1128"/>
      <c r="I438" s="313">
        <f t="shared" si="69"/>
        <v>1</v>
      </c>
      <c r="J438" s="1128"/>
      <c r="K438" s="313">
        <f t="shared" si="70"/>
        <v>1</v>
      </c>
      <c r="L438" s="1128"/>
      <c r="M438" s="313">
        <f t="shared" si="71"/>
        <v>1</v>
      </c>
      <c r="N438" s="1128"/>
      <c r="O438" s="313">
        <f t="shared" si="72"/>
        <v>1</v>
      </c>
      <c r="P438" s="1128"/>
      <c r="Q438" s="313">
        <f t="shared" si="73"/>
        <v>0.2</v>
      </c>
      <c r="R438" s="1124">
        <f t="shared" si="74"/>
        <v>0</v>
      </c>
      <c r="S438" s="698">
        <f t="shared" si="65"/>
        <v>0</v>
      </c>
    </row>
    <row r="439" spans="1:19">
      <c r="A439" s="491"/>
      <c r="B439" s="348"/>
      <c r="C439" s="313">
        <f t="shared" si="66"/>
        <v>1</v>
      </c>
      <c r="D439" s="1128"/>
      <c r="E439" s="313">
        <f t="shared" si="67"/>
        <v>0.05</v>
      </c>
      <c r="F439" s="1128"/>
      <c r="G439" s="313">
        <f t="shared" si="68"/>
        <v>0.1</v>
      </c>
      <c r="H439" s="1128"/>
      <c r="I439" s="313">
        <f t="shared" si="69"/>
        <v>1</v>
      </c>
      <c r="J439" s="1128"/>
      <c r="K439" s="313">
        <f t="shared" si="70"/>
        <v>1</v>
      </c>
      <c r="L439" s="1128"/>
      <c r="M439" s="313">
        <f t="shared" si="71"/>
        <v>1</v>
      </c>
      <c r="N439" s="1128"/>
      <c r="O439" s="313">
        <f t="shared" si="72"/>
        <v>1</v>
      </c>
      <c r="P439" s="1128"/>
      <c r="Q439" s="313">
        <f t="shared" si="73"/>
        <v>0.2</v>
      </c>
      <c r="R439" s="1124">
        <f t="shared" si="74"/>
        <v>0</v>
      </c>
      <c r="S439" s="698">
        <f t="shared" si="65"/>
        <v>0</v>
      </c>
    </row>
    <row r="440" spans="1:19">
      <c r="A440" s="491"/>
      <c r="B440" s="348"/>
      <c r="C440" s="313">
        <f t="shared" si="66"/>
        <v>1</v>
      </c>
      <c r="D440" s="1128"/>
      <c r="E440" s="313">
        <f t="shared" si="67"/>
        <v>0.05</v>
      </c>
      <c r="F440" s="1128"/>
      <c r="G440" s="313">
        <f t="shared" si="68"/>
        <v>0.1</v>
      </c>
      <c r="H440" s="1128"/>
      <c r="I440" s="313">
        <f t="shared" si="69"/>
        <v>1</v>
      </c>
      <c r="J440" s="1128"/>
      <c r="K440" s="313">
        <f t="shared" si="70"/>
        <v>1</v>
      </c>
      <c r="L440" s="1128"/>
      <c r="M440" s="313">
        <f t="shared" si="71"/>
        <v>1</v>
      </c>
      <c r="N440" s="1128"/>
      <c r="O440" s="313">
        <f t="shared" si="72"/>
        <v>1</v>
      </c>
      <c r="P440" s="1128"/>
      <c r="Q440" s="313">
        <f t="shared" si="73"/>
        <v>0.2</v>
      </c>
      <c r="R440" s="1124">
        <f t="shared" si="74"/>
        <v>0</v>
      </c>
      <c r="S440" s="698">
        <f t="shared" si="65"/>
        <v>0</v>
      </c>
    </row>
    <row r="441" spans="1:19">
      <c r="A441" s="491"/>
      <c r="B441" s="348"/>
      <c r="C441" s="313">
        <f t="shared" si="66"/>
        <v>1</v>
      </c>
      <c r="D441" s="1128"/>
      <c r="E441" s="313">
        <f t="shared" si="67"/>
        <v>0.05</v>
      </c>
      <c r="F441" s="1128"/>
      <c r="G441" s="313">
        <f t="shared" si="68"/>
        <v>0.1</v>
      </c>
      <c r="H441" s="1128"/>
      <c r="I441" s="313">
        <f t="shared" si="69"/>
        <v>1</v>
      </c>
      <c r="J441" s="1128"/>
      <c r="K441" s="313">
        <f t="shared" si="70"/>
        <v>1</v>
      </c>
      <c r="L441" s="1128"/>
      <c r="M441" s="313">
        <f t="shared" si="71"/>
        <v>1</v>
      </c>
      <c r="N441" s="1128"/>
      <c r="O441" s="313">
        <f t="shared" si="72"/>
        <v>1</v>
      </c>
      <c r="P441" s="1128"/>
      <c r="Q441" s="313">
        <f t="shared" si="73"/>
        <v>0.2</v>
      </c>
      <c r="R441" s="1124">
        <f t="shared" si="74"/>
        <v>0</v>
      </c>
      <c r="S441" s="698">
        <f t="shared" si="65"/>
        <v>0</v>
      </c>
    </row>
    <row r="442" spans="1:19">
      <c r="A442" s="491"/>
      <c r="B442" s="348"/>
      <c r="C442" s="313">
        <f t="shared" si="66"/>
        <v>1</v>
      </c>
      <c r="D442" s="1128"/>
      <c r="E442" s="313">
        <f t="shared" si="67"/>
        <v>0.05</v>
      </c>
      <c r="F442" s="1128"/>
      <c r="G442" s="313">
        <f t="shared" si="68"/>
        <v>0.1</v>
      </c>
      <c r="H442" s="1128"/>
      <c r="I442" s="313">
        <f t="shared" si="69"/>
        <v>1</v>
      </c>
      <c r="J442" s="1128"/>
      <c r="K442" s="313">
        <f t="shared" si="70"/>
        <v>1</v>
      </c>
      <c r="L442" s="1128"/>
      <c r="M442" s="313">
        <f t="shared" si="71"/>
        <v>1</v>
      </c>
      <c r="N442" s="1128"/>
      <c r="O442" s="313">
        <f t="shared" si="72"/>
        <v>1</v>
      </c>
      <c r="P442" s="1128"/>
      <c r="Q442" s="313">
        <f t="shared" si="73"/>
        <v>0.2</v>
      </c>
      <c r="R442" s="1124">
        <f t="shared" si="74"/>
        <v>0</v>
      </c>
      <c r="S442" s="698">
        <f t="shared" si="65"/>
        <v>0</v>
      </c>
    </row>
    <row r="443" spans="1:19">
      <c r="A443" s="491"/>
      <c r="B443" s="348"/>
      <c r="C443" s="313">
        <f t="shared" si="66"/>
        <v>1</v>
      </c>
      <c r="D443" s="1128"/>
      <c r="E443" s="313">
        <f t="shared" si="67"/>
        <v>0.05</v>
      </c>
      <c r="F443" s="1128"/>
      <c r="G443" s="313">
        <f t="shared" si="68"/>
        <v>0.1</v>
      </c>
      <c r="H443" s="1128"/>
      <c r="I443" s="313">
        <f t="shared" si="69"/>
        <v>1</v>
      </c>
      <c r="J443" s="1128"/>
      <c r="K443" s="313">
        <f t="shared" si="70"/>
        <v>1</v>
      </c>
      <c r="L443" s="1128"/>
      <c r="M443" s="313">
        <f t="shared" si="71"/>
        <v>1</v>
      </c>
      <c r="N443" s="1128"/>
      <c r="O443" s="313">
        <f t="shared" si="72"/>
        <v>1</v>
      </c>
      <c r="P443" s="1128"/>
      <c r="Q443" s="313">
        <f t="shared" si="73"/>
        <v>0.2</v>
      </c>
      <c r="R443" s="1124">
        <f t="shared" si="74"/>
        <v>0</v>
      </c>
      <c r="S443" s="698">
        <f t="shared" si="65"/>
        <v>0</v>
      </c>
    </row>
    <row r="444" spans="1:19">
      <c r="A444" s="491"/>
      <c r="B444" s="348"/>
      <c r="C444" s="313">
        <f t="shared" si="66"/>
        <v>1</v>
      </c>
      <c r="D444" s="1128"/>
      <c r="E444" s="313">
        <f t="shared" si="67"/>
        <v>0.05</v>
      </c>
      <c r="F444" s="1128"/>
      <c r="G444" s="313">
        <f t="shared" si="68"/>
        <v>0.1</v>
      </c>
      <c r="H444" s="1128"/>
      <c r="I444" s="313">
        <f t="shared" si="69"/>
        <v>1</v>
      </c>
      <c r="J444" s="1128"/>
      <c r="K444" s="313">
        <f t="shared" si="70"/>
        <v>1</v>
      </c>
      <c r="L444" s="1128"/>
      <c r="M444" s="313">
        <f t="shared" si="71"/>
        <v>1</v>
      </c>
      <c r="N444" s="1128"/>
      <c r="O444" s="313">
        <f t="shared" si="72"/>
        <v>1</v>
      </c>
      <c r="P444" s="1128"/>
      <c r="Q444" s="313">
        <f t="shared" si="73"/>
        <v>0.2</v>
      </c>
      <c r="R444" s="1124">
        <f t="shared" si="74"/>
        <v>0</v>
      </c>
      <c r="S444" s="698">
        <f t="shared" si="65"/>
        <v>0</v>
      </c>
    </row>
    <row r="445" spans="1:19">
      <c r="A445" s="491"/>
      <c r="B445" s="348"/>
      <c r="C445" s="313">
        <f t="shared" si="66"/>
        <v>1</v>
      </c>
      <c r="D445" s="1128"/>
      <c r="E445" s="313">
        <f t="shared" si="67"/>
        <v>0.05</v>
      </c>
      <c r="F445" s="1128"/>
      <c r="G445" s="313">
        <f t="shared" si="68"/>
        <v>0.1</v>
      </c>
      <c r="H445" s="1128"/>
      <c r="I445" s="313">
        <f t="shared" si="69"/>
        <v>1</v>
      </c>
      <c r="J445" s="1128"/>
      <c r="K445" s="313">
        <f t="shared" si="70"/>
        <v>1</v>
      </c>
      <c r="L445" s="1128"/>
      <c r="M445" s="313">
        <f t="shared" si="71"/>
        <v>1</v>
      </c>
      <c r="N445" s="1128"/>
      <c r="O445" s="313">
        <f t="shared" si="72"/>
        <v>1</v>
      </c>
      <c r="P445" s="1128"/>
      <c r="Q445" s="313">
        <f t="shared" si="73"/>
        <v>0.2</v>
      </c>
      <c r="R445" s="1124">
        <f t="shared" si="74"/>
        <v>0</v>
      </c>
      <c r="S445" s="698">
        <f t="shared" si="65"/>
        <v>0</v>
      </c>
    </row>
    <row r="446" spans="1:19">
      <c r="A446" s="491"/>
      <c r="B446" s="348"/>
      <c r="C446" s="313">
        <f t="shared" si="66"/>
        <v>1</v>
      </c>
      <c r="D446" s="1128"/>
      <c r="E446" s="313">
        <f t="shared" si="67"/>
        <v>0.05</v>
      </c>
      <c r="F446" s="1128"/>
      <c r="G446" s="313">
        <f t="shared" si="68"/>
        <v>0.1</v>
      </c>
      <c r="H446" s="1128"/>
      <c r="I446" s="313">
        <f t="shared" si="69"/>
        <v>1</v>
      </c>
      <c r="J446" s="1128"/>
      <c r="K446" s="313">
        <f t="shared" si="70"/>
        <v>1</v>
      </c>
      <c r="L446" s="1128"/>
      <c r="M446" s="313">
        <f t="shared" si="71"/>
        <v>1</v>
      </c>
      <c r="N446" s="1128"/>
      <c r="O446" s="313">
        <f t="shared" si="72"/>
        <v>1</v>
      </c>
      <c r="P446" s="1128"/>
      <c r="Q446" s="313">
        <f t="shared" si="73"/>
        <v>0.2</v>
      </c>
      <c r="R446" s="1124">
        <f t="shared" si="74"/>
        <v>0</v>
      </c>
      <c r="S446" s="698">
        <f t="shared" si="65"/>
        <v>0</v>
      </c>
    </row>
    <row r="447" spans="1:19">
      <c r="A447" s="491"/>
      <c r="B447" s="348"/>
      <c r="C447" s="313">
        <f t="shared" si="66"/>
        <v>1</v>
      </c>
      <c r="D447" s="1128"/>
      <c r="E447" s="313">
        <f t="shared" si="67"/>
        <v>0.05</v>
      </c>
      <c r="F447" s="1128"/>
      <c r="G447" s="313">
        <f t="shared" si="68"/>
        <v>0.1</v>
      </c>
      <c r="H447" s="1128"/>
      <c r="I447" s="313">
        <f t="shared" si="69"/>
        <v>1</v>
      </c>
      <c r="J447" s="1128"/>
      <c r="K447" s="313">
        <f t="shared" si="70"/>
        <v>1</v>
      </c>
      <c r="L447" s="1128"/>
      <c r="M447" s="313">
        <f t="shared" si="71"/>
        <v>1</v>
      </c>
      <c r="N447" s="1128"/>
      <c r="O447" s="313">
        <f t="shared" si="72"/>
        <v>1</v>
      </c>
      <c r="P447" s="1128"/>
      <c r="Q447" s="313">
        <f t="shared" si="73"/>
        <v>0.2</v>
      </c>
      <c r="R447" s="1124">
        <f t="shared" si="74"/>
        <v>0</v>
      </c>
      <c r="S447" s="698">
        <f t="shared" si="65"/>
        <v>0</v>
      </c>
    </row>
    <row r="448" spans="1:19">
      <c r="A448" s="491"/>
      <c r="B448" s="348"/>
      <c r="C448" s="313">
        <f t="shared" si="66"/>
        <v>1</v>
      </c>
      <c r="D448" s="1128"/>
      <c r="E448" s="313">
        <f t="shared" si="67"/>
        <v>0.05</v>
      </c>
      <c r="F448" s="1128"/>
      <c r="G448" s="313">
        <f t="shared" si="68"/>
        <v>0.1</v>
      </c>
      <c r="H448" s="1128"/>
      <c r="I448" s="313">
        <f t="shared" si="69"/>
        <v>1</v>
      </c>
      <c r="J448" s="1128"/>
      <c r="K448" s="313">
        <f t="shared" si="70"/>
        <v>1</v>
      </c>
      <c r="L448" s="1128"/>
      <c r="M448" s="313">
        <f t="shared" si="71"/>
        <v>1</v>
      </c>
      <c r="N448" s="1128"/>
      <c r="O448" s="313">
        <f t="shared" si="72"/>
        <v>1</v>
      </c>
      <c r="P448" s="1128"/>
      <c r="Q448" s="313">
        <f t="shared" si="73"/>
        <v>0.2</v>
      </c>
      <c r="R448" s="1124">
        <f t="shared" si="74"/>
        <v>0</v>
      </c>
      <c r="S448" s="698">
        <f t="shared" si="65"/>
        <v>0</v>
      </c>
    </row>
    <row r="449" spans="1:19">
      <c r="A449" s="491"/>
      <c r="B449" s="348"/>
      <c r="C449" s="313">
        <f t="shared" si="66"/>
        <v>1</v>
      </c>
      <c r="D449" s="1128"/>
      <c r="E449" s="313">
        <f t="shared" si="67"/>
        <v>0.05</v>
      </c>
      <c r="F449" s="1128"/>
      <c r="G449" s="313">
        <f t="shared" si="68"/>
        <v>0.1</v>
      </c>
      <c r="H449" s="1128"/>
      <c r="I449" s="313">
        <f t="shared" si="69"/>
        <v>1</v>
      </c>
      <c r="J449" s="1128"/>
      <c r="K449" s="313">
        <f t="shared" si="70"/>
        <v>1</v>
      </c>
      <c r="L449" s="1128"/>
      <c r="M449" s="313">
        <f t="shared" si="71"/>
        <v>1</v>
      </c>
      <c r="N449" s="1128"/>
      <c r="O449" s="313">
        <f t="shared" si="72"/>
        <v>1</v>
      </c>
      <c r="P449" s="1128"/>
      <c r="Q449" s="313">
        <f t="shared" si="73"/>
        <v>0.2</v>
      </c>
      <c r="R449" s="1124">
        <f t="shared" si="74"/>
        <v>0</v>
      </c>
      <c r="S449" s="698">
        <f t="shared" si="65"/>
        <v>0</v>
      </c>
    </row>
    <row r="450" spans="1:19">
      <c r="A450" s="491"/>
      <c r="B450" s="348"/>
      <c r="C450" s="313">
        <f t="shared" si="66"/>
        <v>1</v>
      </c>
      <c r="D450" s="1128"/>
      <c r="E450" s="313">
        <f t="shared" si="67"/>
        <v>0.05</v>
      </c>
      <c r="F450" s="1128"/>
      <c r="G450" s="313">
        <f t="shared" si="68"/>
        <v>0.1</v>
      </c>
      <c r="H450" s="1128"/>
      <c r="I450" s="313">
        <f t="shared" si="69"/>
        <v>1</v>
      </c>
      <c r="J450" s="1128"/>
      <c r="K450" s="313">
        <f t="shared" si="70"/>
        <v>1</v>
      </c>
      <c r="L450" s="1128"/>
      <c r="M450" s="313">
        <f t="shared" si="71"/>
        <v>1</v>
      </c>
      <c r="N450" s="1128"/>
      <c r="O450" s="313">
        <f t="shared" si="72"/>
        <v>1</v>
      </c>
      <c r="P450" s="1128"/>
      <c r="Q450" s="313">
        <f t="shared" si="73"/>
        <v>0.2</v>
      </c>
      <c r="R450" s="1124">
        <f t="shared" si="74"/>
        <v>0</v>
      </c>
      <c r="S450" s="698">
        <f t="shared" si="65"/>
        <v>0</v>
      </c>
    </row>
    <row r="451" spans="1:19">
      <c r="A451" s="491"/>
      <c r="B451" s="348"/>
      <c r="C451" s="313">
        <f t="shared" si="66"/>
        <v>1</v>
      </c>
      <c r="D451" s="1128"/>
      <c r="E451" s="313">
        <f t="shared" si="67"/>
        <v>0.05</v>
      </c>
      <c r="F451" s="1128"/>
      <c r="G451" s="313">
        <f t="shared" si="68"/>
        <v>0.1</v>
      </c>
      <c r="H451" s="1128"/>
      <c r="I451" s="313">
        <f t="shared" si="69"/>
        <v>1</v>
      </c>
      <c r="J451" s="1128"/>
      <c r="K451" s="313">
        <f t="shared" si="70"/>
        <v>1</v>
      </c>
      <c r="L451" s="1128"/>
      <c r="M451" s="313">
        <f t="shared" si="71"/>
        <v>1</v>
      </c>
      <c r="N451" s="1128"/>
      <c r="O451" s="313">
        <f t="shared" si="72"/>
        <v>1</v>
      </c>
      <c r="P451" s="1128"/>
      <c r="Q451" s="313">
        <f t="shared" si="73"/>
        <v>0.2</v>
      </c>
      <c r="R451" s="1124">
        <f t="shared" si="74"/>
        <v>0</v>
      </c>
      <c r="S451" s="698">
        <f t="shared" si="65"/>
        <v>0</v>
      </c>
    </row>
    <row r="452" spans="1:19">
      <c r="A452" s="491"/>
      <c r="B452" s="348"/>
      <c r="C452" s="313">
        <f t="shared" si="66"/>
        <v>1</v>
      </c>
      <c r="D452" s="1128"/>
      <c r="E452" s="313">
        <f t="shared" si="67"/>
        <v>0.05</v>
      </c>
      <c r="F452" s="1128"/>
      <c r="G452" s="313">
        <f t="shared" si="68"/>
        <v>0.1</v>
      </c>
      <c r="H452" s="1128"/>
      <c r="I452" s="313">
        <f t="shared" si="69"/>
        <v>1</v>
      </c>
      <c r="J452" s="1128"/>
      <c r="K452" s="313">
        <f t="shared" si="70"/>
        <v>1</v>
      </c>
      <c r="L452" s="1128"/>
      <c r="M452" s="313">
        <f t="shared" si="71"/>
        <v>1</v>
      </c>
      <c r="N452" s="1128"/>
      <c r="O452" s="313">
        <f t="shared" si="72"/>
        <v>1</v>
      </c>
      <c r="P452" s="1128"/>
      <c r="Q452" s="313">
        <f t="shared" si="73"/>
        <v>0.2</v>
      </c>
      <c r="R452" s="1124">
        <f t="shared" si="74"/>
        <v>0</v>
      </c>
      <c r="S452" s="698">
        <f t="shared" si="65"/>
        <v>0</v>
      </c>
    </row>
    <row r="453" spans="1:19">
      <c r="A453" s="491"/>
      <c r="B453" s="348"/>
      <c r="C453" s="313">
        <f t="shared" si="66"/>
        <v>1</v>
      </c>
      <c r="D453" s="1128"/>
      <c r="E453" s="313">
        <f t="shared" si="67"/>
        <v>0.05</v>
      </c>
      <c r="F453" s="1128"/>
      <c r="G453" s="313">
        <f t="shared" si="68"/>
        <v>0.1</v>
      </c>
      <c r="H453" s="1128"/>
      <c r="I453" s="313">
        <f t="shared" si="69"/>
        <v>1</v>
      </c>
      <c r="J453" s="1128"/>
      <c r="K453" s="313">
        <f t="shared" si="70"/>
        <v>1</v>
      </c>
      <c r="L453" s="1128"/>
      <c r="M453" s="313">
        <f t="shared" si="71"/>
        <v>1</v>
      </c>
      <c r="N453" s="1128"/>
      <c r="O453" s="313">
        <f t="shared" si="72"/>
        <v>1</v>
      </c>
      <c r="P453" s="1128"/>
      <c r="Q453" s="313">
        <f t="shared" si="73"/>
        <v>0.2</v>
      </c>
      <c r="R453" s="1124">
        <f t="shared" si="74"/>
        <v>0</v>
      </c>
      <c r="S453" s="698">
        <f t="shared" si="65"/>
        <v>0</v>
      </c>
    </row>
    <row r="454" spans="1:19">
      <c r="A454" s="491"/>
      <c r="B454" s="348"/>
      <c r="C454" s="313">
        <f t="shared" si="66"/>
        <v>1</v>
      </c>
      <c r="D454" s="1128"/>
      <c r="E454" s="313">
        <f t="shared" si="67"/>
        <v>0.05</v>
      </c>
      <c r="F454" s="1128"/>
      <c r="G454" s="313">
        <f t="shared" si="68"/>
        <v>0.1</v>
      </c>
      <c r="H454" s="1128"/>
      <c r="I454" s="313">
        <f t="shared" si="69"/>
        <v>1</v>
      </c>
      <c r="J454" s="1128"/>
      <c r="K454" s="313">
        <f t="shared" si="70"/>
        <v>1</v>
      </c>
      <c r="L454" s="1128"/>
      <c r="M454" s="313">
        <f t="shared" si="71"/>
        <v>1</v>
      </c>
      <c r="N454" s="1128"/>
      <c r="O454" s="313">
        <f t="shared" si="72"/>
        <v>1</v>
      </c>
      <c r="P454" s="1128"/>
      <c r="Q454" s="313">
        <f t="shared" si="73"/>
        <v>0.2</v>
      </c>
      <c r="R454" s="1124">
        <f t="shared" si="74"/>
        <v>0</v>
      </c>
      <c r="S454" s="698">
        <f t="shared" si="65"/>
        <v>0</v>
      </c>
    </row>
    <row r="455" spans="1:19">
      <c r="A455" s="491"/>
      <c r="B455" s="348"/>
      <c r="C455" s="313">
        <f t="shared" si="66"/>
        <v>1</v>
      </c>
      <c r="D455" s="1128"/>
      <c r="E455" s="313">
        <f t="shared" si="67"/>
        <v>0.05</v>
      </c>
      <c r="F455" s="1128"/>
      <c r="G455" s="313">
        <f t="shared" si="68"/>
        <v>0.1</v>
      </c>
      <c r="H455" s="1128"/>
      <c r="I455" s="313">
        <f t="shared" si="69"/>
        <v>1</v>
      </c>
      <c r="J455" s="1128"/>
      <c r="K455" s="313">
        <f t="shared" si="70"/>
        <v>1</v>
      </c>
      <c r="L455" s="1128"/>
      <c r="M455" s="313">
        <f t="shared" si="71"/>
        <v>1</v>
      </c>
      <c r="N455" s="1128"/>
      <c r="O455" s="313">
        <f t="shared" si="72"/>
        <v>1</v>
      </c>
      <c r="P455" s="1128"/>
      <c r="Q455" s="313">
        <f t="shared" si="73"/>
        <v>0.2</v>
      </c>
      <c r="R455" s="1124">
        <f t="shared" si="74"/>
        <v>0</v>
      </c>
      <c r="S455" s="698">
        <f t="shared" si="65"/>
        <v>0</v>
      </c>
    </row>
    <row r="456" spans="1:19">
      <c r="A456" s="491"/>
      <c r="B456" s="348"/>
      <c r="C456" s="313">
        <f t="shared" si="66"/>
        <v>1</v>
      </c>
      <c r="D456" s="1128"/>
      <c r="E456" s="313">
        <f t="shared" si="67"/>
        <v>0.05</v>
      </c>
      <c r="F456" s="1128"/>
      <c r="G456" s="313">
        <f t="shared" si="68"/>
        <v>0.1</v>
      </c>
      <c r="H456" s="1128"/>
      <c r="I456" s="313">
        <f t="shared" si="69"/>
        <v>1</v>
      </c>
      <c r="J456" s="1128"/>
      <c r="K456" s="313">
        <f t="shared" si="70"/>
        <v>1</v>
      </c>
      <c r="L456" s="1128"/>
      <c r="M456" s="313">
        <f t="shared" si="71"/>
        <v>1</v>
      </c>
      <c r="N456" s="1128"/>
      <c r="O456" s="313">
        <f t="shared" si="72"/>
        <v>1</v>
      </c>
      <c r="P456" s="1128"/>
      <c r="Q456" s="313">
        <f t="shared" si="73"/>
        <v>0.2</v>
      </c>
      <c r="R456" s="1124">
        <f t="shared" si="74"/>
        <v>0</v>
      </c>
      <c r="S456" s="698">
        <f t="shared" si="65"/>
        <v>0</v>
      </c>
    </row>
    <row r="457" spans="1:19">
      <c r="A457" s="491"/>
      <c r="B457" s="348"/>
      <c r="C457" s="313">
        <f t="shared" si="66"/>
        <v>1</v>
      </c>
      <c r="D457" s="1128"/>
      <c r="E457" s="313">
        <f t="shared" si="67"/>
        <v>0.05</v>
      </c>
      <c r="F457" s="1128"/>
      <c r="G457" s="313">
        <f t="shared" si="68"/>
        <v>0.1</v>
      </c>
      <c r="H457" s="1128"/>
      <c r="I457" s="313">
        <f t="shared" si="69"/>
        <v>1</v>
      </c>
      <c r="J457" s="1128"/>
      <c r="K457" s="313">
        <f t="shared" si="70"/>
        <v>1</v>
      </c>
      <c r="L457" s="1128"/>
      <c r="M457" s="313">
        <f t="shared" si="71"/>
        <v>1</v>
      </c>
      <c r="N457" s="1128"/>
      <c r="O457" s="313">
        <f t="shared" si="72"/>
        <v>1</v>
      </c>
      <c r="P457" s="1128"/>
      <c r="Q457" s="313">
        <f t="shared" si="73"/>
        <v>0.2</v>
      </c>
      <c r="R457" s="1124">
        <f t="shared" si="74"/>
        <v>0</v>
      </c>
      <c r="S457" s="698">
        <f t="shared" si="65"/>
        <v>0</v>
      </c>
    </row>
    <row r="458" spans="1:19">
      <c r="A458" s="491"/>
      <c r="B458" s="348"/>
      <c r="C458" s="313">
        <f t="shared" si="66"/>
        <v>1</v>
      </c>
      <c r="D458" s="1128"/>
      <c r="E458" s="313">
        <f t="shared" si="67"/>
        <v>0.05</v>
      </c>
      <c r="F458" s="1128"/>
      <c r="G458" s="313">
        <f t="shared" si="68"/>
        <v>0.1</v>
      </c>
      <c r="H458" s="1128"/>
      <c r="I458" s="313">
        <f t="shared" si="69"/>
        <v>1</v>
      </c>
      <c r="J458" s="1128"/>
      <c r="K458" s="313">
        <f t="shared" si="70"/>
        <v>1</v>
      </c>
      <c r="L458" s="1128"/>
      <c r="M458" s="313">
        <f t="shared" si="71"/>
        <v>1</v>
      </c>
      <c r="N458" s="1128"/>
      <c r="O458" s="313">
        <f t="shared" si="72"/>
        <v>1</v>
      </c>
      <c r="P458" s="1128"/>
      <c r="Q458" s="313">
        <f t="shared" si="73"/>
        <v>0.2</v>
      </c>
      <c r="R458" s="1124">
        <f t="shared" si="74"/>
        <v>0</v>
      </c>
      <c r="S458" s="698">
        <f t="shared" si="65"/>
        <v>0</v>
      </c>
    </row>
    <row r="459" spans="1:19">
      <c r="A459" s="491"/>
      <c r="B459" s="348"/>
      <c r="C459" s="313">
        <f t="shared" si="66"/>
        <v>1</v>
      </c>
      <c r="D459" s="1128"/>
      <c r="E459" s="313">
        <f t="shared" si="67"/>
        <v>0.05</v>
      </c>
      <c r="F459" s="1128"/>
      <c r="G459" s="313">
        <f t="shared" si="68"/>
        <v>0.1</v>
      </c>
      <c r="H459" s="1128"/>
      <c r="I459" s="313">
        <f t="shared" si="69"/>
        <v>1</v>
      </c>
      <c r="J459" s="1128"/>
      <c r="K459" s="313">
        <f t="shared" si="70"/>
        <v>1</v>
      </c>
      <c r="L459" s="1128"/>
      <c r="M459" s="313">
        <f t="shared" si="71"/>
        <v>1</v>
      </c>
      <c r="N459" s="1128"/>
      <c r="O459" s="313">
        <f t="shared" si="72"/>
        <v>1</v>
      </c>
      <c r="P459" s="1128"/>
      <c r="Q459" s="313">
        <f t="shared" si="73"/>
        <v>0.2</v>
      </c>
      <c r="R459" s="1124">
        <f t="shared" si="74"/>
        <v>0</v>
      </c>
      <c r="S459" s="698">
        <f t="shared" si="65"/>
        <v>0</v>
      </c>
    </row>
    <row r="460" spans="1:19">
      <c r="A460" s="491"/>
      <c r="B460" s="348"/>
      <c r="C460" s="313">
        <f t="shared" si="66"/>
        <v>1</v>
      </c>
      <c r="D460" s="1128"/>
      <c r="E460" s="313">
        <f t="shared" si="67"/>
        <v>0.05</v>
      </c>
      <c r="F460" s="1128"/>
      <c r="G460" s="313">
        <f t="shared" si="68"/>
        <v>0.1</v>
      </c>
      <c r="H460" s="1128"/>
      <c r="I460" s="313">
        <f t="shared" si="69"/>
        <v>1</v>
      </c>
      <c r="J460" s="1128"/>
      <c r="K460" s="313">
        <f t="shared" si="70"/>
        <v>1</v>
      </c>
      <c r="L460" s="1128"/>
      <c r="M460" s="313">
        <f t="shared" si="71"/>
        <v>1</v>
      </c>
      <c r="N460" s="1128"/>
      <c r="O460" s="313">
        <f t="shared" si="72"/>
        <v>1</v>
      </c>
      <c r="P460" s="1128"/>
      <c r="Q460" s="313">
        <f t="shared" si="73"/>
        <v>0.2</v>
      </c>
      <c r="R460" s="1124">
        <f t="shared" si="74"/>
        <v>0</v>
      </c>
      <c r="S460" s="698">
        <f t="shared" si="65"/>
        <v>0</v>
      </c>
    </row>
    <row r="461" spans="1:19">
      <c r="A461" s="491"/>
      <c r="B461" s="348"/>
      <c r="C461" s="313">
        <f t="shared" si="66"/>
        <v>1</v>
      </c>
      <c r="D461" s="1128"/>
      <c r="E461" s="313">
        <f t="shared" si="67"/>
        <v>0.05</v>
      </c>
      <c r="F461" s="1128"/>
      <c r="G461" s="313">
        <f t="shared" si="68"/>
        <v>0.1</v>
      </c>
      <c r="H461" s="1128"/>
      <c r="I461" s="313">
        <f t="shared" si="69"/>
        <v>1</v>
      </c>
      <c r="J461" s="1128"/>
      <c r="K461" s="313">
        <f t="shared" si="70"/>
        <v>1</v>
      </c>
      <c r="L461" s="1128"/>
      <c r="M461" s="313">
        <f t="shared" si="71"/>
        <v>1</v>
      </c>
      <c r="N461" s="1128"/>
      <c r="O461" s="313">
        <f t="shared" si="72"/>
        <v>1</v>
      </c>
      <c r="P461" s="1128"/>
      <c r="Q461" s="313">
        <f t="shared" si="73"/>
        <v>0.2</v>
      </c>
      <c r="R461" s="1124">
        <f t="shared" si="74"/>
        <v>0</v>
      </c>
      <c r="S461" s="698">
        <f t="shared" si="65"/>
        <v>0</v>
      </c>
    </row>
    <row r="462" spans="1:19">
      <c r="A462" s="491"/>
      <c r="B462" s="348"/>
      <c r="C462" s="313">
        <f t="shared" si="66"/>
        <v>1</v>
      </c>
      <c r="D462" s="1128"/>
      <c r="E462" s="313">
        <f t="shared" si="67"/>
        <v>0.05</v>
      </c>
      <c r="F462" s="1128"/>
      <c r="G462" s="313">
        <f t="shared" si="68"/>
        <v>0.1</v>
      </c>
      <c r="H462" s="1128"/>
      <c r="I462" s="313">
        <f t="shared" si="69"/>
        <v>1</v>
      </c>
      <c r="J462" s="1128"/>
      <c r="K462" s="313">
        <f t="shared" si="70"/>
        <v>1</v>
      </c>
      <c r="L462" s="1128"/>
      <c r="M462" s="313">
        <f t="shared" si="71"/>
        <v>1</v>
      </c>
      <c r="N462" s="1128"/>
      <c r="O462" s="313">
        <f t="shared" si="72"/>
        <v>1</v>
      </c>
      <c r="P462" s="1128"/>
      <c r="Q462" s="313">
        <f t="shared" si="73"/>
        <v>0.2</v>
      </c>
      <c r="R462" s="1124">
        <f t="shared" si="74"/>
        <v>0</v>
      </c>
      <c r="S462" s="698">
        <f t="shared" si="65"/>
        <v>0</v>
      </c>
    </row>
    <row r="463" spans="1:19">
      <c r="A463" s="491"/>
      <c r="B463" s="348"/>
      <c r="C463" s="313">
        <f t="shared" si="66"/>
        <v>1</v>
      </c>
      <c r="D463" s="1128"/>
      <c r="E463" s="313">
        <f t="shared" si="67"/>
        <v>0.05</v>
      </c>
      <c r="F463" s="1128"/>
      <c r="G463" s="313">
        <f t="shared" si="68"/>
        <v>0.1</v>
      </c>
      <c r="H463" s="1128"/>
      <c r="I463" s="313">
        <f t="shared" si="69"/>
        <v>1</v>
      </c>
      <c r="J463" s="1128"/>
      <c r="K463" s="313">
        <f t="shared" si="70"/>
        <v>1</v>
      </c>
      <c r="L463" s="1128"/>
      <c r="M463" s="313">
        <f t="shared" si="71"/>
        <v>1</v>
      </c>
      <c r="N463" s="1128"/>
      <c r="O463" s="313">
        <f t="shared" si="72"/>
        <v>1</v>
      </c>
      <c r="P463" s="1128"/>
      <c r="Q463" s="313">
        <f t="shared" si="73"/>
        <v>0.2</v>
      </c>
      <c r="R463" s="1124">
        <f t="shared" si="74"/>
        <v>0</v>
      </c>
      <c r="S463" s="698">
        <f t="shared" si="65"/>
        <v>0</v>
      </c>
    </row>
    <row r="464" spans="1:19">
      <c r="A464" s="491"/>
      <c r="B464" s="348"/>
      <c r="C464" s="313">
        <f t="shared" si="66"/>
        <v>1</v>
      </c>
      <c r="D464" s="1128"/>
      <c r="E464" s="313">
        <f t="shared" si="67"/>
        <v>0.05</v>
      </c>
      <c r="F464" s="1128"/>
      <c r="G464" s="313">
        <f t="shared" si="68"/>
        <v>0.1</v>
      </c>
      <c r="H464" s="1128"/>
      <c r="I464" s="313">
        <f t="shared" si="69"/>
        <v>1</v>
      </c>
      <c r="J464" s="1128"/>
      <c r="K464" s="313">
        <f t="shared" si="70"/>
        <v>1</v>
      </c>
      <c r="L464" s="1128"/>
      <c r="M464" s="313">
        <f t="shared" si="71"/>
        <v>1</v>
      </c>
      <c r="N464" s="1128"/>
      <c r="O464" s="313">
        <f t="shared" si="72"/>
        <v>1</v>
      </c>
      <c r="P464" s="1128"/>
      <c r="Q464" s="313">
        <f t="shared" si="73"/>
        <v>0.2</v>
      </c>
      <c r="R464" s="1124">
        <f t="shared" si="74"/>
        <v>0</v>
      </c>
      <c r="S464" s="698">
        <f t="shared" si="65"/>
        <v>0</v>
      </c>
    </row>
    <row r="465" spans="1:19">
      <c r="A465" s="491"/>
      <c r="B465" s="348"/>
      <c r="C465" s="313">
        <f t="shared" si="66"/>
        <v>1</v>
      </c>
      <c r="D465" s="1128"/>
      <c r="E465" s="313">
        <f t="shared" si="67"/>
        <v>0.05</v>
      </c>
      <c r="F465" s="1128"/>
      <c r="G465" s="313">
        <f t="shared" si="68"/>
        <v>0.1</v>
      </c>
      <c r="H465" s="1128"/>
      <c r="I465" s="313">
        <f t="shared" si="69"/>
        <v>1</v>
      </c>
      <c r="J465" s="1128"/>
      <c r="K465" s="313">
        <f t="shared" si="70"/>
        <v>1</v>
      </c>
      <c r="L465" s="1128"/>
      <c r="M465" s="313">
        <f t="shared" si="71"/>
        <v>1</v>
      </c>
      <c r="N465" s="1128"/>
      <c r="O465" s="313">
        <f t="shared" si="72"/>
        <v>1</v>
      </c>
      <c r="P465" s="1128"/>
      <c r="Q465" s="313">
        <f t="shared" si="73"/>
        <v>0.2</v>
      </c>
      <c r="R465" s="1124">
        <f t="shared" si="74"/>
        <v>0</v>
      </c>
      <c r="S465" s="698">
        <f t="shared" si="65"/>
        <v>0</v>
      </c>
    </row>
    <row r="466" spans="1:19">
      <c r="A466" s="491"/>
      <c r="B466" s="348"/>
      <c r="C466" s="313">
        <f t="shared" si="66"/>
        <v>1</v>
      </c>
      <c r="D466" s="1128"/>
      <c r="E466" s="313">
        <f t="shared" si="67"/>
        <v>0.05</v>
      </c>
      <c r="F466" s="1128"/>
      <c r="G466" s="313">
        <f t="shared" si="68"/>
        <v>0.1</v>
      </c>
      <c r="H466" s="1128"/>
      <c r="I466" s="313">
        <f t="shared" si="69"/>
        <v>1</v>
      </c>
      <c r="J466" s="1128"/>
      <c r="K466" s="313">
        <f t="shared" si="70"/>
        <v>1</v>
      </c>
      <c r="L466" s="1128"/>
      <c r="M466" s="313">
        <f t="shared" si="71"/>
        <v>1</v>
      </c>
      <c r="N466" s="1128"/>
      <c r="O466" s="313">
        <f t="shared" si="72"/>
        <v>1</v>
      </c>
      <c r="P466" s="1128"/>
      <c r="Q466" s="313">
        <f t="shared" si="73"/>
        <v>0.2</v>
      </c>
      <c r="R466" s="1124">
        <f t="shared" si="74"/>
        <v>0</v>
      </c>
      <c r="S466" s="698">
        <f t="shared" si="65"/>
        <v>0</v>
      </c>
    </row>
    <row r="467" spans="1:19">
      <c r="A467" s="491"/>
      <c r="B467" s="348"/>
      <c r="C467" s="313">
        <f t="shared" si="66"/>
        <v>1</v>
      </c>
      <c r="D467" s="1128"/>
      <c r="E467" s="313">
        <f t="shared" si="67"/>
        <v>0.05</v>
      </c>
      <c r="F467" s="1128"/>
      <c r="G467" s="313">
        <f t="shared" si="68"/>
        <v>0.1</v>
      </c>
      <c r="H467" s="1128"/>
      <c r="I467" s="313">
        <f t="shared" si="69"/>
        <v>1</v>
      </c>
      <c r="J467" s="1128"/>
      <c r="K467" s="313">
        <f t="shared" si="70"/>
        <v>1</v>
      </c>
      <c r="L467" s="1128"/>
      <c r="M467" s="313">
        <f t="shared" si="71"/>
        <v>1</v>
      </c>
      <c r="N467" s="1128"/>
      <c r="O467" s="313">
        <f t="shared" si="72"/>
        <v>1</v>
      </c>
      <c r="P467" s="1128"/>
      <c r="Q467" s="313">
        <f t="shared" si="73"/>
        <v>0.2</v>
      </c>
      <c r="R467" s="1124">
        <f t="shared" si="74"/>
        <v>0</v>
      </c>
      <c r="S467" s="698">
        <f t="shared" si="65"/>
        <v>0</v>
      </c>
    </row>
    <row r="468" spans="1:19">
      <c r="A468" s="491"/>
      <c r="B468" s="348"/>
      <c r="C468" s="313">
        <f t="shared" si="66"/>
        <v>1</v>
      </c>
      <c r="D468" s="1128"/>
      <c r="E468" s="313">
        <f t="shared" si="67"/>
        <v>0.05</v>
      </c>
      <c r="F468" s="1128"/>
      <c r="G468" s="313">
        <f t="shared" si="68"/>
        <v>0.1</v>
      </c>
      <c r="H468" s="1128"/>
      <c r="I468" s="313">
        <f t="shared" si="69"/>
        <v>1</v>
      </c>
      <c r="J468" s="1128"/>
      <c r="K468" s="313">
        <f t="shared" si="70"/>
        <v>1</v>
      </c>
      <c r="L468" s="1128"/>
      <c r="M468" s="313">
        <f t="shared" si="71"/>
        <v>1</v>
      </c>
      <c r="N468" s="1128"/>
      <c r="O468" s="313">
        <f t="shared" si="72"/>
        <v>1</v>
      </c>
      <c r="P468" s="1128"/>
      <c r="Q468" s="313">
        <f t="shared" si="73"/>
        <v>0.2</v>
      </c>
      <c r="R468" s="1124">
        <f t="shared" si="74"/>
        <v>0</v>
      </c>
      <c r="S468" s="698">
        <f t="shared" si="65"/>
        <v>0</v>
      </c>
    </row>
    <row r="469" spans="1:19">
      <c r="A469" s="491"/>
      <c r="B469" s="348"/>
      <c r="C469" s="313">
        <f t="shared" si="66"/>
        <v>1</v>
      </c>
      <c r="D469" s="1128"/>
      <c r="E469" s="313">
        <f t="shared" si="67"/>
        <v>0.05</v>
      </c>
      <c r="F469" s="1128"/>
      <c r="G469" s="313">
        <f t="shared" si="68"/>
        <v>0.1</v>
      </c>
      <c r="H469" s="1128"/>
      <c r="I469" s="313">
        <f t="shared" si="69"/>
        <v>1</v>
      </c>
      <c r="J469" s="1128"/>
      <c r="K469" s="313">
        <f t="shared" si="70"/>
        <v>1</v>
      </c>
      <c r="L469" s="1128"/>
      <c r="M469" s="313">
        <f t="shared" si="71"/>
        <v>1</v>
      </c>
      <c r="N469" s="1128"/>
      <c r="O469" s="313">
        <f t="shared" si="72"/>
        <v>1</v>
      </c>
      <c r="P469" s="1128"/>
      <c r="Q469" s="313">
        <f t="shared" si="73"/>
        <v>0.2</v>
      </c>
      <c r="R469" s="1124">
        <f t="shared" si="74"/>
        <v>0</v>
      </c>
      <c r="S469" s="698">
        <f t="shared" si="65"/>
        <v>0</v>
      </c>
    </row>
    <row r="470" spans="1:19">
      <c r="A470" s="491"/>
      <c r="B470" s="348"/>
      <c r="C470" s="313">
        <f t="shared" si="66"/>
        <v>1</v>
      </c>
      <c r="D470" s="1128"/>
      <c r="E470" s="313">
        <f t="shared" si="67"/>
        <v>0.05</v>
      </c>
      <c r="F470" s="1128"/>
      <c r="G470" s="313">
        <f t="shared" si="68"/>
        <v>0.1</v>
      </c>
      <c r="H470" s="1128"/>
      <c r="I470" s="313">
        <f t="shared" si="69"/>
        <v>1</v>
      </c>
      <c r="J470" s="1128"/>
      <c r="K470" s="313">
        <f t="shared" si="70"/>
        <v>1</v>
      </c>
      <c r="L470" s="1128"/>
      <c r="M470" s="313">
        <f t="shared" si="71"/>
        <v>1</v>
      </c>
      <c r="N470" s="1128"/>
      <c r="O470" s="313">
        <f t="shared" si="72"/>
        <v>1</v>
      </c>
      <c r="P470" s="1128"/>
      <c r="Q470" s="313">
        <f t="shared" si="73"/>
        <v>0.2</v>
      </c>
      <c r="R470" s="1124">
        <f t="shared" si="74"/>
        <v>0</v>
      </c>
      <c r="S470" s="698">
        <f t="shared" si="65"/>
        <v>0</v>
      </c>
    </row>
    <row r="471" spans="1:19">
      <c r="A471" s="491"/>
      <c r="B471" s="348"/>
      <c r="C471" s="313">
        <f t="shared" si="66"/>
        <v>1</v>
      </c>
      <c r="D471" s="1128"/>
      <c r="E471" s="313">
        <f t="shared" si="67"/>
        <v>0.05</v>
      </c>
      <c r="F471" s="1128"/>
      <c r="G471" s="313">
        <f t="shared" si="68"/>
        <v>0.1</v>
      </c>
      <c r="H471" s="1128"/>
      <c r="I471" s="313">
        <f t="shared" si="69"/>
        <v>1</v>
      </c>
      <c r="J471" s="1128"/>
      <c r="K471" s="313">
        <f t="shared" si="70"/>
        <v>1</v>
      </c>
      <c r="L471" s="1128"/>
      <c r="M471" s="313">
        <f t="shared" si="71"/>
        <v>1</v>
      </c>
      <c r="N471" s="1128"/>
      <c r="O471" s="313">
        <f t="shared" si="72"/>
        <v>1</v>
      </c>
      <c r="P471" s="1128"/>
      <c r="Q471" s="313">
        <f t="shared" si="73"/>
        <v>0.2</v>
      </c>
      <c r="R471" s="1124">
        <f t="shared" si="74"/>
        <v>0</v>
      </c>
      <c r="S471" s="698">
        <f t="shared" si="65"/>
        <v>0</v>
      </c>
    </row>
    <row r="472" spans="1:19">
      <c r="A472" s="491"/>
      <c r="B472" s="348"/>
      <c r="C472" s="313">
        <f t="shared" si="66"/>
        <v>1</v>
      </c>
      <c r="D472" s="1128"/>
      <c r="E472" s="313">
        <f t="shared" si="67"/>
        <v>0.05</v>
      </c>
      <c r="F472" s="1128"/>
      <c r="G472" s="313">
        <f t="shared" si="68"/>
        <v>0.1</v>
      </c>
      <c r="H472" s="1128"/>
      <c r="I472" s="313">
        <f t="shared" si="69"/>
        <v>1</v>
      </c>
      <c r="J472" s="1128"/>
      <c r="K472" s="313">
        <f t="shared" si="70"/>
        <v>1</v>
      </c>
      <c r="L472" s="1128"/>
      <c r="M472" s="313">
        <f t="shared" si="71"/>
        <v>1</v>
      </c>
      <c r="N472" s="1128"/>
      <c r="O472" s="313">
        <f t="shared" si="72"/>
        <v>1</v>
      </c>
      <c r="P472" s="1128"/>
      <c r="Q472" s="313">
        <f t="shared" si="73"/>
        <v>0.2</v>
      </c>
      <c r="R472" s="1124">
        <f t="shared" si="74"/>
        <v>0</v>
      </c>
      <c r="S472" s="698">
        <f t="shared" ref="S472:S524" si="75">ROUND(R472*B472/10000,0)</f>
        <v>0</v>
      </c>
    </row>
    <row r="473" spans="1:19">
      <c r="A473" s="491"/>
      <c r="B473" s="348"/>
      <c r="C473" s="313">
        <f t="shared" si="66"/>
        <v>1</v>
      </c>
      <c r="D473" s="1128"/>
      <c r="E473" s="313">
        <f t="shared" si="67"/>
        <v>0.05</v>
      </c>
      <c r="F473" s="1128"/>
      <c r="G473" s="313">
        <f t="shared" si="68"/>
        <v>0.1</v>
      </c>
      <c r="H473" s="1128"/>
      <c r="I473" s="313">
        <f t="shared" si="69"/>
        <v>1</v>
      </c>
      <c r="J473" s="1128"/>
      <c r="K473" s="313">
        <f t="shared" si="70"/>
        <v>1</v>
      </c>
      <c r="L473" s="1128"/>
      <c r="M473" s="313">
        <f t="shared" si="71"/>
        <v>1</v>
      </c>
      <c r="N473" s="1128"/>
      <c r="O473" s="313">
        <f t="shared" si="72"/>
        <v>1</v>
      </c>
      <c r="P473" s="1128"/>
      <c r="Q473" s="313">
        <f t="shared" si="73"/>
        <v>0.2</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0.05</v>
      </c>
      <c r="F474" s="1128"/>
      <c r="G474" s="313">
        <f t="shared" ref="G474:G524" si="78">(SUMIF($7:$7,F474,$8:$8)-SUMIF($7:$7,$F$24,$8:$8)+100)/100</f>
        <v>0.1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0.2</v>
      </c>
      <c r="R474" s="1124">
        <f t="shared" ref="R474:R524" si="84">IF(B474="",0,ROUND($R$24*C474*E474*G474*I474*K474*M474*O474*Q474,0))</f>
        <v>0</v>
      </c>
      <c r="S474" s="698">
        <f t="shared" si="75"/>
        <v>0</v>
      </c>
    </row>
    <row r="475" spans="1:19">
      <c r="A475" s="491"/>
      <c r="B475" s="348"/>
      <c r="C475" s="313">
        <f t="shared" si="76"/>
        <v>1</v>
      </c>
      <c r="D475" s="1128"/>
      <c r="E475" s="313">
        <f t="shared" si="77"/>
        <v>0.05</v>
      </c>
      <c r="F475" s="1128"/>
      <c r="G475" s="313">
        <f t="shared" si="78"/>
        <v>0.1</v>
      </c>
      <c r="H475" s="1128"/>
      <c r="I475" s="313">
        <f t="shared" si="79"/>
        <v>1</v>
      </c>
      <c r="J475" s="1128"/>
      <c r="K475" s="313">
        <f t="shared" si="80"/>
        <v>1</v>
      </c>
      <c r="L475" s="1128"/>
      <c r="M475" s="313">
        <f t="shared" si="81"/>
        <v>1</v>
      </c>
      <c r="N475" s="1128"/>
      <c r="O475" s="313">
        <f t="shared" si="82"/>
        <v>1</v>
      </c>
      <c r="P475" s="1128"/>
      <c r="Q475" s="313">
        <f t="shared" si="83"/>
        <v>0.2</v>
      </c>
      <c r="R475" s="1124">
        <f t="shared" si="84"/>
        <v>0</v>
      </c>
      <c r="S475" s="698">
        <f t="shared" si="75"/>
        <v>0</v>
      </c>
    </row>
    <row r="476" spans="1:19">
      <c r="A476" s="491"/>
      <c r="B476" s="348"/>
      <c r="C476" s="313">
        <f t="shared" si="76"/>
        <v>1</v>
      </c>
      <c r="D476" s="1128"/>
      <c r="E476" s="313">
        <f t="shared" si="77"/>
        <v>0.05</v>
      </c>
      <c r="F476" s="1128"/>
      <c r="G476" s="313">
        <f t="shared" si="78"/>
        <v>0.1</v>
      </c>
      <c r="H476" s="1128"/>
      <c r="I476" s="313">
        <f t="shared" si="79"/>
        <v>1</v>
      </c>
      <c r="J476" s="1128"/>
      <c r="K476" s="313">
        <f t="shared" si="80"/>
        <v>1</v>
      </c>
      <c r="L476" s="1128"/>
      <c r="M476" s="313">
        <f t="shared" si="81"/>
        <v>1</v>
      </c>
      <c r="N476" s="1128"/>
      <c r="O476" s="313">
        <f t="shared" si="82"/>
        <v>1</v>
      </c>
      <c r="P476" s="1128"/>
      <c r="Q476" s="313">
        <f t="shared" si="83"/>
        <v>0.2</v>
      </c>
      <c r="R476" s="1124">
        <f t="shared" si="84"/>
        <v>0</v>
      </c>
      <c r="S476" s="698">
        <f t="shared" si="75"/>
        <v>0</v>
      </c>
    </row>
    <row r="477" spans="1:19">
      <c r="A477" s="491"/>
      <c r="B477" s="348"/>
      <c r="C477" s="313">
        <f t="shared" si="76"/>
        <v>1</v>
      </c>
      <c r="D477" s="1128"/>
      <c r="E477" s="313">
        <f t="shared" si="77"/>
        <v>0.05</v>
      </c>
      <c r="F477" s="1128"/>
      <c r="G477" s="313">
        <f t="shared" si="78"/>
        <v>0.1</v>
      </c>
      <c r="H477" s="1128"/>
      <c r="I477" s="313">
        <f t="shared" si="79"/>
        <v>1</v>
      </c>
      <c r="J477" s="1128"/>
      <c r="K477" s="313">
        <f t="shared" si="80"/>
        <v>1</v>
      </c>
      <c r="L477" s="1128"/>
      <c r="M477" s="313">
        <f t="shared" si="81"/>
        <v>1</v>
      </c>
      <c r="N477" s="1128"/>
      <c r="O477" s="313">
        <f t="shared" si="82"/>
        <v>1</v>
      </c>
      <c r="P477" s="1128"/>
      <c r="Q477" s="313">
        <f t="shared" si="83"/>
        <v>0.2</v>
      </c>
      <c r="R477" s="1124">
        <f t="shared" si="84"/>
        <v>0</v>
      </c>
      <c r="S477" s="698">
        <f t="shared" si="75"/>
        <v>0</v>
      </c>
    </row>
    <row r="478" spans="1:19">
      <c r="A478" s="491"/>
      <c r="B478" s="348"/>
      <c r="C478" s="313">
        <f t="shared" si="76"/>
        <v>1</v>
      </c>
      <c r="D478" s="1128"/>
      <c r="E478" s="313">
        <f t="shared" si="77"/>
        <v>0.05</v>
      </c>
      <c r="F478" s="1128"/>
      <c r="G478" s="313">
        <f t="shared" si="78"/>
        <v>0.1</v>
      </c>
      <c r="H478" s="1128"/>
      <c r="I478" s="313">
        <f t="shared" si="79"/>
        <v>1</v>
      </c>
      <c r="J478" s="1128"/>
      <c r="K478" s="313">
        <f t="shared" si="80"/>
        <v>1</v>
      </c>
      <c r="L478" s="1128"/>
      <c r="M478" s="313">
        <f t="shared" si="81"/>
        <v>1</v>
      </c>
      <c r="N478" s="1128"/>
      <c r="O478" s="313">
        <f t="shared" si="82"/>
        <v>1</v>
      </c>
      <c r="P478" s="1128"/>
      <c r="Q478" s="313">
        <f t="shared" si="83"/>
        <v>0.2</v>
      </c>
      <c r="R478" s="1124">
        <f t="shared" si="84"/>
        <v>0</v>
      </c>
      <c r="S478" s="698">
        <f t="shared" si="75"/>
        <v>0</v>
      </c>
    </row>
    <row r="479" spans="1:19">
      <c r="A479" s="491"/>
      <c r="B479" s="348"/>
      <c r="C479" s="313">
        <f t="shared" si="76"/>
        <v>1</v>
      </c>
      <c r="D479" s="1128"/>
      <c r="E479" s="313">
        <f t="shared" si="77"/>
        <v>0.05</v>
      </c>
      <c r="F479" s="1128"/>
      <c r="G479" s="313">
        <f t="shared" si="78"/>
        <v>0.1</v>
      </c>
      <c r="H479" s="1128"/>
      <c r="I479" s="313">
        <f t="shared" si="79"/>
        <v>1</v>
      </c>
      <c r="J479" s="1128"/>
      <c r="K479" s="313">
        <f t="shared" si="80"/>
        <v>1</v>
      </c>
      <c r="L479" s="1128"/>
      <c r="M479" s="313">
        <f t="shared" si="81"/>
        <v>1</v>
      </c>
      <c r="N479" s="1128"/>
      <c r="O479" s="313">
        <f t="shared" si="82"/>
        <v>1</v>
      </c>
      <c r="P479" s="1128"/>
      <c r="Q479" s="313">
        <f t="shared" si="83"/>
        <v>0.2</v>
      </c>
      <c r="R479" s="1124">
        <f t="shared" si="84"/>
        <v>0</v>
      </c>
      <c r="S479" s="698">
        <f t="shared" si="75"/>
        <v>0</v>
      </c>
    </row>
    <row r="480" spans="1:19">
      <c r="A480" s="491"/>
      <c r="B480" s="348"/>
      <c r="C480" s="313">
        <f t="shared" si="76"/>
        <v>1</v>
      </c>
      <c r="D480" s="1128"/>
      <c r="E480" s="313">
        <f t="shared" si="77"/>
        <v>0.05</v>
      </c>
      <c r="F480" s="1128"/>
      <c r="G480" s="313">
        <f t="shared" si="78"/>
        <v>0.1</v>
      </c>
      <c r="H480" s="1128"/>
      <c r="I480" s="313">
        <f t="shared" si="79"/>
        <v>1</v>
      </c>
      <c r="J480" s="1128"/>
      <c r="K480" s="313">
        <f t="shared" si="80"/>
        <v>1</v>
      </c>
      <c r="L480" s="1128"/>
      <c r="M480" s="313">
        <f t="shared" si="81"/>
        <v>1</v>
      </c>
      <c r="N480" s="1128"/>
      <c r="O480" s="313">
        <f t="shared" si="82"/>
        <v>1</v>
      </c>
      <c r="P480" s="1128"/>
      <c r="Q480" s="313">
        <f t="shared" si="83"/>
        <v>0.2</v>
      </c>
      <c r="R480" s="1124">
        <f t="shared" si="84"/>
        <v>0</v>
      </c>
      <c r="S480" s="698">
        <f t="shared" si="75"/>
        <v>0</v>
      </c>
    </row>
    <row r="481" spans="1:19">
      <c r="A481" s="491"/>
      <c r="B481" s="348"/>
      <c r="C481" s="313">
        <f t="shared" si="76"/>
        <v>1</v>
      </c>
      <c r="D481" s="1128"/>
      <c r="E481" s="313">
        <f t="shared" si="77"/>
        <v>0.05</v>
      </c>
      <c r="F481" s="1128"/>
      <c r="G481" s="313">
        <f t="shared" si="78"/>
        <v>0.1</v>
      </c>
      <c r="H481" s="1128"/>
      <c r="I481" s="313">
        <f t="shared" si="79"/>
        <v>1</v>
      </c>
      <c r="J481" s="1128"/>
      <c r="K481" s="313">
        <f t="shared" si="80"/>
        <v>1</v>
      </c>
      <c r="L481" s="1128"/>
      <c r="M481" s="313">
        <f t="shared" si="81"/>
        <v>1</v>
      </c>
      <c r="N481" s="1128"/>
      <c r="O481" s="313">
        <f t="shared" si="82"/>
        <v>1</v>
      </c>
      <c r="P481" s="1128"/>
      <c r="Q481" s="313">
        <f t="shared" si="83"/>
        <v>0.2</v>
      </c>
      <c r="R481" s="1124">
        <f t="shared" si="84"/>
        <v>0</v>
      </c>
      <c r="S481" s="698">
        <f t="shared" si="75"/>
        <v>0</v>
      </c>
    </row>
    <row r="482" spans="1:19">
      <c r="A482" s="491"/>
      <c r="B482" s="348"/>
      <c r="C482" s="313">
        <f t="shared" si="76"/>
        <v>1</v>
      </c>
      <c r="D482" s="1128"/>
      <c r="E482" s="313">
        <f t="shared" si="77"/>
        <v>0.05</v>
      </c>
      <c r="F482" s="1128"/>
      <c r="G482" s="313">
        <f t="shared" si="78"/>
        <v>0.1</v>
      </c>
      <c r="H482" s="1128"/>
      <c r="I482" s="313">
        <f t="shared" si="79"/>
        <v>1</v>
      </c>
      <c r="J482" s="1128"/>
      <c r="K482" s="313">
        <f t="shared" si="80"/>
        <v>1</v>
      </c>
      <c r="L482" s="1128"/>
      <c r="M482" s="313">
        <f t="shared" si="81"/>
        <v>1</v>
      </c>
      <c r="N482" s="1128"/>
      <c r="O482" s="313">
        <f t="shared" si="82"/>
        <v>1</v>
      </c>
      <c r="P482" s="1128"/>
      <c r="Q482" s="313">
        <f t="shared" si="83"/>
        <v>0.2</v>
      </c>
      <c r="R482" s="1124">
        <f t="shared" si="84"/>
        <v>0</v>
      </c>
      <c r="S482" s="698">
        <f t="shared" si="75"/>
        <v>0</v>
      </c>
    </row>
    <row r="483" spans="1:19">
      <c r="A483" s="491"/>
      <c r="B483" s="348"/>
      <c r="C483" s="313">
        <f t="shared" si="76"/>
        <v>1</v>
      </c>
      <c r="D483" s="1128"/>
      <c r="E483" s="313">
        <f t="shared" si="77"/>
        <v>0.05</v>
      </c>
      <c r="F483" s="1128"/>
      <c r="G483" s="313">
        <f t="shared" si="78"/>
        <v>0.1</v>
      </c>
      <c r="H483" s="1128"/>
      <c r="I483" s="313">
        <f t="shared" si="79"/>
        <v>1</v>
      </c>
      <c r="J483" s="1128"/>
      <c r="K483" s="313">
        <f t="shared" si="80"/>
        <v>1</v>
      </c>
      <c r="L483" s="1128"/>
      <c r="M483" s="313">
        <f t="shared" si="81"/>
        <v>1</v>
      </c>
      <c r="N483" s="1128"/>
      <c r="O483" s="313">
        <f t="shared" si="82"/>
        <v>1</v>
      </c>
      <c r="P483" s="1128"/>
      <c r="Q483" s="313">
        <f t="shared" si="83"/>
        <v>0.2</v>
      </c>
      <c r="R483" s="1124">
        <f t="shared" si="84"/>
        <v>0</v>
      </c>
      <c r="S483" s="698">
        <f t="shared" si="75"/>
        <v>0</v>
      </c>
    </row>
    <row r="484" spans="1:19">
      <c r="A484" s="491"/>
      <c r="B484" s="348"/>
      <c r="C484" s="313">
        <f t="shared" si="76"/>
        <v>1</v>
      </c>
      <c r="D484" s="1128"/>
      <c r="E484" s="313">
        <f t="shared" si="77"/>
        <v>0.05</v>
      </c>
      <c r="F484" s="1128"/>
      <c r="G484" s="313">
        <f t="shared" si="78"/>
        <v>0.1</v>
      </c>
      <c r="H484" s="1128"/>
      <c r="I484" s="313">
        <f t="shared" si="79"/>
        <v>1</v>
      </c>
      <c r="J484" s="1128"/>
      <c r="K484" s="313">
        <f t="shared" si="80"/>
        <v>1</v>
      </c>
      <c r="L484" s="1128"/>
      <c r="M484" s="313">
        <f t="shared" si="81"/>
        <v>1</v>
      </c>
      <c r="N484" s="1128"/>
      <c r="O484" s="313">
        <f t="shared" si="82"/>
        <v>1</v>
      </c>
      <c r="P484" s="1128"/>
      <c r="Q484" s="313">
        <f t="shared" si="83"/>
        <v>0.2</v>
      </c>
      <c r="R484" s="1124">
        <f t="shared" si="84"/>
        <v>0</v>
      </c>
      <c r="S484" s="698">
        <f t="shared" si="75"/>
        <v>0</v>
      </c>
    </row>
    <row r="485" spans="1:19">
      <c r="A485" s="491"/>
      <c r="B485" s="348"/>
      <c r="C485" s="313">
        <f t="shared" si="76"/>
        <v>1</v>
      </c>
      <c r="D485" s="1128"/>
      <c r="E485" s="313">
        <f t="shared" si="77"/>
        <v>0.05</v>
      </c>
      <c r="F485" s="1128"/>
      <c r="G485" s="313">
        <f t="shared" si="78"/>
        <v>0.1</v>
      </c>
      <c r="H485" s="1128"/>
      <c r="I485" s="313">
        <f t="shared" si="79"/>
        <v>1</v>
      </c>
      <c r="J485" s="1128"/>
      <c r="K485" s="313">
        <f t="shared" si="80"/>
        <v>1</v>
      </c>
      <c r="L485" s="1128"/>
      <c r="M485" s="313">
        <f t="shared" si="81"/>
        <v>1</v>
      </c>
      <c r="N485" s="1128"/>
      <c r="O485" s="313">
        <f t="shared" si="82"/>
        <v>1</v>
      </c>
      <c r="P485" s="1128"/>
      <c r="Q485" s="313">
        <f t="shared" si="83"/>
        <v>0.2</v>
      </c>
      <c r="R485" s="1124">
        <f t="shared" si="84"/>
        <v>0</v>
      </c>
      <c r="S485" s="698">
        <f t="shared" si="75"/>
        <v>0</v>
      </c>
    </row>
    <row r="486" spans="1:19">
      <c r="A486" s="491"/>
      <c r="B486" s="348"/>
      <c r="C486" s="313">
        <f t="shared" si="76"/>
        <v>1</v>
      </c>
      <c r="D486" s="1128"/>
      <c r="E486" s="313">
        <f t="shared" si="77"/>
        <v>0.05</v>
      </c>
      <c r="F486" s="1128"/>
      <c r="G486" s="313">
        <f t="shared" si="78"/>
        <v>0.1</v>
      </c>
      <c r="H486" s="1128"/>
      <c r="I486" s="313">
        <f t="shared" si="79"/>
        <v>1</v>
      </c>
      <c r="J486" s="1128"/>
      <c r="K486" s="313">
        <f t="shared" si="80"/>
        <v>1</v>
      </c>
      <c r="L486" s="1128"/>
      <c r="M486" s="313">
        <f t="shared" si="81"/>
        <v>1</v>
      </c>
      <c r="N486" s="1128"/>
      <c r="O486" s="313">
        <f t="shared" si="82"/>
        <v>1</v>
      </c>
      <c r="P486" s="1128"/>
      <c r="Q486" s="313">
        <f t="shared" si="83"/>
        <v>0.2</v>
      </c>
      <c r="R486" s="1124">
        <f t="shared" si="84"/>
        <v>0</v>
      </c>
      <c r="S486" s="698">
        <f t="shared" si="75"/>
        <v>0</v>
      </c>
    </row>
    <row r="487" spans="1:19">
      <c r="A487" s="491"/>
      <c r="B487" s="348"/>
      <c r="C487" s="313">
        <f t="shared" si="76"/>
        <v>1</v>
      </c>
      <c r="D487" s="1128"/>
      <c r="E487" s="313">
        <f t="shared" si="77"/>
        <v>0.05</v>
      </c>
      <c r="F487" s="1128"/>
      <c r="G487" s="313">
        <f t="shared" si="78"/>
        <v>0.1</v>
      </c>
      <c r="H487" s="1128"/>
      <c r="I487" s="313">
        <f t="shared" si="79"/>
        <v>1</v>
      </c>
      <c r="J487" s="1128"/>
      <c r="K487" s="313">
        <f t="shared" si="80"/>
        <v>1</v>
      </c>
      <c r="L487" s="1128"/>
      <c r="M487" s="313">
        <f t="shared" si="81"/>
        <v>1</v>
      </c>
      <c r="N487" s="1128"/>
      <c r="O487" s="313">
        <f t="shared" si="82"/>
        <v>1</v>
      </c>
      <c r="P487" s="1128"/>
      <c r="Q487" s="313">
        <f t="shared" si="83"/>
        <v>0.2</v>
      </c>
      <c r="R487" s="1124">
        <f t="shared" si="84"/>
        <v>0</v>
      </c>
      <c r="S487" s="698">
        <f t="shared" si="75"/>
        <v>0</v>
      </c>
    </row>
    <row r="488" spans="1:19">
      <c r="A488" s="491"/>
      <c r="B488" s="348"/>
      <c r="C488" s="313">
        <f t="shared" si="76"/>
        <v>1</v>
      </c>
      <c r="D488" s="1128"/>
      <c r="E488" s="313">
        <f t="shared" si="77"/>
        <v>0.05</v>
      </c>
      <c r="F488" s="1128"/>
      <c r="G488" s="313">
        <f t="shared" si="78"/>
        <v>0.1</v>
      </c>
      <c r="H488" s="1128"/>
      <c r="I488" s="313">
        <f t="shared" si="79"/>
        <v>1</v>
      </c>
      <c r="J488" s="1128"/>
      <c r="K488" s="313">
        <f t="shared" si="80"/>
        <v>1</v>
      </c>
      <c r="L488" s="1128"/>
      <c r="M488" s="313">
        <f t="shared" si="81"/>
        <v>1</v>
      </c>
      <c r="N488" s="1128"/>
      <c r="O488" s="313">
        <f t="shared" si="82"/>
        <v>1</v>
      </c>
      <c r="P488" s="1128"/>
      <c r="Q488" s="313">
        <f t="shared" si="83"/>
        <v>0.2</v>
      </c>
      <c r="R488" s="1124">
        <f t="shared" si="84"/>
        <v>0</v>
      </c>
      <c r="S488" s="698">
        <f t="shared" si="75"/>
        <v>0</v>
      </c>
    </row>
    <row r="489" spans="1:19">
      <c r="A489" s="491"/>
      <c r="B489" s="348"/>
      <c r="C489" s="313">
        <f t="shared" si="76"/>
        <v>1</v>
      </c>
      <c r="D489" s="1128"/>
      <c r="E489" s="313">
        <f t="shared" si="77"/>
        <v>0.05</v>
      </c>
      <c r="F489" s="1128"/>
      <c r="G489" s="313">
        <f t="shared" si="78"/>
        <v>0.1</v>
      </c>
      <c r="H489" s="1128"/>
      <c r="I489" s="313">
        <f t="shared" si="79"/>
        <v>1</v>
      </c>
      <c r="J489" s="1128"/>
      <c r="K489" s="313">
        <f t="shared" si="80"/>
        <v>1</v>
      </c>
      <c r="L489" s="1128"/>
      <c r="M489" s="313">
        <f t="shared" si="81"/>
        <v>1</v>
      </c>
      <c r="N489" s="1128"/>
      <c r="O489" s="313">
        <f t="shared" si="82"/>
        <v>1</v>
      </c>
      <c r="P489" s="1128"/>
      <c r="Q489" s="313">
        <f t="shared" si="83"/>
        <v>0.2</v>
      </c>
      <c r="R489" s="1124">
        <f t="shared" si="84"/>
        <v>0</v>
      </c>
      <c r="S489" s="698">
        <f t="shared" si="75"/>
        <v>0</v>
      </c>
    </row>
    <row r="490" spans="1:19">
      <c r="A490" s="491"/>
      <c r="B490" s="348"/>
      <c r="C490" s="313">
        <f t="shared" si="76"/>
        <v>1</v>
      </c>
      <c r="D490" s="1128"/>
      <c r="E490" s="313">
        <f t="shared" si="77"/>
        <v>0.05</v>
      </c>
      <c r="F490" s="1128"/>
      <c r="G490" s="313">
        <f t="shared" si="78"/>
        <v>0.1</v>
      </c>
      <c r="H490" s="1128"/>
      <c r="I490" s="313">
        <f t="shared" si="79"/>
        <v>1</v>
      </c>
      <c r="J490" s="1128"/>
      <c r="K490" s="313">
        <f t="shared" si="80"/>
        <v>1</v>
      </c>
      <c r="L490" s="1128"/>
      <c r="M490" s="313">
        <f t="shared" si="81"/>
        <v>1</v>
      </c>
      <c r="N490" s="1128"/>
      <c r="O490" s="313">
        <f t="shared" si="82"/>
        <v>1</v>
      </c>
      <c r="P490" s="1128"/>
      <c r="Q490" s="313">
        <f t="shared" si="83"/>
        <v>0.2</v>
      </c>
      <c r="R490" s="1124">
        <f t="shared" si="84"/>
        <v>0</v>
      </c>
      <c r="S490" s="698">
        <f t="shared" si="75"/>
        <v>0</v>
      </c>
    </row>
    <row r="491" spans="1:19">
      <c r="A491" s="491"/>
      <c r="B491" s="348"/>
      <c r="C491" s="313">
        <f t="shared" si="76"/>
        <v>1</v>
      </c>
      <c r="D491" s="1128"/>
      <c r="E491" s="313">
        <f t="shared" si="77"/>
        <v>0.05</v>
      </c>
      <c r="F491" s="1128"/>
      <c r="G491" s="313">
        <f t="shared" si="78"/>
        <v>0.1</v>
      </c>
      <c r="H491" s="1128"/>
      <c r="I491" s="313">
        <f t="shared" si="79"/>
        <v>1</v>
      </c>
      <c r="J491" s="1128"/>
      <c r="K491" s="313">
        <f t="shared" si="80"/>
        <v>1</v>
      </c>
      <c r="L491" s="1128"/>
      <c r="M491" s="313">
        <f t="shared" si="81"/>
        <v>1</v>
      </c>
      <c r="N491" s="1128"/>
      <c r="O491" s="313">
        <f t="shared" si="82"/>
        <v>1</v>
      </c>
      <c r="P491" s="1128"/>
      <c r="Q491" s="313">
        <f t="shared" si="83"/>
        <v>0.2</v>
      </c>
      <c r="R491" s="1124">
        <f t="shared" si="84"/>
        <v>0</v>
      </c>
      <c r="S491" s="698">
        <f t="shared" si="75"/>
        <v>0</v>
      </c>
    </row>
    <row r="492" spans="1:19">
      <c r="A492" s="491"/>
      <c r="B492" s="348"/>
      <c r="C492" s="313">
        <f t="shared" si="76"/>
        <v>1</v>
      </c>
      <c r="D492" s="1128"/>
      <c r="E492" s="313">
        <f t="shared" si="77"/>
        <v>0.05</v>
      </c>
      <c r="F492" s="1128"/>
      <c r="G492" s="313">
        <f t="shared" si="78"/>
        <v>0.1</v>
      </c>
      <c r="H492" s="1128"/>
      <c r="I492" s="313">
        <f t="shared" si="79"/>
        <v>1</v>
      </c>
      <c r="J492" s="1128"/>
      <c r="K492" s="313">
        <f t="shared" si="80"/>
        <v>1</v>
      </c>
      <c r="L492" s="1128"/>
      <c r="M492" s="313">
        <f t="shared" si="81"/>
        <v>1</v>
      </c>
      <c r="N492" s="1128"/>
      <c r="O492" s="313">
        <f t="shared" si="82"/>
        <v>1</v>
      </c>
      <c r="P492" s="1128"/>
      <c r="Q492" s="313">
        <f t="shared" si="83"/>
        <v>0.2</v>
      </c>
      <c r="R492" s="1124">
        <f t="shared" si="84"/>
        <v>0</v>
      </c>
      <c r="S492" s="698">
        <f t="shared" si="75"/>
        <v>0</v>
      </c>
    </row>
    <row r="493" spans="1:19">
      <c r="A493" s="491"/>
      <c r="B493" s="348"/>
      <c r="C493" s="313">
        <f t="shared" si="76"/>
        <v>1</v>
      </c>
      <c r="D493" s="1128"/>
      <c r="E493" s="313">
        <f t="shared" si="77"/>
        <v>0.05</v>
      </c>
      <c r="F493" s="1128"/>
      <c r="G493" s="313">
        <f t="shared" si="78"/>
        <v>0.1</v>
      </c>
      <c r="H493" s="1128"/>
      <c r="I493" s="313">
        <f t="shared" si="79"/>
        <v>1</v>
      </c>
      <c r="J493" s="1128"/>
      <c r="K493" s="313">
        <f t="shared" si="80"/>
        <v>1</v>
      </c>
      <c r="L493" s="1128"/>
      <c r="M493" s="313">
        <f t="shared" si="81"/>
        <v>1</v>
      </c>
      <c r="N493" s="1128"/>
      <c r="O493" s="313">
        <f t="shared" si="82"/>
        <v>1</v>
      </c>
      <c r="P493" s="1128"/>
      <c r="Q493" s="313">
        <f t="shared" si="83"/>
        <v>0.2</v>
      </c>
      <c r="R493" s="1124">
        <f t="shared" si="84"/>
        <v>0</v>
      </c>
      <c r="S493" s="698">
        <f t="shared" si="75"/>
        <v>0</v>
      </c>
    </row>
    <row r="494" spans="1:19">
      <c r="A494" s="491"/>
      <c r="B494" s="348"/>
      <c r="C494" s="313">
        <f t="shared" si="76"/>
        <v>1</v>
      </c>
      <c r="D494" s="1128"/>
      <c r="E494" s="313">
        <f t="shared" si="77"/>
        <v>0.05</v>
      </c>
      <c r="F494" s="1128"/>
      <c r="G494" s="313">
        <f t="shared" si="78"/>
        <v>0.1</v>
      </c>
      <c r="H494" s="1128"/>
      <c r="I494" s="313">
        <f t="shared" si="79"/>
        <v>1</v>
      </c>
      <c r="J494" s="1128"/>
      <c r="K494" s="313">
        <f t="shared" si="80"/>
        <v>1</v>
      </c>
      <c r="L494" s="1128"/>
      <c r="M494" s="313">
        <f t="shared" si="81"/>
        <v>1</v>
      </c>
      <c r="N494" s="1128"/>
      <c r="O494" s="313">
        <f t="shared" si="82"/>
        <v>1</v>
      </c>
      <c r="P494" s="1128"/>
      <c r="Q494" s="313">
        <f t="shared" si="83"/>
        <v>0.2</v>
      </c>
      <c r="R494" s="1124">
        <f t="shared" si="84"/>
        <v>0</v>
      </c>
      <c r="S494" s="698">
        <f t="shared" si="75"/>
        <v>0</v>
      </c>
    </row>
    <row r="495" spans="1:19">
      <c r="A495" s="491"/>
      <c r="B495" s="348"/>
      <c r="C495" s="313">
        <f t="shared" si="76"/>
        <v>1</v>
      </c>
      <c r="D495" s="1128"/>
      <c r="E495" s="313">
        <f t="shared" si="77"/>
        <v>0.05</v>
      </c>
      <c r="F495" s="1128"/>
      <c r="G495" s="313">
        <f t="shared" si="78"/>
        <v>0.1</v>
      </c>
      <c r="H495" s="1128"/>
      <c r="I495" s="313">
        <f t="shared" si="79"/>
        <v>1</v>
      </c>
      <c r="J495" s="1128"/>
      <c r="K495" s="313">
        <f t="shared" si="80"/>
        <v>1</v>
      </c>
      <c r="L495" s="1128"/>
      <c r="M495" s="313">
        <f t="shared" si="81"/>
        <v>1</v>
      </c>
      <c r="N495" s="1128"/>
      <c r="O495" s="313">
        <f t="shared" si="82"/>
        <v>1</v>
      </c>
      <c r="P495" s="1128"/>
      <c r="Q495" s="313">
        <f t="shared" si="83"/>
        <v>0.2</v>
      </c>
      <c r="R495" s="1124">
        <f t="shared" si="84"/>
        <v>0</v>
      </c>
      <c r="S495" s="698">
        <f t="shared" si="75"/>
        <v>0</v>
      </c>
    </row>
    <row r="496" spans="1:19">
      <c r="A496" s="491"/>
      <c r="B496" s="348"/>
      <c r="C496" s="313">
        <f t="shared" si="76"/>
        <v>1</v>
      </c>
      <c r="D496" s="1128"/>
      <c r="E496" s="313">
        <f t="shared" si="77"/>
        <v>0.05</v>
      </c>
      <c r="F496" s="1128"/>
      <c r="G496" s="313">
        <f t="shared" si="78"/>
        <v>0.1</v>
      </c>
      <c r="H496" s="1128"/>
      <c r="I496" s="313">
        <f t="shared" si="79"/>
        <v>1</v>
      </c>
      <c r="J496" s="1128"/>
      <c r="K496" s="313">
        <f t="shared" si="80"/>
        <v>1</v>
      </c>
      <c r="L496" s="1128"/>
      <c r="M496" s="313">
        <f t="shared" si="81"/>
        <v>1</v>
      </c>
      <c r="N496" s="1128"/>
      <c r="O496" s="313">
        <f t="shared" si="82"/>
        <v>1</v>
      </c>
      <c r="P496" s="1128"/>
      <c r="Q496" s="313">
        <f t="shared" si="83"/>
        <v>0.2</v>
      </c>
      <c r="R496" s="1124">
        <f t="shared" si="84"/>
        <v>0</v>
      </c>
      <c r="S496" s="698">
        <f t="shared" si="75"/>
        <v>0</v>
      </c>
    </row>
    <row r="497" spans="1:19">
      <c r="A497" s="491"/>
      <c r="B497" s="348"/>
      <c r="C497" s="313">
        <f t="shared" si="76"/>
        <v>1</v>
      </c>
      <c r="D497" s="1128"/>
      <c r="E497" s="313">
        <f t="shared" si="77"/>
        <v>0.05</v>
      </c>
      <c r="F497" s="1128"/>
      <c r="G497" s="313">
        <f t="shared" si="78"/>
        <v>0.1</v>
      </c>
      <c r="H497" s="1128"/>
      <c r="I497" s="313">
        <f t="shared" si="79"/>
        <v>1</v>
      </c>
      <c r="J497" s="1128"/>
      <c r="K497" s="313">
        <f t="shared" si="80"/>
        <v>1</v>
      </c>
      <c r="L497" s="1128"/>
      <c r="M497" s="313">
        <f t="shared" si="81"/>
        <v>1</v>
      </c>
      <c r="N497" s="1128"/>
      <c r="O497" s="313">
        <f t="shared" si="82"/>
        <v>1</v>
      </c>
      <c r="P497" s="1128"/>
      <c r="Q497" s="313">
        <f t="shared" si="83"/>
        <v>0.2</v>
      </c>
      <c r="R497" s="1124">
        <f t="shared" si="84"/>
        <v>0</v>
      </c>
      <c r="S497" s="698">
        <f t="shared" si="75"/>
        <v>0</v>
      </c>
    </row>
    <row r="498" spans="1:19">
      <c r="A498" s="491"/>
      <c r="B498" s="348"/>
      <c r="C498" s="313">
        <f t="shared" si="76"/>
        <v>1</v>
      </c>
      <c r="D498" s="1128"/>
      <c r="E498" s="313">
        <f t="shared" si="77"/>
        <v>0.05</v>
      </c>
      <c r="F498" s="1128"/>
      <c r="G498" s="313">
        <f t="shared" si="78"/>
        <v>0.1</v>
      </c>
      <c r="H498" s="1128"/>
      <c r="I498" s="313">
        <f t="shared" si="79"/>
        <v>1</v>
      </c>
      <c r="J498" s="1128"/>
      <c r="K498" s="313">
        <f t="shared" si="80"/>
        <v>1</v>
      </c>
      <c r="L498" s="1128"/>
      <c r="M498" s="313">
        <f t="shared" si="81"/>
        <v>1</v>
      </c>
      <c r="N498" s="1128"/>
      <c r="O498" s="313">
        <f t="shared" si="82"/>
        <v>1</v>
      </c>
      <c r="P498" s="1128"/>
      <c r="Q498" s="313">
        <f t="shared" si="83"/>
        <v>0.2</v>
      </c>
      <c r="R498" s="1124">
        <f t="shared" si="84"/>
        <v>0</v>
      </c>
      <c r="S498" s="698">
        <f t="shared" si="75"/>
        <v>0</v>
      </c>
    </row>
    <row r="499" spans="1:19">
      <c r="A499" s="491"/>
      <c r="B499" s="348"/>
      <c r="C499" s="313">
        <f t="shared" si="76"/>
        <v>1</v>
      </c>
      <c r="D499" s="1128"/>
      <c r="E499" s="313">
        <f t="shared" si="77"/>
        <v>0.05</v>
      </c>
      <c r="F499" s="1128"/>
      <c r="G499" s="313">
        <f t="shared" si="78"/>
        <v>0.1</v>
      </c>
      <c r="H499" s="1128"/>
      <c r="I499" s="313">
        <f t="shared" si="79"/>
        <v>1</v>
      </c>
      <c r="J499" s="1128"/>
      <c r="K499" s="313">
        <f t="shared" si="80"/>
        <v>1</v>
      </c>
      <c r="L499" s="1128"/>
      <c r="M499" s="313">
        <f t="shared" si="81"/>
        <v>1</v>
      </c>
      <c r="N499" s="1128"/>
      <c r="O499" s="313">
        <f t="shared" si="82"/>
        <v>1</v>
      </c>
      <c r="P499" s="1128"/>
      <c r="Q499" s="313">
        <f t="shared" si="83"/>
        <v>0.2</v>
      </c>
      <c r="R499" s="1124">
        <f t="shared" si="84"/>
        <v>0</v>
      </c>
      <c r="S499" s="698">
        <f t="shared" si="75"/>
        <v>0</v>
      </c>
    </row>
    <row r="500" spans="1:19">
      <c r="A500" s="491"/>
      <c r="B500" s="348"/>
      <c r="C500" s="313">
        <f t="shared" si="76"/>
        <v>1</v>
      </c>
      <c r="D500" s="1128"/>
      <c r="E500" s="313">
        <f t="shared" si="77"/>
        <v>0.05</v>
      </c>
      <c r="F500" s="1128"/>
      <c r="G500" s="313">
        <f t="shared" si="78"/>
        <v>0.1</v>
      </c>
      <c r="H500" s="1128"/>
      <c r="I500" s="313">
        <f t="shared" si="79"/>
        <v>1</v>
      </c>
      <c r="J500" s="1128"/>
      <c r="K500" s="313">
        <f t="shared" si="80"/>
        <v>1</v>
      </c>
      <c r="L500" s="1128"/>
      <c r="M500" s="313">
        <f t="shared" si="81"/>
        <v>1</v>
      </c>
      <c r="N500" s="1128"/>
      <c r="O500" s="313">
        <f t="shared" si="82"/>
        <v>1</v>
      </c>
      <c r="P500" s="1128"/>
      <c r="Q500" s="313">
        <f t="shared" si="83"/>
        <v>0.2</v>
      </c>
      <c r="R500" s="1124">
        <f t="shared" si="84"/>
        <v>0</v>
      </c>
      <c r="S500" s="698">
        <f t="shared" si="75"/>
        <v>0</v>
      </c>
    </row>
    <row r="501" spans="1:19">
      <c r="A501" s="491"/>
      <c r="B501" s="348"/>
      <c r="C501" s="313">
        <f t="shared" si="76"/>
        <v>1</v>
      </c>
      <c r="D501" s="1128"/>
      <c r="E501" s="313">
        <f t="shared" si="77"/>
        <v>0.05</v>
      </c>
      <c r="F501" s="1128"/>
      <c r="G501" s="313">
        <f t="shared" si="78"/>
        <v>0.1</v>
      </c>
      <c r="H501" s="1128"/>
      <c r="I501" s="313">
        <f t="shared" si="79"/>
        <v>1</v>
      </c>
      <c r="J501" s="1128"/>
      <c r="K501" s="313">
        <f t="shared" si="80"/>
        <v>1</v>
      </c>
      <c r="L501" s="1128"/>
      <c r="M501" s="313">
        <f t="shared" si="81"/>
        <v>1</v>
      </c>
      <c r="N501" s="1128"/>
      <c r="O501" s="313">
        <f t="shared" si="82"/>
        <v>1</v>
      </c>
      <c r="P501" s="1128"/>
      <c r="Q501" s="313">
        <f t="shared" si="83"/>
        <v>0.2</v>
      </c>
      <c r="R501" s="1124">
        <f t="shared" si="84"/>
        <v>0</v>
      </c>
      <c r="S501" s="698">
        <f t="shared" si="75"/>
        <v>0</v>
      </c>
    </row>
    <row r="502" spans="1:19">
      <c r="A502" s="491"/>
      <c r="B502" s="348"/>
      <c r="C502" s="313">
        <f t="shared" si="76"/>
        <v>1</v>
      </c>
      <c r="D502" s="1128"/>
      <c r="E502" s="313">
        <f t="shared" si="77"/>
        <v>0.05</v>
      </c>
      <c r="F502" s="1128"/>
      <c r="G502" s="313">
        <f t="shared" si="78"/>
        <v>0.1</v>
      </c>
      <c r="H502" s="1128"/>
      <c r="I502" s="313">
        <f t="shared" si="79"/>
        <v>1</v>
      </c>
      <c r="J502" s="1128"/>
      <c r="K502" s="313">
        <f t="shared" si="80"/>
        <v>1</v>
      </c>
      <c r="L502" s="1128"/>
      <c r="M502" s="313">
        <f t="shared" si="81"/>
        <v>1</v>
      </c>
      <c r="N502" s="1128"/>
      <c r="O502" s="313">
        <f t="shared" si="82"/>
        <v>1</v>
      </c>
      <c r="P502" s="1128"/>
      <c r="Q502" s="313">
        <f t="shared" si="83"/>
        <v>0.2</v>
      </c>
      <c r="R502" s="1124">
        <f t="shared" si="84"/>
        <v>0</v>
      </c>
      <c r="S502" s="698">
        <f t="shared" si="75"/>
        <v>0</v>
      </c>
    </row>
    <row r="503" spans="1:19">
      <c r="A503" s="491"/>
      <c r="B503" s="348"/>
      <c r="C503" s="313">
        <f t="shared" si="76"/>
        <v>1</v>
      </c>
      <c r="D503" s="1128"/>
      <c r="E503" s="313">
        <f t="shared" si="77"/>
        <v>0.05</v>
      </c>
      <c r="F503" s="1128"/>
      <c r="G503" s="313">
        <f t="shared" si="78"/>
        <v>0.1</v>
      </c>
      <c r="H503" s="1128"/>
      <c r="I503" s="313">
        <f t="shared" si="79"/>
        <v>1</v>
      </c>
      <c r="J503" s="1128"/>
      <c r="K503" s="313">
        <f t="shared" si="80"/>
        <v>1</v>
      </c>
      <c r="L503" s="1128"/>
      <c r="M503" s="313">
        <f t="shared" si="81"/>
        <v>1</v>
      </c>
      <c r="N503" s="1128"/>
      <c r="O503" s="313">
        <f t="shared" si="82"/>
        <v>1</v>
      </c>
      <c r="P503" s="1128"/>
      <c r="Q503" s="313">
        <f t="shared" si="83"/>
        <v>0.2</v>
      </c>
      <c r="R503" s="1124">
        <f t="shared" si="84"/>
        <v>0</v>
      </c>
      <c r="S503" s="698">
        <f t="shared" si="75"/>
        <v>0</v>
      </c>
    </row>
    <row r="504" spans="1:19">
      <c r="A504" s="491"/>
      <c r="B504" s="348"/>
      <c r="C504" s="313">
        <f t="shared" si="76"/>
        <v>1</v>
      </c>
      <c r="D504" s="1128"/>
      <c r="E504" s="313">
        <f t="shared" si="77"/>
        <v>0.05</v>
      </c>
      <c r="F504" s="1128"/>
      <c r="G504" s="313">
        <f t="shared" si="78"/>
        <v>0.1</v>
      </c>
      <c r="H504" s="1128"/>
      <c r="I504" s="313">
        <f t="shared" si="79"/>
        <v>1</v>
      </c>
      <c r="J504" s="1128"/>
      <c r="K504" s="313">
        <f t="shared" si="80"/>
        <v>1</v>
      </c>
      <c r="L504" s="1128"/>
      <c r="M504" s="313">
        <f t="shared" si="81"/>
        <v>1</v>
      </c>
      <c r="N504" s="1128"/>
      <c r="O504" s="313">
        <f t="shared" si="82"/>
        <v>1</v>
      </c>
      <c r="P504" s="1128"/>
      <c r="Q504" s="313">
        <f t="shared" si="83"/>
        <v>0.2</v>
      </c>
      <c r="R504" s="1124">
        <f t="shared" si="84"/>
        <v>0</v>
      </c>
      <c r="S504" s="698">
        <f t="shared" si="75"/>
        <v>0</v>
      </c>
    </row>
    <row r="505" spans="1:19">
      <c r="A505" s="491"/>
      <c r="B505" s="348"/>
      <c r="C505" s="313">
        <f t="shared" si="76"/>
        <v>1</v>
      </c>
      <c r="D505" s="1128"/>
      <c r="E505" s="313">
        <f t="shared" si="77"/>
        <v>0.05</v>
      </c>
      <c r="F505" s="1128"/>
      <c r="G505" s="313">
        <f t="shared" si="78"/>
        <v>0.1</v>
      </c>
      <c r="H505" s="1128"/>
      <c r="I505" s="313">
        <f t="shared" si="79"/>
        <v>1</v>
      </c>
      <c r="J505" s="1128"/>
      <c r="K505" s="313">
        <f t="shared" si="80"/>
        <v>1</v>
      </c>
      <c r="L505" s="1128"/>
      <c r="M505" s="313">
        <f t="shared" si="81"/>
        <v>1</v>
      </c>
      <c r="N505" s="1128"/>
      <c r="O505" s="313">
        <f t="shared" si="82"/>
        <v>1</v>
      </c>
      <c r="P505" s="1128"/>
      <c r="Q505" s="313">
        <f t="shared" si="83"/>
        <v>0.2</v>
      </c>
      <c r="R505" s="1124">
        <f t="shared" si="84"/>
        <v>0</v>
      </c>
      <c r="S505" s="698">
        <f t="shared" si="75"/>
        <v>0</v>
      </c>
    </row>
    <row r="506" spans="1:19">
      <c r="A506" s="491"/>
      <c r="B506" s="348"/>
      <c r="C506" s="313">
        <f t="shared" si="76"/>
        <v>1</v>
      </c>
      <c r="D506" s="1128"/>
      <c r="E506" s="313">
        <f t="shared" si="77"/>
        <v>0.05</v>
      </c>
      <c r="F506" s="1128"/>
      <c r="G506" s="313">
        <f t="shared" si="78"/>
        <v>0.1</v>
      </c>
      <c r="H506" s="1128"/>
      <c r="I506" s="313">
        <f t="shared" si="79"/>
        <v>1</v>
      </c>
      <c r="J506" s="1128"/>
      <c r="K506" s="313">
        <f t="shared" si="80"/>
        <v>1</v>
      </c>
      <c r="L506" s="1128"/>
      <c r="M506" s="313">
        <f t="shared" si="81"/>
        <v>1</v>
      </c>
      <c r="N506" s="1128"/>
      <c r="O506" s="313">
        <f t="shared" si="82"/>
        <v>1</v>
      </c>
      <c r="P506" s="1128"/>
      <c r="Q506" s="313">
        <f t="shared" si="83"/>
        <v>0.2</v>
      </c>
      <c r="R506" s="1124">
        <f t="shared" si="84"/>
        <v>0</v>
      </c>
      <c r="S506" s="698">
        <f t="shared" si="75"/>
        <v>0</v>
      </c>
    </row>
    <row r="507" spans="1:19">
      <c r="A507" s="491"/>
      <c r="B507" s="348"/>
      <c r="C507" s="313">
        <f t="shared" si="76"/>
        <v>1</v>
      </c>
      <c r="D507" s="1128"/>
      <c r="E507" s="313">
        <f t="shared" si="77"/>
        <v>0.05</v>
      </c>
      <c r="F507" s="1128"/>
      <c r="G507" s="313">
        <f t="shared" si="78"/>
        <v>0.1</v>
      </c>
      <c r="H507" s="1128"/>
      <c r="I507" s="313">
        <f t="shared" si="79"/>
        <v>1</v>
      </c>
      <c r="J507" s="1128"/>
      <c r="K507" s="313">
        <f t="shared" si="80"/>
        <v>1</v>
      </c>
      <c r="L507" s="1128"/>
      <c r="M507" s="313">
        <f t="shared" si="81"/>
        <v>1</v>
      </c>
      <c r="N507" s="1128"/>
      <c r="O507" s="313">
        <f t="shared" si="82"/>
        <v>1</v>
      </c>
      <c r="P507" s="1128"/>
      <c r="Q507" s="313">
        <f t="shared" si="83"/>
        <v>0.2</v>
      </c>
      <c r="R507" s="1124">
        <f t="shared" si="84"/>
        <v>0</v>
      </c>
      <c r="S507" s="698">
        <f t="shared" si="75"/>
        <v>0</v>
      </c>
    </row>
    <row r="508" spans="1:19">
      <c r="A508" s="491"/>
      <c r="B508" s="348"/>
      <c r="C508" s="313">
        <f t="shared" si="76"/>
        <v>1</v>
      </c>
      <c r="D508" s="1128"/>
      <c r="E508" s="313">
        <f t="shared" si="77"/>
        <v>0.05</v>
      </c>
      <c r="F508" s="1128"/>
      <c r="G508" s="313">
        <f t="shared" si="78"/>
        <v>0.1</v>
      </c>
      <c r="H508" s="1128"/>
      <c r="I508" s="313">
        <f t="shared" si="79"/>
        <v>1</v>
      </c>
      <c r="J508" s="1128"/>
      <c r="K508" s="313">
        <f t="shared" si="80"/>
        <v>1</v>
      </c>
      <c r="L508" s="1128"/>
      <c r="M508" s="313">
        <f t="shared" si="81"/>
        <v>1</v>
      </c>
      <c r="N508" s="1128"/>
      <c r="O508" s="313">
        <f t="shared" si="82"/>
        <v>1</v>
      </c>
      <c r="P508" s="1128"/>
      <c r="Q508" s="313">
        <f t="shared" si="83"/>
        <v>0.2</v>
      </c>
      <c r="R508" s="1124">
        <f t="shared" si="84"/>
        <v>0</v>
      </c>
      <c r="S508" s="698">
        <f t="shared" si="75"/>
        <v>0</v>
      </c>
    </row>
    <row r="509" spans="1:19">
      <c r="A509" s="491"/>
      <c r="B509" s="348"/>
      <c r="C509" s="313">
        <f t="shared" si="76"/>
        <v>1</v>
      </c>
      <c r="D509" s="1128"/>
      <c r="E509" s="313">
        <f t="shared" si="77"/>
        <v>0.05</v>
      </c>
      <c r="F509" s="1128"/>
      <c r="G509" s="313">
        <f t="shared" si="78"/>
        <v>0.1</v>
      </c>
      <c r="H509" s="1128"/>
      <c r="I509" s="313">
        <f t="shared" si="79"/>
        <v>1</v>
      </c>
      <c r="J509" s="1128"/>
      <c r="K509" s="313">
        <f t="shared" si="80"/>
        <v>1</v>
      </c>
      <c r="L509" s="1128"/>
      <c r="M509" s="313">
        <f t="shared" si="81"/>
        <v>1</v>
      </c>
      <c r="N509" s="1128"/>
      <c r="O509" s="313">
        <f t="shared" si="82"/>
        <v>1</v>
      </c>
      <c r="P509" s="1128"/>
      <c r="Q509" s="313">
        <f t="shared" si="83"/>
        <v>0.2</v>
      </c>
      <c r="R509" s="1124">
        <f t="shared" si="84"/>
        <v>0</v>
      </c>
      <c r="S509" s="698">
        <f t="shared" si="75"/>
        <v>0</v>
      </c>
    </row>
    <row r="510" spans="1:19">
      <c r="A510" s="491"/>
      <c r="B510" s="348"/>
      <c r="C510" s="313">
        <f t="shared" si="76"/>
        <v>1</v>
      </c>
      <c r="D510" s="1128"/>
      <c r="E510" s="313">
        <f t="shared" si="77"/>
        <v>0.05</v>
      </c>
      <c r="F510" s="1128"/>
      <c r="G510" s="313">
        <f t="shared" si="78"/>
        <v>0.1</v>
      </c>
      <c r="H510" s="1128"/>
      <c r="I510" s="313">
        <f t="shared" si="79"/>
        <v>1</v>
      </c>
      <c r="J510" s="1128"/>
      <c r="K510" s="313">
        <f t="shared" si="80"/>
        <v>1</v>
      </c>
      <c r="L510" s="1128"/>
      <c r="M510" s="313">
        <f t="shared" si="81"/>
        <v>1</v>
      </c>
      <c r="N510" s="1128"/>
      <c r="O510" s="313">
        <f t="shared" si="82"/>
        <v>1</v>
      </c>
      <c r="P510" s="1128"/>
      <c r="Q510" s="313">
        <f t="shared" si="83"/>
        <v>0.2</v>
      </c>
      <c r="R510" s="1124">
        <f t="shared" si="84"/>
        <v>0</v>
      </c>
      <c r="S510" s="698">
        <f t="shared" si="75"/>
        <v>0</v>
      </c>
    </row>
    <row r="511" spans="1:19">
      <c r="A511" s="491"/>
      <c r="B511" s="348"/>
      <c r="C511" s="313">
        <f t="shared" si="76"/>
        <v>1</v>
      </c>
      <c r="D511" s="1128"/>
      <c r="E511" s="313">
        <f t="shared" si="77"/>
        <v>0.05</v>
      </c>
      <c r="F511" s="1128"/>
      <c r="G511" s="313">
        <f t="shared" si="78"/>
        <v>0.1</v>
      </c>
      <c r="H511" s="1128"/>
      <c r="I511" s="313">
        <f t="shared" si="79"/>
        <v>1</v>
      </c>
      <c r="J511" s="1128"/>
      <c r="K511" s="313">
        <f t="shared" si="80"/>
        <v>1</v>
      </c>
      <c r="L511" s="1128"/>
      <c r="M511" s="313">
        <f t="shared" si="81"/>
        <v>1</v>
      </c>
      <c r="N511" s="1128"/>
      <c r="O511" s="313">
        <f t="shared" si="82"/>
        <v>1</v>
      </c>
      <c r="P511" s="1128"/>
      <c r="Q511" s="313">
        <f t="shared" si="83"/>
        <v>0.2</v>
      </c>
      <c r="R511" s="1124">
        <f t="shared" si="84"/>
        <v>0</v>
      </c>
      <c r="S511" s="698">
        <f t="shared" si="75"/>
        <v>0</v>
      </c>
    </row>
    <row r="512" spans="1:19">
      <c r="A512" s="491"/>
      <c r="B512" s="348"/>
      <c r="C512" s="313">
        <f t="shared" si="76"/>
        <v>1</v>
      </c>
      <c r="D512" s="1128"/>
      <c r="E512" s="313">
        <f t="shared" si="77"/>
        <v>0.05</v>
      </c>
      <c r="F512" s="1128"/>
      <c r="G512" s="313">
        <f t="shared" si="78"/>
        <v>0.1</v>
      </c>
      <c r="H512" s="1128"/>
      <c r="I512" s="313">
        <f t="shared" si="79"/>
        <v>1</v>
      </c>
      <c r="J512" s="1128"/>
      <c r="K512" s="313">
        <f t="shared" si="80"/>
        <v>1</v>
      </c>
      <c r="L512" s="1128"/>
      <c r="M512" s="313">
        <f t="shared" si="81"/>
        <v>1</v>
      </c>
      <c r="N512" s="1128"/>
      <c r="O512" s="313">
        <f t="shared" si="82"/>
        <v>1</v>
      </c>
      <c r="P512" s="1128"/>
      <c r="Q512" s="313">
        <f t="shared" si="83"/>
        <v>0.2</v>
      </c>
      <c r="R512" s="1124">
        <f t="shared" si="84"/>
        <v>0</v>
      </c>
      <c r="S512" s="698">
        <f t="shared" si="75"/>
        <v>0</v>
      </c>
    </row>
    <row r="513" spans="1:19">
      <c r="A513" s="491"/>
      <c r="B513" s="348"/>
      <c r="C513" s="313">
        <f t="shared" si="76"/>
        <v>1</v>
      </c>
      <c r="D513" s="1128"/>
      <c r="E513" s="313">
        <f t="shared" si="77"/>
        <v>0.05</v>
      </c>
      <c r="F513" s="1128"/>
      <c r="G513" s="313">
        <f t="shared" si="78"/>
        <v>0.1</v>
      </c>
      <c r="H513" s="1128"/>
      <c r="I513" s="313">
        <f t="shared" si="79"/>
        <v>1</v>
      </c>
      <c r="J513" s="1128"/>
      <c r="K513" s="313">
        <f t="shared" si="80"/>
        <v>1</v>
      </c>
      <c r="L513" s="1128"/>
      <c r="M513" s="313">
        <f t="shared" si="81"/>
        <v>1</v>
      </c>
      <c r="N513" s="1128"/>
      <c r="O513" s="313">
        <f t="shared" si="82"/>
        <v>1</v>
      </c>
      <c r="P513" s="1128"/>
      <c r="Q513" s="313">
        <f t="shared" si="83"/>
        <v>0.2</v>
      </c>
      <c r="R513" s="1124">
        <f t="shared" si="84"/>
        <v>0</v>
      </c>
      <c r="S513" s="698">
        <f t="shared" si="75"/>
        <v>0</v>
      </c>
    </row>
    <row r="514" spans="1:19">
      <c r="A514" s="491"/>
      <c r="B514" s="348"/>
      <c r="C514" s="313">
        <f t="shared" si="76"/>
        <v>1</v>
      </c>
      <c r="D514" s="1128"/>
      <c r="E514" s="313">
        <f t="shared" si="77"/>
        <v>0.05</v>
      </c>
      <c r="F514" s="1128"/>
      <c r="G514" s="313">
        <f t="shared" si="78"/>
        <v>0.1</v>
      </c>
      <c r="H514" s="1128"/>
      <c r="I514" s="313">
        <f t="shared" si="79"/>
        <v>1</v>
      </c>
      <c r="J514" s="1128"/>
      <c r="K514" s="313">
        <f t="shared" si="80"/>
        <v>1</v>
      </c>
      <c r="L514" s="1128"/>
      <c r="M514" s="313">
        <f t="shared" si="81"/>
        <v>1</v>
      </c>
      <c r="N514" s="1128"/>
      <c r="O514" s="313">
        <f t="shared" si="82"/>
        <v>1</v>
      </c>
      <c r="P514" s="1128"/>
      <c r="Q514" s="313">
        <f t="shared" si="83"/>
        <v>0.2</v>
      </c>
      <c r="R514" s="1124">
        <f t="shared" si="84"/>
        <v>0</v>
      </c>
      <c r="S514" s="698">
        <f t="shared" si="75"/>
        <v>0</v>
      </c>
    </row>
    <row r="515" spans="1:19">
      <c r="A515" s="491"/>
      <c r="B515" s="348"/>
      <c r="C515" s="313">
        <f t="shared" si="76"/>
        <v>1</v>
      </c>
      <c r="D515" s="1128"/>
      <c r="E515" s="313">
        <f t="shared" si="77"/>
        <v>0.05</v>
      </c>
      <c r="F515" s="1128"/>
      <c r="G515" s="313">
        <f t="shared" si="78"/>
        <v>0.1</v>
      </c>
      <c r="H515" s="1128"/>
      <c r="I515" s="313">
        <f t="shared" si="79"/>
        <v>1</v>
      </c>
      <c r="J515" s="1128"/>
      <c r="K515" s="313">
        <f t="shared" si="80"/>
        <v>1</v>
      </c>
      <c r="L515" s="1128"/>
      <c r="M515" s="313">
        <f t="shared" si="81"/>
        <v>1</v>
      </c>
      <c r="N515" s="1128"/>
      <c r="O515" s="313">
        <f t="shared" si="82"/>
        <v>1</v>
      </c>
      <c r="P515" s="1128"/>
      <c r="Q515" s="313">
        <f t="shared" si="83"/>
        <v>0.2</v>
      </c>
      <c r="R515" s="1124">
        <f t="shared" si="84"/>
        <v>0</v>
      </c>
      <c r="S515" s="698">
        <f t="shared" si="75"/>
        <v>0</v>
      </c>
    </row>
    <row r="516" spans="1:19">
      <c r="A516" s="491"/>
      <c r="B516" s="348"/>
      <c r="C516" s="313">
        <f t="shared" si="76"/>
        <v>1</v>
      </c>
      <c r="D516" s="1128"/>
      <c r="E516" s="313">
        <f t="shared" si="77"/>
        <v>0.05</v>
      </c>
      <c r="F516" s="1128"/>
      <c r="G516" s="313">
        <f t="shared" si="78"/>
        <v>0.1</v>
      </c>
      <c r="H516" s="1128"/>
      <c r="I516" s="313">
        <f t="shared" si="79"/>
        <v>1</v>
      </c>
      <c r="J516" s="1128"/>
      <c r="K516" s="313">
        <f t="shared" si="80"/>
        <v>1</v>
      </c>
      <c r="L516" s="1128"/>
      <c r="M516" s="313">
        <f t="shared" si="81"/>
        <v>1</v>
      </c>
      <c r="N516" s="1128"/>
      <c r="O516" s="313">
        <f t="shared" si="82"/>
        <v>1</v>
      </c>
      <c r="P516" s="1128"/>
      <c r="Q516" s="313">
        <f t="shared" si="83"/>
        <v>0.2</v>
      </c>
      <c r="R516" s="1124">
        <f t="shared" si="84"/>
        <v>0</v>
      </c>
      <c r="S516" s="698">
        <f t="shared" si="75"/>
        <v>0</v>
      </c>
    </row>
    <row r="517" spans="1:19">
      <c r="A517" s="491"/>
      <c r="B517" s="348"/>
      <c r="C517" s="313">
        <f t="shared" si="76"/>
        <v>1</v>
      </c>
      <c r="D517" s="1128"/>
      <c r="E517" s="313">
        <f t="shared" si="77"/>
        <v>0.05</v>
      </c>
      <c r="F517" s="1128"/>
      <c r="G517" s="313">
        <f t="shared" si="78"/>
        <v>0.1</v>
      </c>
      <c r="H517" s="1128"/>
      <c r="I517" s="313">
        <f t="shared" si="79"/>
        <v>1</v>
      </c>
      <c r="J517" s="1128"/>
      <c r="K517" s="313">
        <f t="shared" si="80"/>
        <v>1</v>
      </c>
      <c r="L517" s="1128"/>
      <c r="M517" s="313">
        <f t="shared" si="81"/>
        <v>1</v>
      </c>
      <c r="N517" s="1128"/>
      <c r="O517" s="313">
        <f t="shared" si="82"/>
        <v>1</v>
      </c>
      <c r="P517" s="1128"/>
      <c r="Q517" s="313">
        <f t="shared" si="83"/>
        <v>0.2</v>
      </c>
      <c r="R517" s="1124">
        <f t="shared" si="84"/>
        <v>0</v>
      </c>
      <c r="S517" s="698">
        <f t="shared" si="75"/>
        <v>0</v>
      </c>
    </row>
    <row r="518" spans="1:19">
      <c r="A518" s="491"/>
      <c r="B518" s="348"/>
      <c r="C518" s="313">
        <f t="shared" si="76"/>
        <v>1</v>
      </c>
      <c r="D518" s="1128"/>
      <c r="E518" s="313">
        <f t="shared" si="77"/>
        <v>0.05</v>
      </c>
      <c r="F518" s="1128"/>
      <c r="G518" s="313">
        <f t="shared" si="78"/>
        <v>0.1</v>
      </c>
      <c r="H518" s="1128"/>
      <c r="I518" s="313">
        <f t="shared" si="79"/>
        <v>1</v>
      </c>
      <c r="J518" s="1128"/>
      <c r="K518" s="313">
        <f t="shared" si="80"/>
        <v>1</v>
      </c>
      <c r="L518" s="1128"/>
      <c r="M518" s="313">
        <f t="shared" si="81"/>
        <v>1</v>
      </c>
      <c r="N518" s="1128"/>
      <c r="O518" s="313">
        <f t="shared" si="82"/>
        <v>1</v>
      </c>
      <c r="P518" s="1128"/>
      <c r="Q518" s="313">
        <f t="shared" si="83"/>
        <v>0.2</v>
      </c>
      <c r="R518" s="1124">
        <f t="shared" si="84"/>
        <v>0</v>
      </c>
      <c r="S518" s="698">
        <f t="shared" si="75"/>
        <v>0</v>
      </c>
    </row>
    <row r="519" spans="1:19">
      <c r="A519" s="491"/>
      <c r="B519" s="348"/>
      <c r="C519" s="313">
        <f t="shared" si="76"/>
        <v>1</v>
      </c>
      <c r="D519" s="1128"/>
      <c r="E519" s="313">
        <f t="shared" si="77"/>
        <v>0.05</v>
      </c>
      <c r="F519" s="1128"/>
      <c r="G519" s="313">
        <f t="shared" si="78"/>
        <v>0.1</v>
      </c>
      <c r="H519" s="1128"/>
      <c r="I519" s="313">
        <f t="shared" si="79"/>
        <v>1</v>
      </c>
      <c r="J519" s="1128"/>
      <c r="K519" s="313">
        <f t="shared" si="80"/>
        <v>1</v>
      </c>
      <c r="L519" s="1128"/>
      <c r="M519" s="313">
        <f t="shared" si="81"/>
        <v>1</v>
      </c>
      <c r="N519" s="1128"/>
      <c r="O519" s="313">
        <f t="shared" si="82"/>
        <v>1</v>
      </c>
      <c r="P519" s="1128"/>
      <c r="Q519" s="313">
        <f t="shared" si="83"/>
        <v>0.2</v>
      </c>
      <c r="R519" s="1124">
        <f t="shared" si="84"/>
        <v>0</v>
      </c>
      <c r="S519" s="698">
        <f t="shared" si="75"/>
        <v>0</v>
      </c>
    </row>
    <row r="520" spans="1:19">
      <c r="A520" s="491"/>
      <c r="B520" s="348"/>
      <c r="C520" s="313">
        <f t="shared" si="76"/>
        <v>1</v>
      </c>
      <c r="D520" s="1128"/>
      <c r="E520" s="313">
        <f t="shared" si="77"/>
        <v>0.05</v>
      </c>
      <c r="F520" s="1128"/>
      <c r="G520" s="313">
        <f t="shared" si="78"/>
        <v>0.1</v>
      </c>
      <c r="H520" s="1128"/>
      <c r="I520" s="313">
        <f t="shared" si="79"/>
        <v>1</v>
      </c>
      <c r="J520" s="1128"/>
      <c r="K520" s="313">
        <f t="shared" si="80"/>
        <v>1</v>
      </c>
      <c r="L520" s="1128"/>
      <c r="M520" s="313">
        <f t="shared" si="81"/>
        <v>1</v>
      </c>
      <c r="N520" s="1128"/>
      <c r="O520" s="313">
        <f t="shared" si="82"/>
        <v>1</v>
      </c>
      <c r="P520" s="1128"/>
      <c r="Q520" s="313">
        <f t="shared" si="83"/>
        <v>0.2</v>
      </c>
      <c r="R520" s="1124">
        <f t="shared" si="84"/>
        <v>0</v>
      </c>
      <c r="S520" s="698">
        <f t="shared" si="75"/>
        <v>0</v>
      </c>
    </row>
    <row r="521" spans="1:19">
      <c r="A521" s="491"/>
      <c r="B521" s="348"/>
      <c r="C521" s="313">
        <f t="shared" si="76"/>
        <v>1</v>
      </c>
      <c r="D521" s="1128"/>
      <c r="E521" s="313">
        <f t="shared" si="77"/>
        <v>0.05</v>
      </c>
      <c r="F521" s="1128"/>
      <c r="G521" s="313">
        <f t="shared" si="78"/>
        <v>0.1</v>
      </c>
      <c r="H521" s="1128"/>
      <c r="I521" s="313">
        <f t="shared" si="79"/>
        <v>1</v>
      </c>
      <c r="J521" s="1128"/>
      <c r="K521" s="313">
        <f t="shared" si="80"/>
        <v>1</v>
      </c>
      <c r="L521" s="1128"/>
      <c r="M521" s="313">
        <f t="shared" si="81"/>
        <v>1</v>
      </c>
      <c r="N521" s="1128"/>
      <c r="O521" s="313">
        <f t="shared" si="82"/>
        <v>1</v>
      </c>
      <c r="P521" s="1128"/>
      <c r="Q521" s="313">
        <f t="shared" si="83"/>
        <v>0.2</v>
      </c>
      <c r="R521" s="1124">
        <f t="shared" si="84"/>
        <v>0</v>
      </c>
      <c r="S521" s="698">
        <f t="shared" si="75"/>
        <v>0</v>
      </c>
    </row>
    <row r="522" spans="1:19">
      <c r="A522" s="491"/>
      <c r="B522" s="348"/>
      <c r="C522" s="313">
        <f t="shared" si="76"/>
        <v>1</v>
      </c>
      <c r="D522" s="1128"/>
      <c r="E522" s="313">
        <f t="shared" si="77"/>
        <v>0.05</v>
      </c>
      <c r="F522" s="1128"/>
      <c r="G522" s="313">
        <f t="shared" si="78"/>
        <v>0.1</v>
      </c>
      <c r="H522" s="1128"/>
      <c r="I522" s="313">
        <f t="shared" si="79"/>
        <v>1</v>
      </c>
      <c r="J522" s="1128"/>
      <c r="K522" s="313">
        <f t="shared" si="80"/>
        <v>1</v>
      </c>
      <c r="L522" s="1128"/>
      <c r="M522" s="313">
        <f t="shared" si="81"/>
        <v>1</v>
      </c>
      <c r="N522" s="1128"/>
      <c r="O522" s="313">
        <f t="shared" si="82"/>
        <v>1</v>
      </c>
      <c r="P522" s="1128"/>
      <c r="Q522" s="313">
        <f t="shared" si="83"/>
        <v>0.2</v>
      </c>
      <c r="R522" s="1124">
        <f t="shared" si="84"/>
        <v>0</v>
      </c>
      <c r="S522" s="698">
        <f t="shared" si="75"/>
        <v>0</v>
      </c>
    </row>
    <row r="523" spans="1:19">
      <c r="A523" s="491"/>
      <c r="B523" s="348"/>
      <c r="C523" s="313">
        <f t="shared" si="76"/>
        <v>1</v>
      </c>
      <c r="D523" s="1128"/>
      <c r="E523" s="313">
        <f t="shared" si="77"/>
        <v>0.05</v>
      </c>
      <c r="F523" s="1128"/>
      <c r="G523" s="313">
        <f t="shared" si="78"/>
        <v>0.1</v>
      </c>
      <c r="H523" s="1128"/>
      <c r="I523" s="313">
        <f t="shared" si="79"/>
        <v>1</v>
      </c>
      <c r="J523" s="1128"/>
      <c r="K523" s="313">
        <f t="shared" si="80"/>
        <v>1</v>
      </c>
      <c r="L523" s="1128"/>
      <c r="M523" s="313">
        <f t="shared" si="81"/>
        <v>1</v>
      </c>
      <c r="N523" s="1128"/>
      <c r="O523" s="313">
        <f t="shared" si="82"/>
        <v>1</v>
      </c>
      <c r="P523" s="1128"/>
      <c r="Q523" s="313">
        <f t="shared" si="83"/>
        <v>0.2</v>
      </c>
      <c r="R523" s="1124">
        <f t="shared" si="84"/>
        <v>0</v>
      </c>
      <c r="S523" s="698">
        <f t="shared" si="75"/>
        <v>0</v>
      </c>
    </row>
    <row r="524" spans="1:19">
      <c r="A524" s="491"/>
      <c r="B524" s="348"/>
      <c r="C524" s="313">
        <f t="shared" si="76"/>
        <v>1</v>
      </c>
      <c r="D524" s="1128"/>
      <c r="E524" s="313">
        <f t="shared" si="77"/>
        <v>0.05</v>
      </c>
      <c r="F524" s="1128"/>
      <c r="G524" s="313">
        <f t="shared" si="78"/>
        <v>0.1</v>
      </c>
      <c r="H524" s="1128"/>
      <c r="I524" s="313">
        <f t="shared" si="79"/>
        <v>1</v>
      </c>
      <c r="J524" s="1128"/>
      <c r="K524" s="313">
        <f t="shared" si="80"/>
        <v>1</v>
      </c>
      <c r="L524" s="1128"/>
      <c r="M524" s="313">
        <f t="shared" si="81"/>
        <v>1</v>
      </c>
      <c r="N524" s="1128"/>
      <c r="O524" s="313">
        <f t="shared" si="82"/>
        <v>1</v>
      </c>
      <c r="P524" s="1128"/>
      <c r="Q524" s="313">
        <f t="shared" si="83"/>
        <v>0.2</v>
      </c>
      <c r="R524" s="1124">
        <f t="shared" si="84"/>
        <v>0</v>
      </c>
      <c r="S524" s="698">
        <f t="shared" si="75"/>
        <v>0</v>
      </c>
    </row>
  </sheetData>
  <sheetProtection password="C66D" sheet="1" objects="1" scenarios="1" formatCells="0" formatColumns="0" formatRows="0"/>
  <mergeCells count="2">
    <mergeCell ref="C1:S1"/>
    <mergeCell ref="C22:Q22"/>
  </mergeCells>
  <phoneticPr fontId="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49"/>
      <c r="C1" s="574"/>
      <c r="D1" s="574"/>
      <c r="E1" s="574"/>
      <c r="F1" s="574"/>
      <c r="G1" s="2750">
        <f>MATCH(B1,'数据-取费表'!A6:A16,0)+5</f>
        <v>7</v>
      </c>
    </row>
    <row r="2" spans="1:9" s="576" customFormat="1" ht="18" customHeight="1">
      <c r="A2" s="577" t="s">
        <v>446</v>
      </c>
      <c r="B2" s="578">
        <f ca="1">IF(D2="——",C52,C52-E2)</f>
        <v>8603</v>
      </c>
      <c r="C2" s="85" t="s">
        <v>867</v>
      </c>
      <c r="D2" s="2870" t="s">
        <v>531</v>
      </c>
      <c r="E2" s="2868" t="e">
        <f ca="1">SUMIF(INDIRECT("'"&amp;G2&amp;"'"&amp;"!A:A"),"承租人权益价值",INDIRECT("'"&amp;G2&amp;"'"&amp;"!c:c"))</f>
        <v>#REF!</v>
      </c>
      <c r="F2" s="2866" t="s">
        <v>867</v>
      </c>
      <c r="G2" s="2869"/>
    </row>
    <row r="3" spans="1:9" s="576" customFormat="1" ht="18" customHeight="1" thickBot="1">
      <c r="A3" s="579" t="s">
        <v>447</v>
      </c>
      <c r="B3" s="580">
        <f ca="1">ROUND(B2*10000/(IF(B1="",'数据-汇总表'!E3,INDIRECT("'数据-取费表'!k"&amp;$G$1))),0)</f>
        <v>2748</v>
      </c>
      <c r="C3" s="85" t="s">
        <v>868</v>
      </c>
      <c r="D3" s="575"/>
      <c r="E3" s="575"/>
      <c r="F3" s="575"/>
      <c r="G3" s="575"/>
    </row>
    <row r="4" spans="1:9" s="584" customFormat="1" ht="15.75">
      <c r="A4" s="581" t="s">
        <v>820</v>
      </c>
      <c r="B4" s="582"/>
      <c r="C4" s="582"/>
      <c r="D4" s="582"/>
      <c r="E4" s="582"/>
      <c r="F4" s="582"/>
      <c r="G4" s="583"/>
    </row>
    <row r="5" spans="1:9" s="590" customFormat="1" ht="13.5" customHeight="1">
      <c r="A5" s="631" t="s">
        <v>2513</v>
      </c>
      <c r="B5" s="586" t="s">
        <v>821</v>
      </c>
      <c r="C5" s="587">
        <f>C6+C7+C8</f>
        <v>155</v>
      </c>
      <c r="D5" s="587" t="s">
        <v>822</v>
      </c>
      <c r="E5" s="588" t="s">
        <v>823</v>
      </c>
      <c r="F5" s="588" t="s">
        <v>824</v>
      </c>
      <c r="G5" s="589"/>
    </row>
    <row r="6" spans="1:9" s="590" customFormat="1" ht="13.5" customHeight="1">
      <c r="A6" s="1800" t="s">
        <v>1923</v>
      </c>
      <c r="B6" s="591" t="s">
        <v>825</v>
      </c>
      <c r="C6" s="592"/>
      <c r="D6" s="593"/>
      <c r="E6" s="594"/>
      <c r="F6" s="594"/>
      <c r="G6" s="595"/>
    </row>
    <row r="7" spans="1:9" s="590" customFormat="1" ht="13.5" customHeight="1">
      <c r="A7" s="1800" t="s">
        <v>1924</v>
      </c>
      <c r="B7" s="591" t="s">
        <v>347</v>
      </c>
      <c r="C7" s="596">
        <f>ROUND(C6*F7,0)</f>
        <v>0</v>
      </c>
      <c r="D7" s="596"/>
      <c r="E7" s="594"/>
      <c r="F7" s="597">
        <f>'数据-取费表'!B48+'数据-取费表'!B49</f>
        <v>3.0499999999999999E-2</v>
      </c>
      <c r="G7" s="595"/>
    </row>
    <row r="8" spans="1:9" s="599" customFormat="1">
      <c r="A8" s="1800" t="s">
        <v>1925</v>
      </c>
      <c r="B8" s="591" t="s">
        <v>826</v>
      </c>
      <c r="C8" s="596">
        <f>IF(G8="已包含在土地购买价格中","0",IF(B1="",'数据-取费表'!B29,IF(G9="全部缴纳",C9+C10,H9)))</f>
        <v>155</v>
      </c>
      <c r="D8" s="598"/>
      <c r="E8" s="596"/>
      <c r="F8" s="597"/>
      <c r="G8" s="84"/>
    </row>
    <row r="9" spans="1:9" s="590" customFormat="1" ht="13.5" customHeight="1">
      <c r="A9" s="1801" t="s">
        <v>1932</v>
      </c>
      <c r="B9" s="600" t="s">
        <v>827</v>
      </c>
      <c r="C9" s="601">
        <f ca="1">ROUND(D9*E9/10000,0)</f>
        <v>0</v>
      </c>
      <c r="D9" s="1905">
        <f ca="1">IF(B1="",'数据-汇总表'!E5,IF(INDIRECT("'数据-取费表'!c"&amp;$G$1)="住宅",INDIRECT("'数据-取费表'!k"&amp;$G$1),0))</f>
        <v>0</v>
      </c>
      <c r="E9" s="601">
        <f>'数据-取费表'!B27</f>
        <v>0</v>
      </c>
      <c r="F9" s="597"/>
      <c r="G9" s="2800"/>
      <c r="H9" s="2801"/>
      <c r="I9" s="2802" t="s">
        <v>2694</v>
      </c>
    </row>
    <row r="10" spans="1:9" s="590" customFormat="1" ht="13.5" customHeight="1">
      <c r="A10" s="1801" t="s">
        <v>1933</v>
      </c>
      <c r="B10" s="600" t="s">
        <v>828</v>
      </c>
      <c r="C10" s="601">
        <f ca="1">ROUND(D10*E10/10000,0)</f>
        <v>344</v>
      </c>
      <c r="D10" s="1905">
        <f ca="1">IF(B1="",'数据-汇总表'!E6,IF(INDIRECT("'数据-取费表'!c"&amp;$G$1)="住宅",INDIRECT("'数据-取费表'!s"&amp;$G$1),INDIRECT("'数据-取费表'!k"&amp;$G$1)+INDIRECT("'数据-取费表'!s"&amp;$G$1)))</f>
        <v>31303.89</v>
      </c>
      <c r="E10" s="601">
        <f>'数据-取费表'!B28</f>
        <v>110</v>
      </c>
      <c r="F10" s="597"/>
      <c r="G10" s="602"/>
    </row>
    <row r="11" spans="1:9" s="590" customFormat="1" ht="13.5" hidden="1" customHeight="1">
      <c r="A11" s="603" t="s">
        <v>42</v>
      </c>
      <c r="B11" s="591" t="s">
        <v>829</v>
      </c>
      <c r="C11" s="587"/>
      <c r="D11" s="1907"/>
      <c r="E11" s="594"/>
      <c r="F11" s="594"/>
      <c r="G11" s="595"/>
    </row>
    <row r="12" spans="1:9" s="590" customFormat="1" ht="13.5" hidden="1" customHeight="1">
      <c r="A12" s="603" t="s">
        <v>43</v>
      </c>
      <c r="B12" s="591" t="s">
        <v>830</v>
      </c>
      <c r="C12" s="587">
        <v>0</v>
      </c>
      <c r="D12" s="1907"/>
      <c r="E12" s="604"/>
      <c r="F12" s="597">
        <v>3.0499999999999999E-2</v>
      </c>
      <c r="G12" s="595"/>
    </row>
    <row r="13" spans="1:9" s="590" customFormat="1" ht="13.5" hidden="1" customHeight="1">
      <c r="A13" s="603" t="s">
        <v>44</v>
      </c>
      <c r="B13" s="591" t="s">
        <v>831</v>
      </c>
      <c r="C13" s="587"/>
      <c r="D13" s="1907"/>
      <c r="E13" s="594"/>
      <c r="F13" s="594"/>
      <c r="G13" s="595"/>
    </row>
    <row r="14" spans="1:9" s="590" customFormat="1" ht="13.5" hidden="1" customHeight="1">
      <c r="A14" s="603" t="s">
        <v>45</v>
      </c>
      <c r="B14" s="591" t="s">
        <v>826</v>
      </c>
      <c r="C14" s="587"/>
      <c r="D14" s="1907"/>
      <c r="E14" s="594"/>
      <c r="F14" s="594"/>
      <c r="G14" s="595" t="s">
        <v>832</v>
      </c>
    </row>
    <row r="15" spans="1:9" s="590" customFormat="1" ht="13.5" hidden="1" customHeight="1">
      <c r="A15" s="603" t="s">
        <v>46</v>
      </c>
      <c r="B15" s="591" t="s">
        <v>833</v>
      </c>
      <c r="C15" s="596"/>
      <c r="D15" s="1907"/>
      <c r="E15" s="594"/>
      <c r="F15" s="594"/>
      <c r="G15" s="595" t="s">
        <v>834</v>
      </c>
    </row>
    <row r="16" spans="1:9"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2514</v>
      </c>
      <c r="B19" s="586" t="s">
        <v>845</v>
      </c>
      <c r="C19" s="587">
        <f ca="1">IF(G19="已包含在土地取得成本中","0",ROUND(D19*E19/10000,0))</f>
        <v>626</v>
      </c>
      <c r="D19" s="1909">
        <f ca="1">D9+D10</f>
        <v>31303.89</v>
      </c>
      <c r="E19" s="587">
        <f>'数据-取费表'!B31</f>
        <v>200</v>
      </c>
      <c r="F19" s="607"/>
      <c r="G19" s="84"/>
    </row>
    <row r="20" spans="1:7" s="590" customFormat="1" ht="13.5" customHeight="1">
      <c r="A20" s="1799" t="s">
        <v>2516</v>
      </c>
      <c r="B20" s="586" t="s">
        <v>838</v>
      </c>
      <c r="C20" s="608">
        <f ca="1">ROUND((C5+C19)*F20,0)</f>
        <v>12</v>
      </c>
      <c r="D20" s="608"/>
      <c r="E20" s="608"/>
      <c r="F20" s="609">
        <f>'数据-取费表'!B37</f>
        <v>1.4999999999999999E-2</v>
      </c>
      <c r="G20" s="2617" t="s">
        <v>2527</v>
      </c>
    </row>
    <row r="21" spans="1:7" s="590" customFormat="1" ht="13.5" customHeight="1">
      <c r="A21" s="1799" t="s">
        <v>2518</v>
      </c>
      <c r="B21" s="586" t="s">
        <v>839</v>
      </c>
      <c r="C21" s="611">
        <f>F21</f>
        <v>0.01</v>
      </c>
      <c r="D21" s="612" t="s">
        <v>860</v>
      </c>
      <c r="E21" s="608"/>
      <c r="F21" s="609">
        <f>'数据-取费表'!B38</f>
        <v>0.01</v>
      </c>
      <c r="G21" s="610" t="s">
        <v>840</v>
      </c>
    </row>
    <row r="22" spans="1:7" s="590" customFormat="1" ht="13.5" customHeight="1">
      <c r="A22" s="1799" t="s">
        <v>1918</v>
      </c>
      <c r="B22" s="586" t="s">
        <v>841</v>
      </c>
      <c r="C22" s="2696">
        <f ca="1">ROUND(SUM(C23:C25),0)</f>
        <v>97</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1923</v>
      </c>
      <c r="B23" s="591" t="s">
        <v>2520</v>
      </c>
      <c r="C23" s="2697">
        <f ca="1">ROUND(IF('数据-取费表'!B22&lt;=1,C5*F22*'数据-取费表'!B23,C5*(POWER((1+F22),'数据-取费表'!B23)-1)),0)</f>
        <v>19</v>
      </c>
      <c r="D23" s="614"/>
      <c r="E23" s="614"/>
      <c r="F23" s="615"/>
      <c r="G23" s="616" t="s">
        <v>842</v>
      </c>
    </row>
    <row r="24" spans="1:7" s="590" customFormat="1" ht="13.5" customHeight="1">
      <c r="A24" s="1802" t="s">
        <v>1924</v>
      </c>
      <c r="B24" s="591" t="s">
        <v>2515</v>
      </c>
      <c r="C24" s="2697">
        <f ca="1">ROUND(IF('数据-取费表'!B22&lt;=1,C19*F22*('数据-取费表'!B19/2+'数据-取费表'!B21),C19*(POWER((1+F22),('数据-取费表'!B19/2+'数据-取费表'!B21))-1)),0)</f>
        <v>77</v>
      </c>
      <c r="D24" s="614"/>
      <c r="E24" s="614"/>
      <c r="F24" s="615"/>
      <c r="G24" s="616" t="s">
        <v>843</v>
      </c>
    </row>
    <row r="25" spans="1:7" s="590" customFormat="1" ht="24">
      <c r="A25" s="1802" t="s">
        <v>1925</v>
      </c>
      <c r="B25" s="591" t="s">
        <v>2517</v>
      </c>
      <c r="C25" s="2697">
        <f ca="1">ROUND(IF('数据-取费表'!B22&lt;=1,C20*F22*'数据-取费表'!B23/2,C20*(POWER((1+F22),'数据-取费表'!B23/2)-1)),0)</f>
        <v>1</v>
      </c>
      <c r="D25" s="614"/>
      <c r="E25" s="617"/>
      <c r="F25" s="615"/>
      <c r="G25" s="618" t="s">
        <v>844</v>
      </c>
    </row>
    <row r="26" spans="1:7" s="590" customFormat="1">
      <c r="A26" s="1802" t="s">
        <v>1927</v>
      </c>
      <c r="B26" s="591" t="s">
        <v>2519</v>
      </c>
      <c r="C26" s="614">
        <f ca="1">ROUND(IF('数据-取费表'!B22&lt;=1,F21*F22*'数据-取费表'!B23/2,F21*(POWER((1+F22),'数据-取费表'!B23/2)-1)),4)</f>
        <v>5.9999999999999995E-4</v>
      </c>
      <c r="D26" s="614"/>
      <c r="E26" s="617"/>
      <c r="F26" s="615"/>
      <c r="G26" s="619"/>
    </row>
    <row r="27" spans="1:7" s="590" customFormat="1" ht="24.75">
      <c r="A27" s="1799" t="s">
        <v>1919</v>
      </c>
      <c r="B27" s="620" t="s">
        <v>846</v>
      </c>
      <c r="C27" s="621">
        <f ca="1">C28</f>
        <v>40</v>
      </c>
      <c r="D27" s="611">
        <f ca="1">C29</f>
        <v>5.0000000000000001E-4</v>
      </c>
      <c r="E27" s="612" t="s">
        <v>860</v>
      </c>
      <c r="F27" s="622">
        <f ca="1">IF(B1="",'数据-取费表'!Q16,INDIRECT("'数据-取费表'!q"&amp;$G$1))</f>
        <v>0.05</v>
      </c>
      <c r="G27" s="623" t="s">
        <v>2528</v>
      </c>
    </row>
    <row r="28" spans="1:7" s="590" customFormat="1" ht="13.5" customHeight="1">
      <c r="A28" s="1802" t="s">
        <v>1923</v>
      </c>
      <c r="B28" s="624" t="s">
        <v>2521</v>
      </c>
      <c r="C28" s="625">
        <f ca="1">ROUND((C5+C19+C20)*F27*'数据-取费表'!B21/'数据-取费表'!B20,0)</f>
        <v>40</v>
      </c>
      <c r="D28" s="611"/>
      <c r="E28" s="612"/>
      <c r="F28" s="622"/>
      <c r="G28" s="623"/>
    </row>
    <row r="29" spans="1:7" s="590" customFormat="1" ht="13.5" customHeight="1">
      <c r="A29" s="1802" t="s">
        <v>1924</v>
      </c>
      <c r="B29" s="624" t="s">
        <v>2522</v>
      </c>
      <c r="C29" s="614">
        <f ca="1">ROUND(C21*F27*'数据-取费表'!B21/'数据-取费表'!B20,4)</f>
        <v>5.0000000000000001E-4</v>
      </c>
      <c r="D29" s="611"/>
      <c r="E29" s="612"/>
      <c r="F29" s="622"/>
      <c r="G29" s="623"/>
    </row>
    <row r="30" spans="1:7" s="590" customFormat="1" ht="13.5" customHeight="1">
      <c r="A30" s="1799" t="s">
        <v>1920</v>
      </c>
      <c r="B30" s="586" t="s">
        <v>348</v>
      </c>
      <c r="C30" s="611">
        <f>ROUND(F30/(1+'数据-取费表'!C42),4)</f>
        <v>5.33E-2</v>
      </c>
      <c r="D30" s="612" t="s">
        <v>2948</v>
      </c>
      <c r="E30" s="617"/>
      <c r="F30" s="613">
        <f>'数据-取费表'!B41</f>
        <v>5.6000000000000001E-2</v>
      </c>
      <c r="G30" s="2617" t="s">
        <v>2949</v>
      </c>
    </row>
    <row r="31" spans="1:7" ht="16.5" customHeight="1">
      <c r="A31" s="585">
        <v>1</v>
      </c>
      <c r="B31" s="586" t="s">
        <v>862</v>
      </c>
      <c r="C31" s="587">
        <f ca="1">ROUND((C5+C19+C20+C22+C27)/(1-C21-D22-D27-C30),0)</f>
        <v>994</v>
      </c>
      <c r="D31" s="606"/>
      <c r="E31" s="587"/>
      <c r="F31" s="626"/>
      <c r="G31" s="610" t="s">
        <v>2529</v>
      </c>
    </row>
    <row r="32" spans="1:7" s="584" customFormat="1" ht="15.75">
      <c r="A32" s="628" t="s">
        <v>848</v>
      </c>
      <c r="B32" s="629"/>
      <c r="C32" s="629"/>
      <c r="D32" s="629"/>
      <c r="E32" s="629"/>
      <c r="F32" s="629"/>
      <c r="G32" s="630"/>
    </row>
    <row r="33" spans="1:7" s="590" customFormat="1" ht="13.5" customHeight="1">
      <c r="A33" s="631" t="s">
        <v>1914</v>
      </c>
      <c r="B33" s="586" t="s">
        <v>849</v>
      </c>
      <c r="C33" s="632">
        <f ca="1">SUM(C34:C38)</f>
        <v>6515</v>
      </c>
      <c r="D33" s="608"/>
      <c r="E33" s="588"/>
      <c r="F33" s="617"/>
      <c r="G33" s="610"/>
    </row>
    <row r="34" spans="1:7" s="634" customFormat="1" ht="13.5" customHeight="1">
      <c r="A34" s="1802" t="s">
        <v>1923</v>
      </c>
      <c r="B34" s="591" t="s">
        <v>349</v>
      </c>
      <c r="C34" s="596">
        <f ca="1">IF(B1="",IF(F34=100%,'数据-取费表'!M16,'数据-取费表'!O16),IF(F34=100%,INDIRECT("'数据-取费表'!m"&amp;$G$1)+INDIRECT("'数据-取费表'!t"&amp;$G$1),INDIRECT("'数据-取费表'!o"&amp;$G$1)+INDIRECT("'数据-取费表'!aq"&amp;$G$1)))</f>
        <v>5635</v>
      </c>
      <c r="D34" s="593"/>
      <c r="E34" s="596"/>
      <c r="F34" s="633">
        <f ca="1">IF('数据-取费表'!B24=0,1,IF(B1="",'数据-取费表'!N16,INDIRECT("'数据-取费表'!n"&amp;$G$1)))</f>
        <v>1</v>
      </c>
      <c r="G34" s="595" t="s">
        <v>850</v>
      </c>
    </row>
    <row r="35" spans="1:7" ht="13.5" customHeight="1">
      <c r="A35" s="1802" t="s">
        <v>1928</v>
      </c>
      <c r="B35" s="591" t="s">
        <v>350</v>
      </c>
      <c r="C35" s="596">
        <f ca="1">ROUND(C34*F35,0)</f>
        <v>169</v>
      </c>
      <c r="D35" s="596"/>
      <c r="E35" s="596"/>
      <c r="F35" s="635">
        <f>'数据-取费表'!B33</f>
        <v>0.03</v>
      </c>
      <c r="G35" s="595" t="s">
        <v>851</v>
      </c>
    </row>
    <row r="36" spans="1:7" ht="24">
      <c r="A36" s="1802" t="s">
        <v>1929</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2" t="s">
        <v>1930</v>
      </c>
      <c r="B37" s="591" t="s">
        <v>852</v>
      </c>
      <c r="C37" s="625">
        <f ca="1">ROUND(E37*D37*F34/10000,0)</f>
        <v>626</v>
      </c>
      <c r="D37" s="593">
        <f ca="1">D19</f>
        <v>31303.89</v>
      </c>
      <c r="E37" s="625">
        <f>'数据-取费表'!B35</f>
        <v>200</v>
      </c>
      <c r="F37" s="635"/>
      <c r="G37" s="637" t="s">
        <v>853</v>
      </c>
    </row>
    <row r="38" spans="1:7" ht="13.5" customHeight="1">
      <c r="A38" s="1802" t="s">
        <v>1931</v>
      </c>
      <c r="B38" s="591" t="s">
        <v>353</v>
      </c>
      <c r="C38" s="596">
        <f ca="1">ROUND(C34*F38,0)</f>
        <v>85</v>
      </c>
      <c r="D38" s="596"/>
      <c r="E38" s="596"/>
      <c r="F38" s="635">
        <f>'数据-取费表'!B36</f>
        <v>1.4999999999999999E-2</v>
      </c>
      <c r="G38" s="595" t="s">
        <v>851</v>
      </c>
    </row>
    <row r="39" spans="1:7" s="590" customFormat="1" ht="13.5" customHeight="1">
      <c r="A39" s="1799" t="s">
        <v>1915</v>
      </c>
      <c r="B39" s="586" t="s">
        <v>838</v>
      </c>
      <c r="C39" s="608">
        <f ca="1">ROUND(C33*F20,0)</f>
        <v>98</v>
      </c>
      <c r="D39" s="608"/>
      <c r="E39" s="608"/>
      <c r="F39" s="609"/>
      <c r="G39" s="2617" t="s">
        <v>2530</v>
      </c>
    </row>
    <row r="40" spans="1:7" s="590" customFormat="1" ht="13.5" customHeight="1">
      <c r="A40" s="1799" t="s">
        <v>1916</v>
      </c>
      <c r="B40" s="586" t="s">
        <v>839</v>
      </c>
      <c r="C40" s="3236">
        <f>F21</f>
        <v>0.01</v>
      </c>
      <c r="D40" s="612" t="s">
        <v>863</v>
      </c>
      <c r="E40" s="608"/>
      <c r="F40" s="609"/>
      <c r="G40" s="610" t="s">
        <v>854</v>
      </c>
    </row>
    <row r="41" spans="1:7" s="590" customFormat="1" ht="13.5" customHeight="1">
      <c r="A41" s="1799" t="s">
        <v>1917</v>
      </c>
      <c r="B41" s="586" t="s">
        <v>841</v>
      </c>
      <c r="C41" s="608">
        <f ca="1">ROUND(SUM(C42:C43),0)</f>
        <v>395</v>
      </c>
      <c r="D41" s="611">
        <f ca="1">C44</f>
        <v>5.9999999999999995E-4</v>
      </c>
      <c r="E41" s="612" t="s">
        <v>863</v>
      </c>
      <c r="F41" s="613"/>
      <c r="G41" s="2617" t="str">
        <f>IF('数据-取费表'!B22&lt;=1,"单利计息","复利计息")</f>
        <v>复利计息</v>
      </c>
    </row>
    <row r="42" spans="1:7" ht="13.5" customHeight="1">
      <c r="A42" s="1802" t="s">
        <v>1923</v>
      </c>
      <c r="B42" s="591" t="s">
        <v>2520</v>
      </c>
      <c r="C42" s="614">
        <f ca="1">ROUND(IF('数据-取费表'!B22&lt;=1,C33*F22*'数据-取费表'!B21/2,C33*(POWER((1+F22),'数据-取费表'!B21/2)-1)),0)</f>
        <v>389</v>
      </c>
      <c r="D42" s="614"/>
      <c r="E42" s="614"/>
      <c r="F42" s="615"/>
      <c r="G42" s="3707" t="s">
        <v>855</v>
      </c>
    </row>
    <row r="43" spans="1:7" ht="13.5" customHeight="1">
      <c r="A43" s="1802" t="s">
        <v>1924</v>
      </c>
      <c r="B43" s="591" t="s">
        <v>2523</v>
      </c>
      <c r="C43" s="614">
        <f ca="1">ROUND(IF('数据-取费表'!B22&lt;=1,C39*F22*'数据-取费表'!B21/2,C39*(POWER((1+F22),'数据-取费表'!B21/2)-1)),0)</f>
        <v>6</v>
      </c>
      <c r="D43" s="614"/>
      <c r="E43" s="614"/>
      <c r="F43" s="615"/>
      <c r="G43" s="3708"/>
    </row>
    <row r="44" spans="1:7" ht="13.5" customHeight="1">
      <c r="A44" s="1802" t="s">
        <v>1925</v>
      </c>
      <c r="B44" s="591" t="s">
        <v>2525</v>
      </c>
      <c r="C44" s="614">
        <f ca="1">ROUND(IF('数据-取费表'!B22&lt;=1,C40*F22*'数据-取费表'!B21/2,C40*(POWER((1+F22),'数据-取费表'!B21/2)-1)),4)</f>
        <v>5.9999999999999995E-4</v>
      </c>
      <c r="D44" s="614"/>
      <c r="E44" s="614"/>
      <c r="F44" s="615"/>
      <c r="G44" s="3709"/>
    </row>
    <row r="45" spans="1:7" s="590" customFormat="1" ht="13.5" customHeight="1">
      <c r="A45" s="1799" t="s">
        <v>1918</v>
      </c>
      <c r="B45" s="620" t="s">
        <v>846</v>
      </c>
      <c r="C45" s="621">
        <f ca="1">C46</f>
        <v>331</v>
      </c>
      <c r="D45" s="611">
        <f ca="1">C47</f>
        <v>5.0000000000000001E-4</v>
      </c>
      <c r="E45" s="612" t="s">
        <v>863</v>
      </c>
      <c r="F45" s="622"/>
      <c r="G45" s="623" t="s">
        <v>2531</v>
      </c>
    </row>
    <row r="46" spans="1:7" s="590" customFormat="1" ht="13.5" customHeight="1">
      <c r="A46" s="1802" t="s">
        <v>1923</v>
      </c>
      <c r="B46" s="624" t="s">
        <v>2524</v>
      </c>
      <c r="C46" s="625">
        <f ca="1">ROUND((C33+C39)*F27,0)</f>
        <v>331</v>
      </c>
      <c r="D46" s="639"/>
      <c r="E46" s="612"/>
      <c r="F46" s="622"/>
      <c r="G46" s="623"/>
    </row>
    <row r="47" spans="1:7" s="590" customFormat="1" ht="13.5" customHeight="1">
      <c r="A47" s="1802" t="s">
        <v>1924</v>
      </c>
      <c r="B47" s="624" t="s">
        <v>2526</v>
      </c>
      <c r="C47" s="614">
        <f ca="1">ROUND(C40*F27,4)</f>
        <v>5.0000000000000001E-4</v>
      </c>
      <c r="D47" s="639"/>
      <c r="E47" s="612"/>
      <c r="F47" s="622"/>
      <c r="G47" s="623"/>
    </row>
    <row r="48" spans="1:7" s="590" customFormat="1" ht="13.5" customHeight="1">
      <c r="A48" s="1799" t="s">
        <v>1919</v>
      </c>
      <c r="B48" s="586" t="s">
        <v>856</v>
      </c>
      <c r="C48" s="3236">
        <f>ROUND(F30/(1+'数据-取费表'!C42),4)</f>
        <v>5.33E-2</v>
      </c>
      <c r="D48" s="612" t="s">
        <v>2950</v>
      </c>
      <c r="E48" s="608"/>
      <c r="F48" s="613"/>
      <c r="G48" s="2617" t="s">
        <v>2951</v>
      </c>
    </row>
    <row r="49" spans="1:7" ht="16.5" customHeight="1">
      <c r="A49" s="1799" t="s">
        <v>1920</v>
      </c>
      <c r="B49" s="586" t="s">
        <v>865</v>
      </c>
      <c r="C49" s="608">
        <f ca="1">ROUND((C33+C39+C41+C45)/(1-C40-D41-D45-C48),0)</f>
        <v>7844</v>
      </c>
      <c r="D49" s="608"/>
      <c r="E49" s="608"/>
      <c r="F49" s="640"/>
      <c r="G49" s="610" t="s">
        <v>2532</v>
      </c>
    </row>
    <row r="50" spans="1:7" s="634" customFormat="1" ht="24">
      <c r="A50" s="1799" t="s">
        <v>1921</v>
      </c>
      <c r="B50" s="586" t="s">
        <v>858</v>
      </c>
      <c r="C50" s="608"/>
      <c r="D50" s="608"/>
      <c r="E50" s="608"/>
      <c r="F50" s="640">
        <f>IF('数据-取费表'!B24=0,'数据-取费表'!N16,1)</f>
        <v>0.97</v>
      </c>
      <c r="G50" s="623" t="s">
        <v>859</v>
      </c>
    </row>
    <row r="51" spans="1:7" ht="16.5" customHeight="1">
      <c r="A51" s="1799" t="s">
        <v>1922</v>
      </c>
      <c r="B51" s="586" t="s">
        <v>866</v>
      </c>
      <c r="C51" s="608">
        <f ca="1">ROUND(C49*F50,0)</f>
        <v>7609</v>
      </c>
      <c r="D51" s="608"/>
      <c r="E51" s="608"/>
      <c r="F51" s="640"/>
      <c r="G51" s="610" t="s">
        <v>354</v>
      </c>
    </row>
    <row r="52" spans="1:7" s="584" customFormat="1" ht="16.5" thickBot="1">
      <c r="A52" s="641" t="s">
        <v>355</v>
      </c>
      <c r="B52" s="642"/>
      <c r="C52" s="643">
        <f ca="1">C31+C51</f>
        <v>8603</v>
      </c>
      <c r="D52" s="642"/>
      <c r="E52" s="642"/>
      <c r="F52" s="642"/>
      <c r="G52" s="644"/>
    </row>
    <row r="55" spans="1:7" ht="15">
      <c r="B55" s="646" t="s">
        <v>356</v>
      </c>
      <c r="C55" s="647"/>
    </row>
    <row r="56" spans="1:7">
      <c r="B56" s="2872" t="s">
        <v>2706</v>
      </c>
      <c r="C56" s="651">
        <f ca="1">1-C57</f>
        <v>0.11599999999999999</v>
      </c>
    </row>
    <row r="57" spans="1:7">
      <c r="B57" s="2872" t="s">
        <v>2705</v>
      </c>
      <c r="C57" s="650">
        <f ca="1">ROUND(C51/C52,3)</f>
        <v>0.88400000000000001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49"/>
      <c r="C1" s="2754" t="s">
        <v>2637</v>
      </c>
      <c r="D1" s="574"/>
      <c r="E1" s="574"/>
      <c r="F1" s="574"/>
      <c r="G1" s="2750">
        <f>MATCH(B1,'数据-取费表'!A6:A16,0)+5</f>
        <v>7</v>
      </c>
      <c r="H1" s="2581" t="str">
        <f>IF(ISERROR(FIND("住宅",B1)),"非住宅","住宅")</f>
        <v>非住宅</v>
      </c>
    </row>
    <row r="2" spans="1:8" s="576" customFormat="1" ht="18" customHeight="1">
      <c r="A2" s="577" t="s">
        <v>345</v>
      </c>
      <c r="B2" s="578">
        <f ca="1">ROUND(IF(D2="——",C52/10000,C52/10000-E2),0)</f>
        <v>8841</v>
      </c>
      <c r="C2" s="85" t="s">
        <v>867</v>
      </c>
      <c r="D2" s="2870" t="s">
        <v>531</v>
      </c>
      <c r="E2" s="2868" t="e">
        <f ca="1">SUMIF(INDIRECT("'"&amp;G2&amp;"'"&amp;"!A:A"),"承租人权益价值",INDIRECT("'"&amp;G2&amp;"'"&amp;"!c:c"))</f>
        <v>#REF!</v>
      </c>
      <c r="F2" s="2866" t="s">
        <v>867</v>
      </c>
      <c r="G2" s="2869"/>
    </row>
    <row r="3" spans="1:8" s="576" customFormat="1" ht="18" customHeight="1" thickBot="1">
      <c r="A3" s="579" t="s">
        <v>346</v>
      </c>
      <c r="B3" s="580">
        <f ca="1">ROUND(B2*10000/(IF(B1="",'数据-汇总表'!E3,INDIRECT("'数据-取费表'!k"&amp;$G$1))),0)</f>
        <v>2824</v>
      </c>
      <c r="C3" s="85" t="s">
        <v>868</v>
      </c>
      <c r="D3" s="575"/>
      <c r="E3" s="575"/>
      <c r="F3" s="575"/>
      <c r="G3" s="575"/>
    </row>
    <row r="4" spans="1:8" s="584" customFormat="1" ht="15.75">
      <c r="A4" s="581" t="s">
        <v>820</v>
      </c>
      <c r="B4" s="582"/>
      <c r="C4" s="582"/>
      <c r="D4" s="582"/>
      <c r="E4" s="582"/>
      <c r="F4" s="582"/>
      <c r="G4" s="583"/>
    </row>
    <row r="5" spans="1:8" s="590" customFormat="1" ht="13.5" customHeight="1">
      <c r="A5" s="631" t="s">
        <v>1914</v>
      </c>
      <c r="B5" s="586" t="s">
        <v>821</v>
      </c>
      <c r="C5" s="587">
        <f ca="1">C6+C7+C8</f>
        <v>3443428</v>
      </c>
      <c r="D5" s="587" t="s">
        <v>822</v>
      </c>
      <c r="E5" s="588" t="s">
        <v>823</v>
      </c>
      <c r="F5" s="588" t="s">
        <v>824</v>
      </c>
      <c r="G5" s="589"/>
    </row>
    <row r="6" spans="1:8" s="590" customFormat="1" ht="13.5" customHeight="1">
      <c r="A6" s="1800" t="s">
        <v>1923</v>
      </c>
      <c r="B6" s="591" t="s">
        <v>825</v>
      </c>
      <c r="C6" s="592"/>
      <c r="D6" s="593"/>
      <c r="E6" s="594"/>
      <c r="F6" s="594"/>
      <c r="G6" s="595"/>
    </row>
    <row r="7" spans="1:8" s="590" customFormat="1" ht="13.5" customHeight="1">
      <c r="A7" s="1800" t="s">
        <v>1924</v>
      </c>
      <c r="B7" s="591" t="s">
        <v>347</v>
      </c>
      <c r="C7" s="596">
        <f>ROUND(C6*F7,0)</f>
        <v>0</v>
      </c>
      <c r="D7" s="596"/>
      <c r="E7" s="594"/>
      <c r="F7" s="597">
        <f>'数据-取费表'!B48+'数据-取费表'!B49</f>
        <v>3.0499999999999999E-2</v>
      </c>
      <c r="G7" s="595"/>
    </row>
    <row r="8" spans="1:8" s="599" customFormat="1">
      <c r="A8" s="1800" t="s">
        <v>1925</v>
      </c>
      <c r="B8" s="591" t="s">
        <v>826</v>
      </c>
      <c r="C8" s="596">
        <f ca="1">IF(G8="已包含在土地购买价格中",0,C9+C10)</f>
        <v>3443428</v>
      </c>
      <c r="D8" s="598"/>
      <c r="E8" s="596"/>
      <c r="F8" s="597"/>
      <c r="G8" s="84"/>
    </row>
    <row r="9" spans="1:8" s="590" customFormat="1" ht="13.5" customHeight="1">
      <c r="A9" s="1801" t="s">
        <v>1932</v>
      </c>
      <c r="B9" s="600" t="s">
        <v>827</v>
      </c>
      <c r="C9" s="601">
        <f ca="1">ROUND(D9*E9,0)</f>
        <v>0</v>
      </c>
      <c r="D9" s="1905">
        <f ca="1">IF(B1="",'数据-汇总表'!E5,IF(INDIRECT("'数据-取费表'!c"&amp;$G$1)="住宅",INDIRECT("'数据-取费表'!k"&amp;$G$1),0))</f>
        <v>0</v>
      </c>
      <c r="E9" s="601">
        <f>'数据-取费表'!B27</f>
        <v>0</v>
      </c>
      <c r="F9" s="597"/>
      <c r="G9" s="602"/>
    </row>
    <row r="10" spans="1:8" s="590" customFormat="1" ht="13.5" customHeight="1">
      <c r="A10" s="1801" t="s">
        <v>1933</v>
      </c>
      <c r="B10" s="600" t="s">
        <v>828</v>
      </c>
      <c r="C10" s="601">
        <f ca="1">ROUND(D10*E10,0)</f>
        <v>3443428</v>
      </c>
      <c r="D10" s="1905">
        <f ca="1">IF(B1="",'数据-汇总表'!E6,IF(INDIRECT("'数据-取费表'!c"&amp;$G$1)="住宅",INDIRECT("'数据-取费表'!s"&amp;$G$1),INDIRECT("'数据-取费表'!k"&amp;$G$1)+INDIRECT("'数据-取费表'!s"&amp;$G$1)))</f>
        <v>31303.89</v>
      </c>
      <c r="E10" s="601">
        <f>'数据-取费表'!B28</f>
        <v>110</v>
      </c>
      <c r="F10" s="597"/>
      <c r="G10" s="602"/>
    </row>
    <row r="11" spans="1:8" s="590" customFormat="1" ht="13.5" hidden="1" customHeight="1">
      <c r="A11" s="603" t="s">
        <v>42</v>
      </c>
      <c r="B11" s="591" t="s">
        <v>829</v>
      </c>
      <c r="C11" s="587"/>
      <c r="D11" s="1907"/>
      <c r="E11" s="594"/>
      <c r="F11" s="594"/>
      <c r="G11" s="595"/>
    </row>
    <row r="12" spans="1:8" s="590" customFormat="1" ht="13.5" hidden="1" customHeight="1">
      <c r="A12" s="603" t="s">
        <v>43</v>
      </c>
      <c r="B12" s="591" t="s">
        <v>830</v>
      </c>
      <c r="C12" s="587">
        <v>0</v>
      </c>
      <c r="D12" s="1907"/>
      <c r="E12" s="604"/>
      <c r="F12" s="597">
        <v>3.0499999999999999E-2</v>
      </c>
      <c r="G12" s="595"/>
    </row>
    <row r="13" spans="1:8" s="590" customFormat="1" ht="13.5" hidden="1" customHeight="1">
      <c r="A13" s="603" t="s">
        <v>44</v>
      </c>
      <c r="B13" s="591" t="s">
        <v>831</v>
      </c>
      <c r="C13" s="587"/>
      <c r="D13" s="1907"/>
      <c r="E13" s="594"/>
      <c r="F13" s="594"/>
      <c r="G13" s="595"/>
    </row>
    <row r="14" spans="1:8" s="590" customFormat="1" ht="13.5" hidden="1" customHeight="1">
      <c r="A14" s="603" t="s">
        <v>45</v>
      </c>
      <c r="B14" s="591" t="s">
        <v>826</v>
      </c>
      <c r="C14" s="587"/>
      <c r="D14" s="1907"/>
      <c r="E14" s="594"/>
      <c r="F14" s="594"/>
      <c r="G14" s="595" t="s">
        <v>832</v>
      </c>
    </row>
    <row r="15" spans="1:8" s="590" customFormat="1" ht="13.5" hidden="1" customHeight="1">
      <c r="A15" s="603" t="s">
        <v>46</v>
      </c>
      <c r="B15" s="591" t="s">
        <v>833</v>
      </c>
      <c r="C15" s="596"/>
      <c r="D15" s="1907"/>
      <c r="E15" s="594"/>
      <c r="F15" s="594"/>
      <c r="G15" s="595" t="s">
        <v>834</v>
      </c>
    </row>
    <row r="16" spans="1:8"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1915</v>
      </c>
      <c r="B19" s="586" t="s">
        <v>845</v>
      </c>
      <c r="C19" s="587">
        <f ca="1">IF(G19="已包含在土地取得成本中","0",ROUND(D19*E19,0))</f>
        <v>6260778</v>
      </c>
      <c r="D19" s="1909">
        <f ca="1">D9+D10</f>
        <v>31303.89</v>
      </c>
      <c r="E19" s="587">
        <f>'数据-取费表'!B31</f>
        <v>200</v>
      </c>
      <c r="F19" s="607"/>
      <c r="G19" s="84"/>
    </row>
    <row r="20" spans="1:7" s="590" customFormat="1" ht="13.5" customHeight="1">
      <c r="A20" s="1799" t="s">
        <v>1916</v>
      </c>
      <c r="B20" s="586" t="s">
        <v>838</v>
      </c>
      <c r="C20" s="608">
        <f ca="1">ROUND((C5+C19)*F20,0)</f>
        <v>145563</v>
      </c>
      <c r="D20" s="608"/>
      <c r="E20" s="608"/>
      <c r="F20" s="609">
        <f>'数据-取费表'!B37</f>
        <v>1.4999999999999999E-2</v>
      </c>
      <c r="G20" s="2617" t="s">
        <v>2527</v>
      </c>
    </row>
    <row r="21" spans="1:7" s="590" customFormat="1" ht="13.5" customHeight="1">
      <c r="A21" s="1799" t="s">
        <v>1917</v>
      </c>
      <c r="B21" s="586" t="s">
        <v>839</v>
      </c>
      <c r="C21" s="611">
        <f>F21</f>
        <v>0.01</v>
      </c>
      <c r="D21" s="612" t="s">
        <v>860</v>
      </c>
      <c r="E21" s="608"/>
      <c r="F21" s="609">
        <f>'数据-取费表'!B38</f>
        <v>0.01</v>
      </c>
      <c r="G21" s="610" t="s">
        <v>840</v>
      </c>
    </row>
    <row r="22" spans="1:7" s="590" customFormat="1" ht="13.5" customHeight="1">
      <c r="A22" s="1799" t="s">
        <v>1918</v>
      </c>
      <c r="B22" s="586" t="s">
        <v>841</v>
      </c>
      <c r="C22" s="2751">
        <f ca="1">ROUND(SUM(C23:C25),0)</f>
        <v>1202445</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1923</v>
      </c>
      <c r="B23" s="591" t="s">
        <v>2520</v>
      </c>
      <c r="C23" s="2752">
        <f ca="1">ROUND(IF('数据-取费表'!B22&lt;=1,C5*F22*'数据-取费表'!B22,C5*(POWER((1+F22),'数据-取费表'!B22)-1)),0)</f>
        <v>423589</v>
      </c>
      <c r="D23" s="614"/>
      <c r="E23" s="614"/>
      <c r="F23" s="615"/>
      <c r="G23" s="616" t="s">
        <v>842</v>
      </c>
    </row>
    <row r="24" spans="1:7" s="590" customFormat="1" ht="13.5" customHeight="1">
      <c r="A24" s="1802" t="s">
        <v>1924</v>
      </c>
      <c r="B24" s="591" t="s">
        <v>2515</v>
      </c>
      <c r="C24" s="2752">
        <f ca="1">ROUND(IF('数据-取费表'!B22&lt;=1,C19*F22*('数据-取费表'!B19/2+'数据-取费表'!B20),C19*(POWER((1+F22),('数据-取费表'!B19/2+'数据-取费表'!B20))-1)),0)</f>
        <v>770162</v>
      </c>
      <c r="D24" s="614"/>
      <c r="E24" s="614"/>
      <c r="F24" s="615"/>
      <c r="G24" s="616" t="s">
        <v>843</v>
      </c>
    </row>
    <row r="25" spans="1:7" s="590" customFormat="1" ht="24">
      <c r="A25" s="1802" t="s">
        <v>1925</v>
      </c>
      <c r="B25" s="591" t="s">
        <v>2517</v>
      </c>
      <c r="C25" s="2752">
        <f ca="1">ROUND(IF('数据-取费表'!B22&lt;=1,C20*F22*'数据-取费表'!B22/2,C20*(POWER((1+F22),'数据-取费表'!B22/2)-1)),0)</f>
        <v>8694</v>
      </c>
      <c r="D25" s="614"/>
      <c r="E25" s="617"/>
      <c r="F25" s="615"/>
      <c r="G25" s="618" t="s">
        <v>844</v>
      </c>
    </row>
    <row r="26" spans="1:7" s="590" customFormat="1">
      <c r="A26" s="1802" t="s">
        <v>1927</v>
      </c>
      <c r="B26" s="591" t="s">
        <v>2519</v>
      </c>
      <c r="C26" s="614">
        <f ca="1">ROUND(IF('数据-取费表'!B22&lt;=1,F21*F22*'数据-取费表'!B22/2,F21*(POWER((1+F22),'数据-取费表'!B22/2)-1)),4)</f>
        <v>5.9999999999999995E-4</v>
      </c>
      <c r="D26" s="614"/>
      <c r="E26" s="617"/>
      <c r="F26" s="615"/>
      <c r="G26" s="619"/>
    </row>
    <row r="27" spans="1:7" s="590" customFormat="1" ht="24.75">
      <c r="A27" s="1799" t="s">
        <v>1919</v>
      </c>
      <c r="B27" s="620" t="s">
        <v>846</v>
      </c>
      <c r="C27" s="621">
        <f ca="1">C28</f>
        <v>492488</v>
      </c>
      <c r="D27" s="611">
        <f ca="1">C29</f>
        <v>5.0000000000000001E-4</v>
      </c>
      <c r="E27" s="612" t="s">
        <v>860</v>
      </c>
      <c r="F27" s="622">
        <f ca="1">IF(B1="",'数据-取费表'!Q16,INDIRECT("'数据-取费表'!q"&amp;$G$1))</f>
        <v>0.05</v>
      </c>
      <c r="G27" s="623" t="s">
        <v>2528</v>
      </c>
    </row>
    <row r="28" spans="1:7" s="590" customFormat="1" ht="13.5" customHeight="1">
      <c r="A28" s="1802" t="s">
        <v>1923</v>
      </c>
      <c r="B28" s="624" t="s">
        <v>2521</v>
      </c>
      <c r="C28" s="625">
        <f ca="1">ROUND((C5+C19+C20)*F27,0)</f>
        <v>492488</v>
      </c>
      <c r="D28" s="611"/>
      <c r="E28" s="612"/>
      <c r="F28" s="622"/>
      <c r="G28" s="623"/>
    </row>
    <row r="29" spans="1:7" s="590" customFormat="1" ht="13.5" customHeight="1">
      <c r="A29" s="1802" t="s">
        <v>1924</v>
      </c>
      <c r="B29" s="624" t="s">
        <v>2522</v>
      </c>
      <c r="C29" s="614">
        <f ca="1">ROUND(C21*F27,4)</f>
        <v>5.0000000000000001E-4</v>
      </c>
      <c r="D29" s="611"/>
      <c r="E29" s="612"/>
      <c r="F29" s="622"/>
      <c r="G29" s="623"/>
    </row>
    <row r="30" spans="1:7" s="590" customFormat="1" ht="13.5" customHeight="1">
      <c r="A30" s="1799" t="s">
        <v>1920</v>
      </c>
      <c r="B30" s="586" t="s">
        <v>348</v>
      </c>
      <c r="C30" s="611">
        <f>ROUND(F30/(1+'数据-取费表'!C42),4)</f>
        <v>5.33E-2</v>
      </c>
      <c r="D30" s="612" t="s">
        <v>2952</v>
      </c>
      <c r="E30" s="617"/>
      <c r="F30" s="613">
        <f>'数据-取费表'!B41</f>
        <v>5.6000000000000001E-2</v>
      </c>
      <c r="G30" s="2617" t="s">
        <v>2953</v>
      </c>
    </row>
    <row r="31" spans="1:7" ht="16.5" customHeight="1">
      <c r="A31" s="585">
        <v>1</v>
      </c>
      <c r="B31" s="586" t="s">
        <v>862</v>
      </c>
      <c r="C31" s="587">
        <f ca="1">ROUND((C5+C19+C20+C22+C27)/(1-C21-D22-D27-C30),0)</f>
        <v>12339357</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1914</v>
      </c>
      <c r="B33" s="2753" t="s">
        <v>2633</v>
      </c>
      <c r="C33" s="632">
        <f ca="1">SUM(C34:C38)</f>
        <v>65143395</v>
      </c>
      <c r="D33" s="608"/>
      <c r="E33" s="588"/>
      <c r="F33" s="617"/>
      <c r="G33" s="610"/>
    </row>
    <row r="34" spans="1:7" s="634" customFormat="1" ht="13.5" customHeight="1">
      <c r="A34" s="1802" t="s">
        <v>1923</v>
      </c>
      <c r="B34" s="591" t="s">
        <v>349</v>
      </c>
      <c r="C34" s="596">
        <f ca="1">ROUND(IF(B1="",SUMPRODUCT('数据-取费表'!K6:K14,'数据-取费表'!L6:L14),INDIRECT("'数据-取费表'!l"&amp;$G$1)*INDIRECT("'数据-取费表'!k"&amp;$G$1)+'数据-取费表'!L14*INDIRECT("'数据-取费表'!S"&amp;$G$1)),0)</f>
        <v>56347002</v>
      </c>
      <c r="D34" s="593"/>
      <c r="E34" s="596"/>
      <c r="F34" s="633"/>
      <c r="G34" s="595"/>
    </row>
    <row r="35" spans="1:7" ht="13.5" customHeight="1">
      <c r="A35" s="1802" t="s">
        <v>1928</v>
      </c>
      <c r="B35" s="591" t="s">
        <v>350</v>
      </c>
      <c r="C35" s="596">
        <f ca="1">ROUND(C34*F35,0)</f>
        <v>1690410</v>
      </c>
      <c r="D35" s="596"/>
      <c r="E35" s="596"/>
      <c r="F35" s="635">
        <f>'数据-取费表'!B33</f>
        <v>0.03</v>
      </c>
      <c r="G35" s="595" t="s">
        <v>851</v>
      </c>
    </row>
    <row r="36" spans="1:7" ht="24">
      <c r="A36" s="1802" t="s">
        <v>1929</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2" t="s">
        <v>1930</v>
      </c>
      <c r="B37" s="591" t="s">
        <v>852</v>
      </c>
      <c r="C37" s="625">
        <f ca="1">ROUND(E37*D37,0)</f>
        <v>6260778</v>
      </c>
      <c r="D37" s="593">
        <f ca="1">D19</f>
        <v>31303.89</v>
      </c>
      <c r="E37" s="625">
        <f>'数据-取费表'!B35</f>
        <v>200</v>
      </c>
      <c r="F37" s="635"/>
      <c r="G37" s="637"/>
    </row>
    <row r="38" spans="1:7" ht="13.5" customHeight="1">
      <c r="A38" s="1802" t="s">
        <v>1931</v>
      </c>
      <c r="B38" s="591" t="s">
        <v>353</v>
      </c>
      <c r="C38" s="596">
        <f ca="1">ROUND(C34*F38,0)</f>
        <v>845205</v>
      </c>
      <c r="D38" s="596"/>
      <c r="E38" s="596"/>
      <c r="F38" s="635">
        <f>'数据-取费表'!B36</f>
        <v>1.4999999999999999E-2</v>
      </c>
      <c r="G38" s="595" t="s">
        <v>851</v>
      </c>
    </row>
    <row r="39" spans="1:7" s="590" customFormat="1" ht="13.5" customHeight="1">
      <c r="A39" s="1799" t="s">
        <v>1915</v>
      </c>
      <c r="B39" s="586" t="s">
        <v>838</v>
      </c>
      <c r="C39" s="608">
        <f ca="1">ROUND(C33*F20,0)</f>
        <v>977151</v>
      </c>
      <c r="D39" s="608"/>
      <c r="E39" s="608"/>
      <c r="F39" s="609"/>
      <c r="G39" s="2617" t="s">
        <v>2530</v>
      </c>
    </row>
    <row r="40" spans="1:7" s="590" customFormat="1" ht="13.5" customHeight="1">
      <c r="A40" s="1799" t="s">
        <v>1916</v>
      </c>
      <c r="B40" s="586" t="s">
        <v>839</v>
      </c>
      <c r="C40" s="3236">
        <f>F21</f>
        <v>0.01</v>
      </c>
      <c r="D40" s="612" t="s">
        <v>863</v>
      </c>
      <c r="E40" s="608"/>
      <c r="F40" s="609"/>
      <c r="G40" s="610" t="s">
        <v>854</v>
      </c>
    </row>
    <row r="41" spans="1:7" s="590" customFormat="1" ht="13.5" customHeight="1">
      <c r="A41" s="1799" t="s">
        <v>1917</v>
      </c>
      <c r="B41" s="586" t="s">
        <v>841</v>
      </c>
      <c r="C41" s="608">
        <f ca="1">ROUND(SUM(C42:C43),0)</f>
        <v>3948946</v>
      </c>
      <c r="D41" s="611">
        <f ca="1">C44</f>
        <v>5.9999999999999995E-4</v>
      </c>
      <c r="E41" s="612" t="s">
        <v>863</v>
      </c>
      <c r="F41" s="613"/>
      <c r="G41" s="2617" t="str">
        <f>IF('数据-取费表'!B22&lt;=1,"单利计息","复利计息")</f>
        <v>复利计息</v>
      </c>
    </row>
    <row r="42" spans="1:7" ht="13.5" customHeight="1">
      <c r="A42" s="1802" t="s">
        <v>1923</v>
      </c>
      <c r="B42" s="591" t="s">
        <v>2520</v>
      </c>
      <c r="C42" s="614">
        <f ca="1">ROUND(IF('数据-取费表'!B22&lt;=1,C33*F22*'数据-取费表'!B20/2,C33*(POWER((1+F22),'数据-取费表'!B20/2)-1)),0)</f>
        <v>3890587</v>
      </c>
      <c r="D42" s="614"/>
      <c r="E42" s="614"/>
      <c r="F42" s="615"/>
      <c r="G42" s="3710" t="s">
        <v>2636</v>
      </c>
    </row>
    <row r="43" spans="1:7" ht="13.5" customHeight="1">
      <c r="A43" s="1802" t="s">
        <v>1924</v>
      </c>
      <c r="B43" s="591" t="s">
        <v>2515</v>
      </c>
      <c r="C43" s="614">
        <f ca="1">ROUND(IF('数据-取费表'!B22&lt;=1,C39*F22*'数据-取费表'!B20/2,C39*(POWER((1+F22),'数据-取费表'!B20/2)-1)),0)</f>
        <v>58359</v>
      </c>
      <c r="D43" s="614"/>
      <c r="E43" s="614"/>
      <c r="F43" s="615"/>
      <c r="G43" s="3708"/>
    </row>
    <row r="44" spans="1:7" ht="13.5" customHeight="1">
      <c r="A44" s="1802" t="s">
        <v>1925</v>
      </c>
      <c r="B44" s="591" t="s">
        <v>2517</v>
      </c>
      <c r="C44" s="614">
        <f ca="1">ROUND(IF('数据-取费表'!B22&lt;=1,C40*F22*'数据-取费表'!B20/2,C40*(POWER((1+F22),'数据-取费表'!B20/2)-1)),4)</f>
        <v>5.9999999999999995E-4</v>
      </c>
      <c r="D44" s="614"/>
      <c r="E44" s="614"/>
      <c r="F44" s="615"/>
      <c r="G44" s="3709"/>
    </row>
    <row r="45" spans="1:7" s="590" customFormat="1" ht="13.5" customHeight="1">
      <c r="A45" s="1799" t="s">
        <v>1918</v>
      </c>
      <c r="B45" s="620" t="s">
        <v>846</v>
      </c>
      <c r="C45" s="621">
        <f ca="1">C46</f>
        <v>3306027</v>
      </c>
      <c r="D45" s="611">
        <f ca="1">C47</f>
        <v>5.0000000000000001E-4</v>
      </c>
      <c r="E45" s="612" t="s">
        <v>863</v>
      </c>
      <c r="F45" s="622"/>
      <c r="G45" s="623" t="s">
        <v>2531</v>
      </c>
    </row>
    <row r="46" spans="1:7" s="590" customFormat="1" ht="13.5" customHeight="1">
      <c r="A46" s="1802" t="s">
        <v>1923</v>
      </c>
      <c r="B46" s="624" t="s">
        <v>2524</v>
      </c>
      <c r="C46" s="625">
        <f ca="1">ROUND((C33+C39)*F27,0)</f>
        <v>3306027</v>
      </c>
      <c r="D46" s="639"/>
      <c r="E46" s="612"/>
      <c r="F46" s="622"/>
      <c r="G46" s="623"/>
    </row>
    <row r="47" spans="1:7" s="590" customFormat="1" ht="13.5" customHeight="1">
      <c r="A47" s="1802" t="s">
        <v>1924</v>
      </c>
      <c r="B47" s="624" t="s">
        <v>2526</v>
      </c>
      <c r="C47" s="614">
        <f ca="1">ROUND(C40*F27,4)</f>
        <v>5.0000000000000001E-4</v>
      </c>
      <c r="D47" s="639"/>
      <c r="E47" s="612"/>
      <c r="F47" s="622"/>
      <c r="G47" s="623"/>
    </row>
    <row r="48" spans="1:7" s="590" customFormat="1" ht="13.5" customHeight="1">
      <c r="A48" s="1799" t="s">
        <v>1919</v>
      </c>
      <c r="B48" s="586" t="s">
        <v>856</v>
      </c>
      <c r="C48" s="638">
        <f>ROUND(F30/(1+'数据-取费表'!C42),4)</f>
        <v>5.33E-2</v>
      </c>
      <c r="D48" s="612" t="s">
        <v>2950</v>
      </c>
      <c r="E48" s="608"/>
      <c r="F48" s="613"/>
      <c r="G48" s="2617" t="s">
        <v>2951</v>
      </c>
    </row>
    <row r="49" spans="1:7" ht="16.5" customHeight="1">
      <c r="A49" s="1799" t="s">
        <v>1920</v>
      </c>
      <c r="B49" s="586" t="s">
        <v>2634</v>
      </c>
      <c r="C49" s="608">
        <f ca="1">ROUND((C33+C39+C41+C45)/(1-C40-D41-D45-C48),0)</f>
        <v>78426164</v>
      </c>
      <c r="D49" s="608"/>
      <c r="E49" s="608"/>
      <c r="F49" s="640"/>
      <c r="G49" s="610" t="s">
        <v>2532</v>
      </c>
    </row>
    <row r="50" spans="1:7" s="634" customFormat="1">
      <c r="A50" s="1799" t="s">
        <v>1921</v>
      </c>
      <c r="B50" s="586" t="s">
        <v>858</v>
      </c>
      <c r="C50" s="608"/>
      <c r="D50" s="608"/>
      <c r="E50" s="608"/>
      <c r="F50" s="640">
        <f>IF('数据-取费表'!B24=0,'数据-取费表'!N16,1)</f>
        <v>0.97</v>
      </c>
      <c r="G50" s="623"/>
    </row>
    <row r="51" spans="1:7" ht="16.5" customHeight="1">
      <c r="A51" s="1799" t="s">
        <v>1922</v>
      </c>
      <c r="B51" s="586" t="s">
        <v>2635</v>
      </c>
      <c r="C51" s="608">
        <f ca="1">ROUND(C49*F50,0)</f>
        <v>76073379</v>
      </c>
      <c r="D51" s="608"/>
      <c r="E51" s="608"/>
      <c r="F51" s="640"/>
      <c r="G51" s="610" t="s">
        <v>354</v>
      </c>
    </row>
    <row r="52" spans="1:7" s="584" customFormat="1" ht="16.5" thickBot="1">
      <c r="A52" s="641" t="s">
        <v>355</v>
      </c>
      <c r="B52" s="642"/>
      <c r="C52" s="643">
        <f ca="1">C31+C51</f>
        <v>88412736</v>
      </c>
      <c r="D52" s="642"/>
      <c r="E52" s="642"/>
      <c r="F52" s="642"/>
      <c r="G52" s="644"/>
    </row>
    <row r="55" spans="1:7" ht="15">
      <c r="B55" s="646" t="s">
        <v>356</v>
      </c>
      <c r="C55" s="647"/>
    </row>
    <row r="56" spans="1:7">
      <c r="B56" s="2872" t="s">
        <v>2706</v>
      </c>
      <c r="C56" s="651">
        <f ca="1">1-C57</f>
        <v>0.14000000000000001</v>
      </c>
    </row>
    <row r="57" spans="1:7">
      <c r="B57" s="2872" t="s">
        <v>2705</v>
      </c>
      <c r="C57" s="650">
        <f ca="1">ROUND(C51/C52,3)</f>
        <v>0.86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3" customWidth="1"/>
    <col min="3" max="3" width="10.375" style="1847" customWidth="1"/>
    <col min="4" max="4" width="9.875" style="1803" customWidth="1"/>
    <col min="5" max="5" width="9.5" style="1465"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869</v>
      </c>
      <c r="B1" s="3051"/>
      <c r="C1" s="3052"/>
      <c r="D1" s="3050"/>
      <c r="E1" s="652"/>
      <c r="F1" s="652"/>
      <c r="G1" s="3051"/>
      <c r="H1" s="652"/>
      <c r="I1" s="652"/>
      <c r="J1" s="652"/>
      <c r="K1" s="652">
        <f>MATCH(C1,'数据-取费表'!A6:A16,0)+5</f>
        <v>7</v>
      </c>
    </row>
    <row r="2" spans="1:33" ht="18" customHeight="1">
      <c r="A2" s="577" t="s">
        <v>818</v>
      </c>
      <c r="B2" s="580">
        <f ca="1">C32</f>
        <v>-196</v>
      </c>
      <c r="C2" s="88" t="s">
        <v>1101</v>
      </c>
      <c r="D2" s="652"/>
      <c r="E2" s="652"/>
      <c r="F2" s="652"/>
      <c r="G2" s="652"/>
      <c r="H2" s="652"/>
      <c r="I2" s="652"/>
      <c r="J2" s="652"/>
      <c r="K2" s="652"/>
    </row>
    <row r="3" spans="1:33" ht="18" customHeight="1" thickBot="1">
      <c r="A3" s="579" t="s">
        <v>819</v>
      </c>
      <c r="B3" s="580">
        <f ca="1">ROUND(B2*10000/IF(C1="",'数据-汇总表'!E3,INDIRECT("'数据-取费表'!K"&amp;$K$1)),0)</f>
        <v>-63</v>
      </c>
      <c r="C3" s="88" t="s">
        <v>868</v>
      </c>
      <c r="D3" s="652"/>
      <c r="E3" s="652"/>
      <c r="F3" s="652"/>
      <c r="G3" s="652"/>
      <c r="H3" s="652"/>
      <c r="I3" s="652"/>
      <c r="J3" s="652"/>
      <c r="K3" s="652"/>
    </row>
    <row r="4" spans="1:33" s="1807" customFormat="1" ht="16.5" customHeight="1">
      <c r="A4" s="1804" t="s">
        <v>870</v>
      </c>
      <c r="B4" s="1805"/>
      <c r="C4" s="1848">
        <f>SUM(C8:K8)</f>
        <v>0</v>
      </c>
      <c r="D4" s="1805"/>
      <c r="E4" s="1805"/>
      <c r="F4" s="1805"/>
      <c r="G4" s="1805"/>
      <c r="H4" s="1805"/>
      <c r="I4" s="1805"/>
      <c r="J4" s="1805"/>
      <c r="K4" s="1806"/>
    </row>
    <row r="5" spans="1:33" s="1811" customFormat="1" ht="24">
      <c r="A5" s="1808" t="s">
        <v>871</v>
      </c>
      <c r="B5" s="1809" t="s">
        <v>872</v>
      </c>
      <c r="C5" s="1272" t="s">
        <v>204</v>
      </c>
      <c r="D5" s="1272" t="s">
        <v>205</v>
      </c>
      <c r="E5" s="1272" t="s">
        <v>195</v>
      </c>
      <c r="F5" s="1272"/>
      <c r="G5" s="1272"/>
      <c r="H5" s="1272"/>
      <c r="I5" s="1272"/>
      <c r="J5" s="1272"/>
      <c r="K5" s="1272"/>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1934</v>
      </c>
      <c r="B6" s="471" t="s">
        <v>873</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1915</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1916</v>
      </c>
      <c r="B8" s="509" t="s">
        <v>875</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876</v>
      </c>
      <c r="B9" s="1805"/>
      <c r="C9" s="1805"/>
      <c r="D9" s="1805"/>
      <c r="E9" s="1805"/>
      <c r="F9" s="1805"/>
      <c r="G9" s="1805"/>
      <c r="H9" s="1805"/>
      <c r="I9" s="1805"/>
      <c r="J9" s="1805"/>
      <c r="K9" s="1806"/>
    </row>
    <row r="10" spans="1:33" s="1822" customFormat="1" ht="13.5" customHeight="1">
      <c r="A10" s="1808" t="s">
        <v>871</v>
      </c>
      <c r="B10" s="295" t="s">
        <v>872</v>
      </c>
      <c r="C10" s="1818" t="s">
        <v>877</v>
      </c>
      <c r="D10" s="1819" t="s">
        <v>878</v>
      </c>
      <c r="E10" s="1819" t="s">
        <v>879</v>
      </c>
      <c r="F10" s="1819" t="s">
        <v>880</v>
      </c>
      <c r="G10" s="295"/>
      <c r="H10" s="1820"/>
      <c r="I10" s="1820"/>
      <c r="J10" s="1820"/>
      <c r="K10" s="1821"/>
    </row>
    <row r="11" spans="1:33" s="1827" customFormat="1" ht="13.5" customHeight="1">
      <c r="A11" s="1823" t="s">
        <v>2956</v>
      </c>
      <c r="B11" s="1824" t="s">
        <v>881</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2957</v>
      </c>
      <c r="B12" s="1824" t="s">
        <v>882</v>
      </c>
      <c r="C12" s="313">
        <f ca="1">ROUND(C11*F12,0)</f>
        <v>0</v>
      </c>
      <c r="D12" s="1825"/>
      <c r="E12" s="715"/>
      <c r="F12" s="1828">
        <f>'数据-取费表'!B33</f>
        <v>0.03</v>
      </c>
      <c r="G12" s="295" t="s">
        <v>883</v>
      </c>
      <c r="H12" s="1820"/>
      <c r="I12" s="1820"/>
      <c r="J12" s="1820"/>
      <c r="K12" s="1821"/>
    </row>
    <row r="13" spans="1:33" s="1827" customFormat="1" ht="13.5" customHeight="1">
      <c r="A13" s="1823" t="s">
        <v>2958</v>
      </c>
      <c r="B13" s="1824" t="s">
        <v>884</v>
      </c>
      <c r="C13" s="313">
        <f ca="1">ROUND(IF(C1="",SUMIF('数据-取费表'!C:C,"住宅",'数据-取费表'!P:P)*F13,IF(INDIRECT("'数据-取费表'!c"&amp;$K$1)="住宅",INDIRECT("'数据-取费表'!P"&amp;$K$1)*F13,0)),0)</f>
        <v>0</v>
      </c>
      <c r="D13" s="1906"/>
      <c r="E13" s="715"/>
      <c r="F13" s="1828">
        <f>'数据-取费表'!B34</f>
        <v>0</v>
      </c>
      <c r="G13" s="295" t="s">
        <v>885</v>
      </c>
      <c r="H13" s="1820"/>
      <c r="I13" s="1820"/>
      <c r="J13" s="1820"/>
      <c r="K13" s="1821"/>
    </row>
    <row r="14" spans="1:33" s="1829" customFormat="1" ht="13.5" customHeight="1">
      <c r="A14" s="1823" t="s">
        <v>2959</v>
      </c>
      <c r="B14" s="1824" t="s">
        <v>886</v>
      </c>
      <c r="C14" s="313">
        <f ca="1">ROUND(D14*E14*F11/10000,0)</f>
        <v>0</v>
      </c>
      <c r="D14" s="1906">
        <f ca="1">IF(C1="",'数据-汇总表'!E3,INDIRECT("'数据-取费表'!K"&amp;$K$1)+INDIRECT("'数据-取费表'!S"&amp;$K$1))</f>
        <v>31303.89</v>
      </c>
      <c r="E14" s="313">
        <f>'数据-取费表'!B35</f>
        <v>200</v>
      </c>
      <c r="F14" s="1828"/>
      <c r="G14" s="295" t="s">
        <v>887</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2960</v>
      </c>
      <c r="B15" s="1824" t="s">
        <v>893</v>
      </c>
      <c r="C15" s="1835">
        <f ca="1">ROUND(C11*F15,0)</f>
        <v>0</v>
      </c>
      <c r="D15" s="1830"/>
      <c r="E15" s="1835"/>
      <c r="F15" s="1836">
        <f>'数据-取费表'!B36</f>
        <v>1.4999999999999999E-2</v>
      </c>
      <c r="G15" s="471" t="s">
        <v>894</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1935</v>
      </c>
      <c r="B16" s="3237" t="s">
        <v>2961</v>
      </c>
      <c r="C16" s="1835">
        <f ca="1">SUM(C11:C15)</f>
        <v>0</v>
      </c>
      <c r="D16" s="1830"/>
      <c r="E16" s="1835"/>
      <c r="F16" s="1836"/>
      <c r="G16" s="471"/>
      <c r="H16" s="3048"/>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1936</v>
      </c>
      <c r="B17" s="1824" t="s">
        <v>888</v>
      </c>
      <c r="C17" s="313">
        <f ca="1">ROUND(D17*E17/10000,0)</f>
        <v>0</v>
      </c>
      <c r="D17" s="1906">
        <f ca="1">D14</f>
        <v>31303.89</v>
      </c>
      <c r="E17" s="313">
        <f>'数据-取费表'!B32</f>
        <v>0</v>
      </c>
      <c r="F17" s="1830"/>
      <c r="G17" s="471" t="s">
        <v>889</v>
      </c>
      <c r="H17" s="3048"/>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2962</v>
      </c>
      <c r="B18" s="1824" t="s">
        <v>890</v>
      </c>
      <c r="C18" s="313">
        <f ca="1">C19+C20-IF(C1="",'数据-取费表'!B29,IF(G18="已全部缴纳",C19+C20,H18))</f>
        <v>189</v>
      </c>
      <c r="D18" s="1906"/>
      <c r="E18" s="313"/>
      <c r="F18" s="1828"/>
      <c r="G18" s="3047"/>
      <c r="H18" s="3045"/>
      <c r="I18" s="3046" t="s">
        <v>2806</v>
      </c>
      <c r="J18" s="1831"/>
      <c r="K18" s="1832"/>
    </row>
    <row r="19" spans="1:33" s="1827" customFormat="1" ht="13.5" customHeight="1">
      <c r="A19" s="1823" t="s">
        <v>1937</v>
      </c>
      <c r="B19" s="1824" t="s">
        <v>891</v>
      </c>
      <c r="C19" s="313">
        <f ca="1">ROUND(D19*E19/10000,0)</f>
        <v>0</v>
      </c>
      <c r="D19" s="1906">
        <f ca="1">IF(C1="",'数据-汇总表'!E5,IF(INDIRECT("'数据-取费表'!c"&amp;$K$1)="住宅",INDIRECT("'数据-取费表'!k"&amp;$K$1),0))</f>
        <v>0</v>
      </c>
      <c r="E19" s="313">
        <f>'数据-取费表'!B27</f>
        <v>0</v>
      </c>
      <c r="F19" s="1828"/>
      <c r="G19" s="303"/>
      <c r="H19" s="3049"/>
      <c r="I19" s="1833"/>
      <c r="J19" s="1833"/>
      <c r="K19" s="1834"/>
    </row>
    <row r="20" spans="1:33" s="1827" customFormat="1" ht="13.5" customHeight="1">
      <c r="A20" s="1823" t="s">
        <v>1938</v>
      </c>
      <c r="B20" s="1824" t="s">
        <v>892</v>
      </c>
      <c r="C20" s="313">
        <f ca="1">ROUND(D20*E20/10000,0)</f>
        <v>344</v>
      </c>
      <c r="D20" s="1906">
        <f ca="1">IF(C1="",'数据-汇总表'!E6,IF(INDIRECT("'数据-取费表'!c"&amp;$K$1)="住宅",INDIRECT("'数据-取费表'!s"&amp;$K$1),INDIRECT("'数据-取费表'!k"&amp;$K$1)+INDIRECT("'数据-取费表'!s"&amp;$K$1)))</f>
        <v>31303.89</v>
      </c>
      <c r="E20" s="313">
        <f>'数据-取费表'!B28</f>
        <v>110</v>
      </c>
      <c r="F20" s="1828"/>
      <c r="G20" s="303"/>
      <c r="H20" s="1833"/>
      <c r="I20" s="1833"/>
      <c r="J20" s="1833"/>
      <c r="K20" s="1834"/>
    </row>
    <row r="21" spans="1:33" s="1827" customFormat="1" ht="13.5" customHeight="1">
      <c r="A21" s="1812" t="s">
        <v>1934</v>
      </c>
      <c r="B21" s="1837" t="s">
        <v>895</v>
      </c>
      <c r="C21" s="1838">
        <f ca="1">C16+C17+C18</f>
        <v>189</v>
      </c>
      <c r="D21" s="1839"/>
      <c r="E21" s="657"/>
      <c r="F21" s="657"/>
      <c r="G21" s="471" t="s">
        <v>2533</v>
      </c>
      <c r="H21" s="1831"/>
      <c r="I21" s="1831"/>
      <c r="J21" s="1831"/>
      <c r="K21" s="1832"/>
    </row>
    <row r="22" spans="1:33" s="1827" customFormat="1" ht="13.5" customHeight="1">
      <c r="A22" s="1817" t="s">
        <v>1915</v>
      </c>
      <c r="B22" s="1837" t="s">
        <v>896</v>
      </c>
      <c r="C22" s="1838">
        <f ca="1">ROUND(C21*F22,0)</f>
        <v>3</v>
      </c>
      <c r="D22" s="657"/>
      <c r="E22" s="657"/>
      <c r="F22" s="1840">
        <f>'数据-取费表'!B37</f>
        <v>1.4999999999999999E-2</v>
      </c>
      <c r="G22" s="295" t="s">
        <v>897</v>
      </c>
      <c r="H22" s="1820"/>
      <c r="I22" s="1820"/>
      <c r="J22" s="1820"/>
      <c r="K22" s="1821"/>
    </row>
    <row r="23" spans="1:33" s="1827" customFormat="1" ht="13.5" customHeight="1">
      <c r="A23" s="1817" t="s">
        <v>1916</v>
      </c>
      <c r="B23" s="1837" t="s">
        <v>898</v>
      </c>
      <c r="C23" s="1838">
        <f ca="1">ROUND(C4*F23*F11,0)</f>
        <v>0</v>
      </c>
      <c r="D23" s="657"/>
      <c r="E23" s="657"/>
      <c r="F23" s="1840">
        <f>'数据-取费表'!B38</f>
        <v>0.01</v>
      </c>
      <c r="G23" s="295" t="s">
        <v>899</v>
      </c>
      <c r="H23" s="1820"/>
      <c r="I23" s="1820"/>
      <c r="J23" s="1820"/>
      <c r="K23" s="1821"/>
    </row>
    <row r="24" spans="1:33" s="1827" customFormat="1" ht="13.5" customHeight="1">
      <c r="A24" s="1817" t="s">
        <v>1917</v>
      </c>
      <c r="B24" s="1837" t="s">
        <v>900</v>
      </c>
      <c r="C24" s="656">
        <f>ROUND(F24/(1+'数据-取费表'!C42),4)</f>
        <v>2.9000000000000001E-2</v>
      </c>
      <c r="D24" s="657" t="s">
        <v>50</v>
      </c>
      <c r="E24" s="657"/>
      <c r="F24" s="1840">
        <f>'数据-取费表'!B48+'数据-取费表'!B49</f>
        <v>3.0499999999999999E-2</v>
      </c>
      <c r="G24" s="2019" t="s">
        <v>2954</v>
      </c>
      <c r="H24" s="1842"/>
      <c r="I24" s="1842"/>
      <c r="J24" s="1842"/>
      <c r="K24" s="1843"/>
    </row>
    <row r="25" spans="1:33" s="1827" customFormat="1" ht="13.5" customHeight="1">
      <c r="A25" s="1817" t="s">
        <v>1918</v>
      </c>
      <c r="B25" s="1839" t="s">
        <v>901</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1935</v>
      </c>
      <c r="B26" s="1844" t="s">
        <v>902</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1936</v>
      </c>
      <c r="B27" s="1844" t="s">
        <v>2623</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1"/>
      <c r="I27" s="1831"/>
      <c r="J27" s="1831"/>
      <c r="K27" s="1832"/>
    </row>
    <row r="28" spans="1:33" s="665" customFormat="1" ht="13.5" customHeight="1">
      <c r="A28" s="1817" t="s">
        <v>1919</v>
      </c>
      <c r="B28" s="3238" t="s">
        <v>2963</v>
      </c>
      <c r="C28" s="663">
        <f ca="1">C30</f>
        <v>10</v>
      </c>
      <c r="D28" s="656">
        <f ca="1">C29</f>
        <v>0</v>
      </c>
      <c r="E28" s="658" t="s">
        <v>50</v>
      </c>
      <c r="F28" s="664">
        <f ca="1">IF(C1="",'数据-取费表'!Q16,INDIRECT("'数据-取费表'!q"&amp;$K$1))</f>
        <v>0.05</v>
      </c>
      <c r="G28" s="1841"/>
      <c r="H28" s="1842"/>
      <c r="I28" s="1842"/>
      <c r="J28" s="1842"/>
      <c r="K28" s="1843"/>
    </row>
    <row r="29" spans="1:33" s="667" customFormat="1" ht="13.5" customHeight="1">
      <c r="A29" s="1823" t="s">
        <v>1935</v>
      </c>
      <c r="B29" s="1846" t="s">
        <v>903</v>
      </c>
      <c r="C29" s="660">
        <f ca="1">ROUND((1+C24)*F28*'数据-取费表'!B24/'数据-取费表'!B20,4)</f>
        <v>0</v>
      </c>
      <c r="D29" s="660"/>
      <c r="E29" s="661"/>
      <c r="F29" s="666"/>
      <c r="G29" s="471" t="s">
        <v>904</v>
      </c>
      <c r="H29" s="1831"/>
      <c r="I29" s="1831"/>
      <c r="J29" s="1831"/>
      <c r="K29" s="1832"/>
    </row>
    <row r="30" spans="1:33" s="667" customFormat="1" ht="13.5" customHeight="1">
      <c r="A30" s="1823" t="s">
        <v>1936</v>
      </c>
      <c r="B30" s="2706" t="s">
        <v>2624</v>
      </c>
      <c r="C30" s="668">
        <f ca="1">ROUND((C21+C22+C23)*F28,0)</f>
        <v>10</v>
      </c>
      <c r="D30" s="660"/>
      <c r="E30" s="661"/>
      <c r="F30" s="666"/>
      <c r="G30" s="471"/>
      <c r="H30" s="1831"/>
      <c r="I30" s="1831"/>
      <c r="J30" s="1831"/>
      <c r="K30" s="1832"/>
    </row>
    <row r="31" spans="1:33" s="1827" customFormat="1" ht="13.5" customHeight="1" thickBot="1">
      <c r="A31" s="1858" t="s">
        <v>1920</v>
      </c>
      <c r="B31" s="1859" t="s">
        <v>905</v>
      </c>
      <c r="C31" s="1860">
        <f>ROUND(C4*F31/(1+'数据-取费表'!C42),0)</f>
        <v>0</v>
      </c>
      <c r="D31" s="1861"/>
      <c r="E31" s="1862"/>
      <c r="F31" s="1863">
        <f>'数据-取费表'!B41</f>
        <v>5.6000000000000001E-2</v>
      </c>
      <c r="G31" s="1864" t="s">
        <v>906</v>
      </c>
      <c r="H31" s="1865"/>
      <c r="I31" s="1865"/>
      <c r="J31" s="1865"/>
      <c r="K31" s="1866"/>
    </row>
    <row r="32" spans="1:33" s="1822" customFormat="1" ht="13.5" customHeight="1" thickBot="1">
      <c r="A32" s="1853" t="s">
        <v>2955</v>
      </c>
      <c r="B32" s="1854"/>
      <c r="C32" s="1855">
        <f ca="1">ROUND((C4-C21-C22-C23-C25-C28-C31)/(1+C24+D25+D28),0)</f>
        <v>-196</v>
      </c>
      <c r="D32" s="1854"/>
      <c r="E32" s="1854"/>
      <c r="F32" s="1854"/>
      <c r="G32" s="1856" t="s">
        <v>907</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1" sqref="D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3572</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8" t="s">
        <v>2542</v>
      </c>
      <c r="C6" s="2628" t="e">
        <f ca="1">ROUND(F6*F8*F7*(1-F9)/10000,0)</f>
        <v>#N/A</v>
      </c>
      <c r="D6" s="2622" t="s">
        <v>2544</v>
      </c>
      <c r="E6" s="684" t="s">
        <v>915</v>
      </c>
      <c r="F6" s="685" t="e">
        <f ca="1">INDIRECT("'数据-取费表'!u"&amp;$G$1)</f>
        <v>#N/A</v>
      </c>
      <c r="G6" s="2285"/>
      <c r="H6" s="2619" t="s">
        <v>2381</v>
      </c>
      <c r="I6" s="3698" t="s">
        <v>2542</v>
      </c>
      <c r="J6" s="683" t="e">
        <f ca="1">ROUND(M6*M8*M7*(1-M9)/10000,0)</f>
        <v>#N/A</v>
      </c>
      <c r="K6" s="2622" t="s">
        <v>2544</v>
      </c>
      <c r="L6" s="684" t="s">
        <v>915</v>
      </c>
      <c r="M6" s="685" t="e">
        <f ca="1">INDIRECT("'数据-取费表'!z"&amp;$G$1)</f>
        <v>#N/A</v>
      </c>
    </row>
    <row r="7" spans="1:37" ht="18" customHeight="1">
      <c r="A7" s="2627"/>
      <c r="B7" s="3699"/>
      <c r="C7" s="2629"/>
      <c r="D7" s="2058"/>
      <c r="E7" s="2630" t="s">
        <v>916</v>
      </c>
      <c r="F7" s="685" t="e">
        <f ca="1">IF(INDIRECT("'数据-取费表'!ah"&amp;$G$1)="",INDIRECT("'数据-取费表'!k"&amp;$G$1),INDIRECT("'数据-取费表'!ah"&amp;$G$1))</f>
        <v>#N/A</v>
      </c>
      <c r="G7" s="2285"/>
      <c r="H7" s="686"/>
      <c r="I7" s="3699"/>
      <c r="J7" s="688"/>
      <c r="K7" s="689"/>
      <c r="L7" s="684" t="s">
        <v>916</v>
      </c>
      <c r="M7" s="685" t="e">
        <f ca="1">F7</f>
        <v>#N/A</v>
      </c>
    </row>
    <row r="8" spans="1:37" ht="18" customHeight="1">
      <c r="A8" s="686"/>
      <c r="B8" s="3699"/>
      <c r="C8" s="688"/>
      <c r="D8" s="689"/>
      <c r="E8" s="684" t="s">
        <v>917</v>
      </c>
      <c r="F8" s="685" t="e">
        <f ca="1">INDIRECT("'数据-取费表'!ai"&amp;$G$1)</f>
        <v>#N/A</v>
      </c>
      <c r="G8" s="2285"/>
      <c r="H8" s="686"/>
      <c r="I8" s="3699"/>
      <c r="J8" s="688"/>
      <c r="K8" s="689"/>
      <c r="L8" s="684" t="s">
        <v>917</v>
      </c>
      <c r="M8" s="685" t="e">
        <f ca="1">INDIRECT("'数据-取费表'!ai"&amp;$G$1)</f>
        <v>#N/A</v>
      </c>
    </row>
    <row r="9" spans="1:37" ht="18" customHeight="1">
      <c r="A9" s="686"/>
      <c r="B9" s="3700"/>
      <c r="C9" s="688"/>
      <c r="D9" s="689"/>
      <c r="E9" s="684" t="s">
        <v>918</v>
      </c>
      <c r="F9" s="694" t="e">
        <f ca="1">INDIRECT("'数据-取费表'!w"&amp;$G$1)</f>
        <v>#N/A</v>
      </c>
      <c r="G9" s="2285"/>
      <c r="H9" s="686"/>
      <c r="I9" s="3700"/>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7"/>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str">
        <f ca="1">IF(项目基本情况!B11="企业","",IF(INDIRECT("'数据-取费表'!c"&amp;$G$1)="住宅",5%,IF(F49*F50*F51/12/(1+'数据-取费表'!C42)&gt;20000,12%,7%)))</f>
        <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zoomScaleSheetLayoutView="90" workbookViewId="0">
      <selection activeCell="J39" sqref="J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3573</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8" t="s">
        <v>2542</v>
      </c>
      <c r="C6" s="2628" t="e">
        <f ca="1">ROUND(F6*F8*F7*(1-F9)/10000,0)</f>
        <v>#N/A</v>
      </c>
      <c r="D6" s="2622" t="s">
        <v>2544</v>
      </c>
      <c r="E6" s="684" t="s">
        <v>915</v>
      </c>
      <c r="F6" s="685" t="e">
        <f ca="1">INDIRECT("'数据-取费表'!u"&amp;$G$1)</f>
        <v>#N/A</v>
      </c>
      <c r="G6" s="2285"/>
      <c r="H6" s="2619" t="s">
        <v>2381</v>
      </c>
      <c r="I6" s="3698" t="s">
        <v>2542</v>
      </c>
      <c r="J6" s="683" t="e">
        <f ca="1">ROUND(M6*M8*M7*(1-M9)/10000,0)</f>
        <v>#N/A</v>
      </c>
      <c r="K6" s="2622" t="s">
        <v>2544</v>
      </c>
      <c r="L6" s="684" t="s">
        <v>915</v>
      </c>
      <c r="M6" s="685" t="e">
        <f ca="1">INDIRECT("'数据-取费表'!z"&amp;$G$1)</f>
        <v>#N/A</v>
      </c>
    </row>
    <row r="7" spans="1:37" ht="18" customHeight="1">
      <c r="A7" s="2627"/>
      <c r="B7" s="3699"/>
      <c r="C7" s="2629"/>
      <c r="D7" s="2058"/>
      <c r="E7" s="2630" t="s">
        <v>916</v>
      </c>
      <c r="F7" s="685" t="e">
        <f ca="1">IF(INDIRECT("'数据-取费表'!ah"&amp;$G$1)="",INDIRECT("'数据-取费表'!k"&amp;$G$1),INDIRECT("'数据-取费表'!ah"&amp;$G$1))</f>
        <v>#N/A</v>
      </c>
      <c r="G7" s="2285"/>
      <c r="H7" s="686"/>
      <c r="I7" s="3699"/>
      <c r="J7" s="688"/>
      <c r="K7" s="689"/>
      <c r="L7" s="684" t="s">
        <v>916</v>
      </c>
      <c r="M7" s="685" t="e">
        <f ca="1">F7</f>
        <v>#N/A</v>
      </c>
    </row>
    <row r="8" spans="1:37" ht="18" customHeight="1">
      <c r="A8" s="686"/>
      <c r="B8" s="3699"/>
      <c r="C8" s="688"/>
      <c r="D8" s="689"/>
      <c r="E8" s="684" t="s">
        <v>917</v>
      </c>
      <c r="F8" s="685" t="e">
        <f ca="1">INDIRECT("'数据-取费表'!ai"&amp;$G$1)</f>
        <v>#N/A</v>
      </c>
      <c r="G8" s="2285"/>
      <c r="H8" s="686"/>
      <c r="I8" s="3699"/>
      <c r="J8" s="688"/>
      <c r="K8" s="689"/>
      <c r="L8" s="684" t="s">
        <v>917</v>
      </c>
      <c r="M8" s="685" t="e">
        <f ca="1">INDIRECT("'数据-取费表'!ai"&amp;$G$1)</f>
        <v>#N/A</v>
      </c>
    </row>
    <row r="9" spans="1:37" ht="18" customHeight="1">
      <c r="A9" s="686"/>
      <c r="B9" s="3700"/>
      <c r="C9" s="688"/>
      <c r="D9" s="689"/>
      <c r="E9" s="684" t="s">
        <v>918</v>
      </c>
      <c r="F9" s="694" t="e">
        <f ca="1">INDIRECT("'数据-取费表'!w"&amp;$G$1)</f>
        <v>#N/A</v>
      </c>
      <c r="G9" s="2285"/>
      <c r="H9" s="686"/>
      <c r="I9" s="3700"/>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7"/>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str">
        <f ca="1">IF(项目基本情况!B11="企业","",IF(INDIRECT("'数据-取费表'!c"&amp;$G$1)="住宅",5%,IF(F49*F50*F51/12/(1+'数据-取费表'!C42)&gt;20000,12%,7%)))</f>
        <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2012</v>
      </c>
    </row>
    <row r="2" spans="1:1">
      <c r="A2" s="1943"/>
    </row>
    <row r="3" spans="1:1" ht="18.75">
      <c r="A3" s="2886" t="str">
        <f>项目基本情况!B5&amp;"："</f>
        <v>：</v>
      </c>
    </row>
    <row r="4" spans="1:1" ht="18.75">
      <c r="A4" s="1944" t="str">
        <f>"受贵公司委托，我公司对"&amp;项目基本情况!S1&amp;"进行了预评估。"</f>
        <v>受贵公司委托，我公司对福建省福州市晋安区进行了预评估。</v>
      </c>
    </row>
    <row r="5" spans="1:1" ht="18.75">
      <c r="A5" s="1945" t="s">
        <v>2013</v>
      </c>
    </row>
    <row r="6" spans="1:1" ht="18.75">
      <c r="A6" s="3053" t="s">
        <v>2877</v>
      </c>
    </row>
    <row r="7" spans="1:1" ht="56.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估价对象为福建省福州市晋安区房地产，为福州泰禾新世界房地产开发有限公司所有。根据《国有土地使用证》[]，估价对象（分摊）出让国有建设用地使用权面积为0平方米，建筑面积为31303.89平方米。</v>
      </c>
    </row>
    <row r="8" spans="1:1" ht="56.25">
      <c r="A8" s="1988" t="s">
        <v>2870</v>
      </c>
    </row>
    <row r="9" spans="1:1" ht="18.75">
      <c r="A9" s="3053" t="s">
        <v>2878</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晋安区房地产,为福州泰禾新世界房地产开发有限公司开发建设的，该项目尚在开发建设中。根据《国有土地使用证》[]，估价对象（分摊）出让国有建设用地使用权面积为0平方米，规划建筑面积为31303.89平方米。</v>
      </c>
    </row>
    <row r="11" spans="1:1" ht="75">
      <c r="A11" s="1988" t="s">
        <v>2912</v>
      </c>
    </row>
    <row r="12" spans="1:1" ht="18.75">
      <c r="A12" s="1945" t="s">
        <v>2014</v>
      </c>
    </row>
    <row r="13" spans="1:1" ht="38.25" customHeight="1">
      <c r="A13" s="1946" t="str">
        <f>IF(项目基本情况!B8="抵押",IF(项目基本情况!B5=项目基本情况!B6,定义!C51,定义!B51),定义!D51)</f>
        <v>拟使用福建省福州市晋安区房地产作为抵押担保物，向办理贷款手续。特委托北京康正宏基房地产评估有限公司对上述抵押物进行评估。本次评估为确定房地产抵押贷款额度提供参考依据而评估房地产抵押价值。</v>
      </c>
    </row>
    <row r="14" spans="1:1" ht="18.75">
      <c r="A14" s="1947" t="s">
        <v>2015</v>
      </c>
    </row>
    <row r="15" spans="1:1" ht="18.75">
      <c r="A15" s="1948" t="str">
        <f>TEXT(项目基本情况!D3,"yyyy年m月d日;;")&amp;IF(项目基本情况!D3=项目基本情况!B3,"（评估专业人员实地查勘之日）","")</f>
        <v>2017年7月19日（评估专业人员实地查勘之日）</v>
      </c>
    </row>
    <row r="16" spans="1:1" ht="18.75">
      <c r="A16" s="1947" t="s">
        <v>2017</v>
      </c>
    </row>
    <row r="17" spans="1:1" ht="75">
      <c r="A17" s="1944" t="s">
        <v>2871</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19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2872</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2033</v>
      </c>
    </row>
    <row r="24" spans="1:1" ht="18.75">
      <c r="A24" s="1951" t="str">
        <f>"本次评估采用的主估价方法为"&amp;结果表!K4&amp;"和"&amp;结果表!L4&amp;"。"</f>
        <v>本次评估采用的主估价方法为比较法和收益法。</v>
      </c>
    </row>
    <row r="25" spans="1:1" ht="18.75">
      <c r="A25" s="1951"/>
    </row>
    <row r="26" spans="1:1" ht="18.75">
      <c r="A26" s="2080" t="s">
        <v>2115</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9" sqref="K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3567</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8" t="s">
        <v>2542</v>
      </c>
      <c r="C6" s="2628" t="e">
        <f ca="1">ROUND(F6*F8*F7*(1-F9)/10000,0)</f>
        <v>#N/A</v>
      </c>
      <c r="D6" s="2622" t="s">
        <v>2544</v>
      </c>
      <c r="E6" s="684" t="s">
        <v>915</v>
      </c>
      <c r="F6" s="685" t="e">
        <f ca="1">INDIRECT("'数据-取费表'!u"&amp;$G$1)</f>
        <v>#N/A</v>
      </c>
      <c r="G6" s="2285"/>
      <c r="H6" s="2619" t="s">
        <v>2381</v>
      </c>
      <c r="I6" s="3698" t="s">
        <v>2542</v>
      </c>
      <c r="J6" s="683" t="e">
        <f ca="1">ROUND(M6*M8*M7*(1-M9)/10000,0)</f>
        <v>#N/A</v>
      </c>
      <c r="K6" s="2622" t="s">
        <v>2544</v>
      </c>
      <c r="L6" s="684" t="s">
        <v>915</v>
      </c>
      <c r="M6" s="685" t="e">
        <f ca="1">INDIRECT("'数据-取费表'!z"&amp;$G$1)</f>
        <v>#N/A</v>
      </c>
    </row>
    <row r="7" spans="1:37" ht="18" customHeight="1">
      <c r="A7" s="2627"/>
      <c r="B7" s="3699"/>
      <c r="C7" s="2629"/>
      <c r="D7" s="2058"/>
      <c r="E7" s="2630" t="s">
        <v>916</v>
      </c>
      <c r="F7" s="685" t="e">
        <f ca="1">IF(INDIRECT("'数据-取费表'!ah"&amp;$G$1)="",INDIRECT("'数据-取费表'!k"&amp;$G$1),INDIRECT("'数据-取费表'!ah"&amp;$G$1))</f>
        <v>#N/A</v>
      </c>
      <c r="G7" s="2285"/>
      <c r="H7" s="686"/>
      <c r="I7" s="3699"/>
      <c r="J7" s="688"/>
      <c r="K7" s="689"/>
      <c r="L7" s="684" t="s">
        <v>916</v>
      </c>
      <c r="M7" s="685" t="e">
        <f ca="1">F7</f>
        <v>#N/A</v>
      </c>
    </row>
    <row r="8" spans="1:37" ht="18" customHeight="1">
      <c r="A8" s="686"/>
      <c r="B8" s="3699"/>
      <c r="C8" s="688"/>
      <c r="D8" s="689"/>
      <c r="E8" s="684" t="s">
        <v>917</v>
      </c>
      <c r="F8" s="685" t="e">
        <f ca="1">INDIRECT("'数据-取费表'!ai"&amp;$G$1)</f>
        <v>#N/A</v>
      </c>
      <c r="G8" s="2285"/>
      <c r="H8" s="686"/>
      <c r="I8" s="3699"/>
      <c r="J8" s="688"/>
      <c r="K8" s="689"/>
      <c r="L8" s="684" t="s">
        <v>917</v>
      </c>
      <c r="M8" s="685" t="e">
        <f ca="1">INDIRECT("'数据-取费表'!ai"&amp;$G$1)</f>
        <v>#N/A</v>
      </c>
    </row>
    <row r="9" spans="1:37" ht="18" customHeight="1">
      <c r="A9" s="686"/>
      <c r="B9" s="3700"/>
      <c r="C9" s="688"/>
      <c r="D9" s="689"/>
      <c r="E9" s="684" t="s">
        <v>918</v>
      </c>
      <c r="F9" s="694" t="e">
        <f ca="1">INDIRECT("'数据-取费表'!w"&amp;$G$1)</f>
        <v>#N/A</v>
      </c>
      <c r="G9" s="2285"/>
      <c r="H9" s="686"/>
      <c r="I9" s="3700"/>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7"/>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str">
        <f ca="1">IF(项目基本情况!B11="企业","",IF(INDIRECT("'数据-取费表'!c"&amp;$G$1)="住宅",5%,IF(F49*F50*F51/12/(1+'数据-取费表'!C42)&gt;20000,12%,7%)))</f>
        <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c r="D1" s="1273"/>
      <c r="E1" s="2582" t="s">
        <v>539</v>
      </c>
      <c r="F1" s="2583">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ROUND(D2/10000,0)</f>
        <v>#DIV/0!</v>
      </c>
      <c r="C2" s="1299" t="s">
        <v>1102</v>
      </c>
      <c r="D2" s="2721" t="e">
        <f ca="1">C40+J29+L46</f>
        <v>#DIV/0!</v>
      </c>
      <c r="E2" s="2572" t="s">
        <v>2629</v>
      </c>
      <c r="F2" s="1276"/>
      <c r="G2" s="2284"/>
      <c r="H2" s="1274"/>
      <c r="I2" s="1274"/>
      <c r="J2" s="1274"/>
      <c r="K2" s="1298"/>
      <c r="L2" s="1274"/>
      <c r="M2" s="1274"/>
    </row>
    <row r="3" spans="1:37" ht="18" customHeight="1" thickBot="1">
      <c r="A3" s="675" t="s">
        <v>346</v>
      </c>
      <c r="B3" s="1407">
        <f ca="1">IF(ISERROR(D2/F43),0,ROUND(D2/F43,0))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2340</v>
      </c>
      <c r="C5" s="2623">
        <f ca="1">C6+C10+C12</f>
        <v>0</v>
      </c>
      <c r="D5" s="2633" t="s">
        <v>2543</v>
      </c>
      <c r="E5" s="2624"/>
      <c r="F5" s="2625"/>
      <c r="G5" s="2285"/>
      <c r="H5" s="681">
        <v>1</v>
      </c>
      <c r="I5" s="682" t="s">
        <v>2340</v>
      </c>
      <c r="J5" s="2623">
        <f ca="1">J6+J10+J12</f>
        <v>0</v>
      </c>
      <c r="K5" s="2626" t="s">
        <v>2543</v>
      </c>
      <c r="L5" s="2624"/>
      <c r="M5" s="2625"/>
    </row>
    <row r="6" spans="1:37" ht="18" customHeight="1">
      <c r="A6" s="2619" t="s">
        <v>2381</v>
      </c>
      <c r="B6" s="3698" t="s">
        <v>2542</v>
      </c>
      <c r="C6" s="2628">
        <f ca="1">ROUND(F6*F8*F7*(1-F9),0)</f>
        <v>0</v>
      </c>
      <c r="D6" s="2622" t="s">
        <v>2544</v>
      </c>
      <c r="E6" s="684" t="s">
        <v>915</v>
      </c>
      <c r="F6" s="685">
        <f ca="1">INDIRECT("'数据-取费表'!u"&amp;$G$1)</f>
        <v>0</v>
      </c>
      <c r="G6" s="2285"/>
      <c r="H6" s="2619" t="s">
        <v>2381</v>
      </c>
      <c r="I6" s="3698" t="s">
        <v>2542</v>
      </c>
      <c r="J6" s="683">
        <f ca="1">ROUND(M6*M8*M7*(1-M9),0)</f>
        <v>0</v>
      </c>
      <c r="K6" s="2622" t="s">
        <v>2544</v>
      </c>
      <c r="L6" s="684" t="s">
        <v>915</v>
      </c>
      <c r="M6" s="685">
        <f ca="1">INDIRECT("'数据-取费表'!z"&amp;$G$1)</f>
        <v>0</v>
      </c>
    </row>
    <row r="7" spans="1:37" ht="18" customHeight="1">
      <c r="A7" s="2627"/>
      <c r="B7" s="3699"/>
      <c r="C7" s="2629"/>
      <c r="D7" s="2058"/>
      <c r="E7" s="2630" t="s">
        <v>916</v>
      </c>
      <c r="F7" s="685">
        <f ca="1">IF(INDIRECT("'数据-取费表'!ah"&amp;$G$1)="",INDIRECT("'数据-取费表'!k"&amp;$G$1),INDIRECT("'数据-取费表'!ah"&amp;$G$1))</f>
        <v>0</v>
      </c>
      <c r="G7" s="2285"/>
      <c r="H7" s="686"/>
      <c r="I7" s="3699"/>
      <c r="J7" s="688"/>
      <c r="K7" s="689"/>
      <c r="L7" s="684" t="s">
        <v>916</v>
      </c>
      <c r="M7" s="685">
        <f ca="1">F7</f>
        <v>0</v>
      </c>
    </row>
    <row r="8" spans="1:37" ht="18" customHeight="1">
      <c r="A8" s="686"/>
      <c r="B8" s="3699"/>
      <c r="C8" s="688"/>
      <c r="D8" s="689"/>
      <c r="E8" s="684" t="s">
        <v>917</v>
      </c>
      <c r="F8" s="685">
        <f ca="1">INDIRECT("'数据-取费表'!ai"&amp;$G$1)</f>
        <v>365</v>
      </c>
      <c r="G8" s="2285"/>
      <c r="H8" s="686"/>
      <c r="I8" s="3699"/>
      <c r="J8" s="688"/>
      <c r="K8" s="689"/>
      <c r="L8" s="684" t="s">
        <v>917</v>
      </c>
      <c r="M8" s="685">
        <f ca="1">INDIRECT("'数据-取费表'!ai"&amp;$G$1)</f>
        <v>365</v>
      </c>
    </row>
    <row r="9" spans="1:37" ht="18" customHeight="1">
      <c r="A9" s="686"/>
      <c r="B9" s="3700"/>
      <c r="C9" s="688"/>
      <c r="D9" s="689"/>
      <c r="E9" s="684" t="s">
        <v>918</v>
      </c>
      <c r="F9" s="694">
        <f ca="1">INDIRECT("'数据-取费表'!w"&amp;$G$1)</f>
        <v>0</v>
      </c>
      <c r="G9" s="2285"/>
      <c r="H9" s="686"/>
      <c r="I9" s="3700"/>
      <c r="J9" s="688"/>
      <c r="K9" s="689"/>
      <c r="L9" s="695" t="s">
        <v>918</v>
      </c>
      <c r="M9" s="696">
        <f ca="1">INDIRECT("'数据-取费表'!ab"&amp;$G$1)</f>
        <v>0</v>
      </c>
    </row>
    <row r="10" spans="1:37" ht="18" customHeight="1">
      <c r="A10" s="2619" t="s">
        <v>2388</v>
      </c>
      <c r="B10" s="2620" t="s">
        <v>2537</v>
      </c>
      <c r="C10" s="698">
        <f ca="1">ROUND(IF(F10="押一",F6*F8*F7/12*F11,IF(F10="押二",F6*F8*F7/12*2*F11,IF(F10="押三",F6*F8*F7/12*3*F11,C11*F11))),0)</f>
        <v>0</v>
      </c>
      <c r="D10" s="2631" t="s">
        <v>2545</v>
      </c>
      <c r="E10" s="2094" t="s">
        <v>2539</v>
      </c>
      <c r="F10" s="2828"/>
      <c r="G10" s="2285"/>
      <c r="H10" s="2619" t="s">
        <v>2388</v>
      </c>
      <c r="I10" s="2620" t="s">
        <v>2537</v>
      </c>
      <c r="J10" s="683">
        <f ca="1">ROUND(IF(M10="押一",M6*M8*M7/12*M11,IF(M10="押二",M6*M8*M7/12*2*M11,IF(M10="押三",M6*M8*M7/12*3*M11,J11*M11))),0)</f>
        <v>0</v>
      </c>
      <c r="K10" s="2631" t="s">
        <v>2545</v>
      </c>
      <c r="L10" s="2094" t="s">
        <v>2539</v>
      </c>
      <c r="M10" s="2828" t="s">
        <v>2700</v>
      </c>
    </row>
    <row r="11" spans="1:37" ht="18" customHeight="1">
      <c r="A11" s="690"/>
      <c r="B11" s="2621" t="s">
        <v>2547</v>
      </c>
      <c r="C11" s="2412"/>
      <c r="D11" s="689"/>
      <c r="E11" s="2094" t="s">
        <v>2540</v>
      </c>
      <c r="F11" s="696">
        <f ca="1">'数据-取费表'!B39</f>
        <v>1.4999999999999999E-2</v>
      </c>
      <c r="G11" s="2285"/>
      <c r="H11" s="2632"/>
      <c r="I11" s="2621" t="s">
        <v>2701</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f ca="1">ROUND(C29*F13,0)</f>
        <v>0</v>
      </c>
      <c r="D13" s="2665" t="s">
        <v>920</v>
      </c>
      <c r="E13" s="2665" t="s">
        <v>921</v>
      </c>
      <c r="F13" s="2666">
        <f ca="1">INDIRECT("'数据-取费表'!y"&amp;$G$1)</f>
        <v>0</v>
      </c>
      <c r="G13" s="2285"/>
      <c r="H13" s="2663">
        <v>2</v>
      </c>
      <c r="I13" s="2664" t="s">
        <v>919</v>
      </c>
      <c r="J13" s="2618">
        <f ca="1">ROUND(J14*J15,0)</f>
        <v>0</v>
      </c>
      <c r="K13" s="2673" t="s">
        <v>920</v>
      </c>
      <c r="L13" s="2684"/>
      <c r="M13" s="2685"/>
    </row>
    <row r="14" spans="1:37" ht="18" customHeight="1">
      <c r="A14" s="2435" t="s">
        <v>2378</v>
      </c>
      <c r="B14" s="684" t="s">
        <v>359</v>
      </c>
      <c r="C14" s="702">
        <f ca="1">ROUND(INDIRECT("'数据-取费表'!l"&amp;$G$1)*F43+'数据-取费表'!L14*INDIRECT("'数据-取费表'!S"&amp;$G$1),0)</f>
        <v>0</v>
      </c>
      <c r="D14" s="2716" t="s">
        <v>922</v>
      </c>
      <c r="E14" s="2715"/>
      <c r="F14" s="703"/>
      <c r="G14" s="2285"/>
      <c r="H14" s="2435" t="s">
        <v>2381</v>
      </c>
      <c r="I14" s="684" t="s">
        <v>923</v>
      </c>
      <c r="J14" s="313">
        <f ca="1">C29</f>
        <v>0</v>
      </c>
      <c r="K14" s="303"/>
      <c r="L14" s="700"/>
      <c r="M14" s="701"/>
    </row>
    <row r="15" spans="1:37" s="706" customFormat="1" ht="18" customHeight="1" thickBot="1">
      <c r="A15" s="2435" t="s">
        <v>2614</v>
      </c>
      <c r="B15" s="684" t="s">
        <v>360</v>
      </c>
      <c r="C15" s="313">
        <f ca="1">ROUND(C14*F15,0)</f>
        <v>0</v>
      </c>
      <c r="D15" s="704" t="s">
        <v>924</v>
      </c>
      <c r="E15" s="704" t="s">
        <v>365</v>
      </c>
      <c r="F15" s="705">
        <f>'数据-取费表'!B33</f>
        <v>0.03</v>
      </c>
      <c r="G15" s="2286"/>
      <c r="H15" s="2675" t="s">
        <v>2388</v>
      </c>
      <c r="I15" s="2676" t="s">
        <v>921</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f ca="1">ROUND(INDIRECT("'数据-取费表'!l"&amp;$G$1)*F43*F16,0)</f>
        <v>0</v>
      </c>
      <c r="D16" s="684" t="s">
        <v>924</v>
      </c>
      <c r="E16" s="684" t="s">
        <v>365</v>
      </c>
      <c r="F16" s="707">
        <f ca="1">IF(INDIRECT("'数据-取费表'!c"&amp;$G$1)="住宅",'数据-取费表'!B34,0)</f>
        <v>0</v>
      </c>
      <c r="G16" s="2285"/>
      <c r="H16" s="2663" t="s">
        <v>2346</v>
      </c>
      <c r="I16" s="2664" t="s">
        <v>926</v>
      </c>
      <c r="J16" s="692">
        <f ca="1">ROUND(J17+J22+J23+J24,0)</f>
        <v>0</v>
      </c>
      <c r="K16" s="2673" t="s">
        <v>927</v>
      </c>
      <c r="L16" s="2674"/>
      <c r="M16" s="2625"/>
    </row>
    <row r="17" spans="1:37" s="706" customFormat="1" ht="18" customHeight="1">
      <c r="A17" s="2435" t="s">
        <v>2616</v>
      </c>
      <c r="B17" s="684" t="s">
        <v>362</v>
      </c>
      <c r="C17" s="313">
        <f ca="1">ROUND(F17*(F43+INDIRECT("'数据-取费表'!S"&amp;$G$1)),0)</f>
        <v>0</v>
      </c>
      <c r="D17" s="684" t="s">
        <v>928</v>
      </c>
      <c r="E17" s="684" t="s">
        <v>929</v>
      </c>
      <c r="F17" s="315">
        <f>'数据-取费表'!B35</f>
        <v>200</v>
      </c>
      <c r="G17" s="2286"/>
      <c r="H17" s="2435" t="s">
        <v>2381</v>
      </c>
      <c r="I17" s="684" t="s">
        <v>363</v>
      </c>
      <c r="J17" s="313">
        <f ca="1">ROUND(IF(项目基本情况!B11="自然人",J5*M17,J18+J19+J20),0)</f>
        <v>0</v>
      </c>
      <c r="K17" s="2716" t="s">
        <v>930</v>
      </c>
      <c r="L17" s="2717"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f ca="1">ROUND(C14*F18,0)</f>
        <v>0</v>
      </c>
      <c r="D18" s="684" t="s">
        <v>924</v>
      </c>
      <c r="E18" s="684" t="s">
        <v>365</v>
      </c>
      <c r="F18" s="707">
        <f>'数据-取费表'!B36</f>
        <v>1.4999999999999999E-2</v>
      </c>
      <c r="G18" s="2286"/>
      <c r="H18" s="2435" t="s">
        <v>2378</v>
      </c>
      <c r="I18" s="684" t="s">
        <v>932</v>
      </c>
      <c r="J18" s="313">
        <f ca="1">ROUND(J5*M18/(1+'数据-取费表'!C42),0)</f>
        <v>0</v>
      </c>
      <c r="K18" s="2717"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f ca="1">SUM(C14:C18)</f>
        <v>0</v>
      </c>
      <c r="D19" s="471" t="s">
        <v>934</v>
      </c>
      <c r="E19" s="2719"/>
      <c r="F19" s="315"/>
      <c r="G19" s="2285"/>
      <c r="H19" s="2435" t="s">
        <v>2614</v>
      </c>
      <c r="I19" s="684" t="s">
        <v>935</v>
      </c>
      <c r="J19" s="313">
        <f ca="1">IF(K19="按租金收入计税",ROUND(J5*M19,0),ROUND(C29*M19*0.7,0))</f>
        <v>0</v>
      </c>
      <c r="K19" s="1300" t="s">
        <v>2421</v>
      </c>
      <c r="L19" s="684" t="s">
        <v>365</v>
      </c>
      <c r="M19" s="707">
        <f>IF(K19="按租金收入计税",'数据-取费表'!B51,'数据-取费表'!B50)</f>
        <v>1.2E-2</v>
      </c>
    </row>
    <row r="20" spans="1:37" s="706" customFormat="1" ht="18" customHeight="1">
      <c r="A20" s="2435" t="s">
        <v>2618</v>
      </c>
      <c r="B20" s="684" t="s">
        <v>367</v>
      </c>
      <c r="C20" s="313">
        <f ca="1">ROUND(C19*F20,0)</f>
        <v>0</v>
      </c>
      <c r="D20" s="709" t="s">
        <v>936</v>
      </c>
      <c r="E20" s="684" t="s">
        <v>365</v>
      </c>
      <c r="F20" s="707">
        <f>'数据-取费表'!B37</f>
        <v>1.4999999999999999E-2</v>
      </c>
      <c r="G20" s="2286"/>
      <c r="H20" s="2435" t="s">
        <v>2615</v>
      </c>
      <c r="I20" s="496" t="s">
        <v>937</v>
      </c>
      <c r="J20" s="314">
        <f ca="1">ROUND(M20*M21,0)</f>
        <v>0</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2719"/>
      <c r="F22" s="315"/>
      <c r="G22" s="2285"/>
      <c r="H22" s="2435" t="s">
        <v>2388</v>
      </c>
      <c r="I22" s="684" t="s">
        <v>945</v>
      </c>
      <c r="J22" s="313">
        <f ca="1">ROUND(J14*M22,0)</f>
        <v>0</v>
      </c>
      <c r="K22" s="2717" t="s">
        <v>946</v>
      </c>
      <c r="L22" s="684" t="s">
        <v>365</v>
      </c>
      <c r="M22" s="714">
        <f ca="1">INDIRECT("'数据-取费表'!Ak"&amp;$G$1)</f>
        <v>0</v>
      </c>
    </row>
    <row r="23" spans="1:37" s="706" customFormat="1" ht="18" customHeight="1">
      <c r="A23" s="2435" t="s">
        <v>2378</v>
      </c>
      <c r="B23" s="684" t="s">
        <v>2534</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f ca="1">ROUND(J13*M23,0)</f>
        <v>0</v>
      </c>
      <c r="K23" s="2717"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f ca="1">ROUND(J5*M24,0)</f>
        <v>0</v>
      </c>
      <c r="K24" s="2678" t="s">
        <v>371</v>
      </c>
      <c r="L24" s="2676" t="s">
        <v>365</v>
      </c>
      <c r="M24" s="2672">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2719"/>
      <c r="F25" s="315"/>
      <c r="G25" s="2285"/>
      <c r="H25" s="2663" t="s">
        <v>2361</v>
      </c>
      <c r="I25" s="2680" t="s">
        <v>377</v>
      </c>
      <c r="J25" s="692">
        <f ca="1">J5-J16</f>
        <v>0</v>
      </c>
      <c r="K25" s="2681" t="s">
        <v>378</v>
      </c>
      <c r="L25" s="2682"/>
      <c r="M25" s="2683"/>
    </row>
    <row r="26" spans="1:37" ht="18" customHeight="1">
      <c r="A26" s="2435" t="s">
        <v>2378</v>
      </c>
      <c r="B26" s="684" t="s">
        <v>2535</v>
      </c>
      <c r="C26" s="313">
        <f ca="1">ROUND((C19+C20)*F26,0)</f>
        <v>0</v>
      </c>
      <c r="D26" s="709" t="s">
        <v>955</v>
      </c>
      <c r="E26" s="695" t="s">
        <v>956</v>
      </c>
      <c r="F26" s="694">
        <f ca="1">INDIRECT("'数据-取费表'!q"&amp;$G$1)</f>
        <v>0</v>
      </c>
      <c r="G26" s="2285"/>
      <c r="H26" s="681" t="s">
        <v>2364</v>
      </c>
      <c r="I26" s="682" t="s">
        <v>957</v>
      </c>
      <c r="J26" s="683">
        <f ca="1">IF(J5&lt;&gt;0,ROUND(J25*(1-((1+M28)/(1+M26))^M27)/(M26-M28),0),0)</f>
        <v>0</v>
      </c>
      <c r="K26" s="710" t="s">
        <v>373</v>
      </c>
      <c r="L26" s="684" t="s">
        <v>374</v>
      </c>
      <c r="M26" s="694">
        <f ca="1">INDIRECT("'数据-取费表'!I"&amp;$G$1)</f>
        <v>0</v>
      </c>
    </row>
    <row r="27" spans="1:37" ht="18" customHeight="1">
      <c r="A27" s="2435" t="s">
        <v>2384</v>
      </c>
      <c r="B27" s="684" t="s">
        <v>375</v>
      </c>
      <c r="C27" s="313">
        <f ca="1">ROUND(F21*F26,4)</f>
        <v>0</v>
      </c>
      <c r="D27" s="709" t="s">
        <v>959</v>
      </c>
      <c r="E27" s="704"/>
      <c r="F27" s="705"/>
      <c r="G27" s="2285"/>
      <c r="H27" s="686"/>
      <c r="I27" s="687"/>
      <c r="J27" s="688"/>
      <c r="K27" s="718" t="s">
        <v>960</v>
      </c>
      <c r="L27" s="684" t="s">
        <v>381</v>
      </c>
      <c r="M27" s="719">
        <f ca="1">INDIRECT("'数据-取费表'!ag"&amp;$G$1)</f>
        <v>0</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f ca="1">ROUND((C19+C20+C23+C26)/(1-F21-C24-C27-C28),0)</f>
        <v>0</v>
      </c>
      <c r="D29" s="2678"/>
      <c r="E29" s="2676"/>
      <c r="F29" s="2679"/>
      <c r="G29" s="2286"/>
      <c r="H29" s="720" t="s">
        <v>2371</v>
      </c>
      <c r="I29" s="721" t="s">
        <v>961</v>
      </c>
      <c r="J29" s="722">
        <f ca="1">ROUND(J26/(1+F40)^F41,0)</f>
        <v>0</v>
      </c>
      <c r="K29" s="723" t="s">
        <v>962</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f ca="1">ROUND(C31+C36+C37+C38,0)</f>
        <v>0</v>
      </c>
      <c r="D30" s="2673" t="s">
        <v>927</v>
      </c>
      <c r="E30" s="2674"/>
      <c r="F30" s="2625"/>
      <c r="G30" s="2285"/>
      <c r="H30" s="1277"/>
      <c r="I30" s="1278"/>
      <c r="J30" s="1279"/>
      <c r="K30" s="1280"/>
      <c r="L30" s="1281"/>
      <c r="M30" s="1282"/>
    </row>
    <row r="31" spans="1:37" ht="18" customHeight="1">
      <c r="A31" s="2435" t="s">
        <v>2381</v>
      </c>
      <c r="B31" s="684" t="s">
        <v>363</v>
      </c>
      <c r="C31" s="313">
        <f ca="1">ROUND(IF(项目基本情况!B11="自然人",C5*F31,C32+C33+C34),0)</f>
        <v>0</v>
      </c>
      <c r="D31" s="2716" t="s">
        <v>930</v>
      </c>
      <c r="E31" s="2717"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2378</v>
      </c>
      <c r="B32" s="684" t="s">
        <v>932</v>
      </c>
      <c r="C32" s="313">
        <f ca="1">IF(项目基本情况!B11="自然人","——",ROUND(C5*F32/(1+'数据-取费表'!C42),0))</f>
        <v>0</v>
      </c>
      <c r="D32" s="2717"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f ca="1">IF(项目基本情况!B11="自然人","——",IF(D33="按租金收入计税",ROUND(C5*F33,0),IF(D33="按房产原值计税",ROUND(C29*F33*0.7,0),INDIRECT("'数据-取费表'!Aj"&amp;$G$1))))</f>
        <v>0</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f ca="1">IF(项目基本情况!B11="自然人","——",ROUND(F34*F35,))</f>
        <v>0</v>
      </c>
      <c r="D34" s="710" t="s">
        <v>938</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f ca="1">INDIRECT("'数据-取费表'!r"&amp;$G$1)</f>
        <v>0</v>
      </c>
      <c r="G35" s="2285"/>
      <c r="H35" s="1277"/>
      <c r="I35" s="2881"/>
      <c r="J35" s="2882"/>
      <c r="K35" s="1290"/>
      <c r="L35" s="1289"/>
      <c r="M35" s="1289"/>
    </row>
    <row r="36" spans="1:18" ht="18" customHeight="1">
      <c r="A36" s="2692" t="s">
        <v>2388</v>
      </c>
      <c r="B36" s="684" t="s">
        <v>945</v>
      </c>
      <c r="C36" s="313">
        <f ca="1">ROUND(C29*F36,0)</f>
        <v>0</v>
      </c>
      <c r="D36" s="2717" t="s">
        <v>975</v>
      </c>
      <c r="E36" s="684" t="s">
        <v>365</v>
      </c>
      <c r="F36" s="714">
        <f ca="1">INDIRECT("'数据-取费表'!Ak"&amp;$G$1)</f>
        <v>0</v>
      </c>
      <c r="G36" s="2285"/>
      <c r="H36" s="1289"/>
      <c r="I36" s="2881"/>
      <c r="J36" s="2882"/>
      <c r="K36" s="1293"/>
      <c r="L36" s="1289"/>
      <c r="M36" s="1289"/>
    </row>
    <row r="37" spans="1:18" ht="18" customHeight="1">
      <c r="A37" s="2435" t="s">
        <v>2619</v>
      </c>
      <c r="B37" s="684" t="s">
        <v>368</v>
      </c>
      <c r="C37" s="313">
        <f ca="1">ROUND(C13*F37,0)</f>
        <v>0</v>
      </c>
      <c r="D37" s="2717" t="s">
        <v>369</v>
      </c>
      <c r="E37" s="684" t="s">
        <v>365</v>
      </c>
      <c r="F37" s="716">
        <f ca="1">INDIRECT("'数据-取费表'!Al"&amp;$G$1)</f>
        <v>0</v>
      </c>
      <c r="G37" s="2285"/>
      <c r="H37" s="1289"/>
      <c r="I37" s="2881"/>
      <c r="J37" s="2882"/>
      <c r="K37" s="1293"/>
      <c r="L37" s="1289"/>
      <c r="M37" s="1289"/>
    </row>
    <row r="38" spans="1:18" ht="18" customHeight="1" thickBot="1">
      <c r="A38" s="2675" t="s">
        <v>2620</v>
      </c>
      <c r="B38" s="2676" t="s">
        <v>367</v>
      </c>
      <c r="C38" s="2677">
        <f ca="1">ROUND(C5*F38,1)</f>
        <v>0</v>
      </c>
      <c r="D38" s="2678" t="s">
        <v>371</v>
      </c>
      <c r="E38" s="2676" t="s">
        <v>365</v>
      </c>
      <c r="F38" s="2672">
        <f ca="1">INDIRECT("'数据-取费表'!Am"&amp;$G$1)</f>
        <v>0</v>
      </c>
      <c r="G38" s="2285"/>
      <c r="H38" s="1289"/>
      <c r="I38" s="2881"/>
      <c r="J38" s="2882"/>
      <c r="K38" s="1294"/>
      <c r="L38" s="1289"/>
      <c r="M38" s="1289"/>
    </row>
    <row r="39" spans="1:18" ht="24.6" customHeight="1" thickTop="1">
      <c r="A39" s="2663" t="s">
        <v>2361</v>
      </c>
      <c r="B39" s="2680" t="s">
        <v>377</v>
      </c>
      <c r="C39" s="692">
        <f ca="1">C5-C30</f>
        <v>0</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#DIV/0!</v>
      </c>
      <c r="D40" s="710" t="s">
        <v>373</v>
      </c>
      <c r="E40" s="684" t="s">
        <v>374</v>
      </c>
      <c r="F40" s="694">
        <f ca="1">INDIRECT("'数据-取费表'!I"&amp;$G$1)</f>
        <v>0</v>
      </c>
      <c r="G40" s="2285"/>
      <c r="H40" s="1295"/>
      <c r="I40" s="2881"/>
      <c r="J40" s="2882"/>
      <c r="K40" s="1294"/>
      <c r="L40" s="1295"/>
      <c r="M40" s="1295"/>
    </row>
    <row r="41" spans="1:18" ht="18" customHeight="1">
      <c r="A41" s="686"/>
      <c r="B41" s="687"/>
      <c r="C41" s="688"/>
      <c r="D41" s="718" t="s">
        <v>380</v>
      </c>
      <c r="E41" s="684" t="s">
        <v>381</v>
      </c>
      <c r="F41" s="719">
        <f ca="1">IF(INDIRECT("'数据-取费表'!af"&amp;$G$1)=0,INDIRECT("'数据-取费表'!ae"&amp;$G$1),INDIRECT("'数据-取费表'!af"&amp;$G$1))</f>
        <v>0</v>
      </c>
      <c r="G41" s="2285"/>
      <c r="H41" s="1191"/>
      <c r="I41" s="2881"/>
      <c r="J41" s="2882"/>
      <c r="K41" s="1293"/>
      <c r="L41" s="1191"/>
      <c r="M41" s="1191"/>
    </row>
    <row r="42" spans="1:18" ht="18" customHeight="1">
      <c r="A42" s="690"/>
      <c r="B42" s="691"/>
      <c r="C42" s="692"/>
      <c r="D42" s="713"/>
      <c r="E42" s="684" t="s">
        <v>382</v>
      </c>
      <c r="F42" s="694">
        <f ca="1">INDIRECT("'数据-取费表'!v"&amp;$G$1)</f>
        <v>0</v>
      </c>
      <c r="G42" s="2285"/>
      <c r="H42" s="1191"/>
      <c r="I42" s="2881"/>
      <c r="J42" s="2882"/>
      <c r="K42" s="1293"/>
      <c r="L42" s="1191"/>
      <c r="M42" s="1191"/>
    </row>
    <row r="43" spans="1:18" ht="18" customHeight="1" thickBot="1">
      <c r="A43" s="720" t="s">
        <v>2371</v>
      </c>
      <c r="B43" s="721" t="s">
        <v>383</v>
      </c>
      <c r="C43" s="722" t="e">
        <f ca="1">ROUND(C40/F43,0)</f>
        <v>#DIV/0!</v>
      </c>
      <c r="D43" s="723" t="s">
        <v>384</v>
      </c>
      <c r="E43" s="724" t="s">
        <v>385</v>
      </c>
      <c r="F43" s="725">
        <f ca="1">INDIRECT("'数据-取费表'!k"&amp;$G$1)</f>
        <v>0</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4" t="e">
        <f ca="1">C68-C40</f>
        <v>#DIV/0!</v>
      </c>
      <c r="D45" s="2725" t="s">
        <v>2630</v>
      </c>
      <c r="E45" s="1432"/>
      <c r="F45" s="1432"/>
      <c r="O45" s="2588" t="s">
        <v>2494</v>
      </c>
      <c r="P45" s="1295"/>
      <c r="Q45" s="1295"/>
      <c r="R45" s="1295"/>
    </row>
    <row r="46" spans="1:18" s="1454" customFormat="1" ht="21" thickBot="1">
      <c r="A46" s="2393" t="s">
        <v>2333</v>
      </c>
      <c r="B46" s="2394"/>
      <c r="C46" s="2722" t="e">
        <f ca="1">ROUND(C45/10000,0)</f>
        <v>#DIV/0!</v>
      </c>
      <c r="D46" s="2723" t="str">
        <f>C2</f>
        <v>万元</v>
      </c>
      <c r="I46" s="2575" t="s">
        <v>2429</v>
      </c>
      <c r="J46" s="2576"/>
      <c r="K46" s="2577"/>
      <c r="L46" s="2579" t="e">
        <f ca="1">IF(M47="住宅",0,IF(L48&gt;J51,L60,J60))</f>
        <v>#DIV/0!</v>
      </c>
      <c r="O46" s="2591" t="s">
        <v>2472</v>
      </c>
      <c r="P46" s="2592" t="s">
        <v>2473</v>
      </c>
      <c r="Q46" s="2593" t="s">
        <v>2471</v>
      </c>
      <c r="R46" s="2593" t="s">
        <v>2474</v>
      </c>
    </row>
    <row r="47" spans="1:18" s="1454" customFormat="1" ht="15.75" thickBot="1">
      <c r="A47" s="2395" t="s">
        <v>910</v>
      </c>
      <c r="B47" s="2431" t="s">
        <v>911</v>
      </c>
      <c r="C47" s="2431" t="s">
        <v>912</v>
      </c>
      <c r="D47" s="2431" t="s">
        <v>913</v>
      </c>
      <c r="E47" s="2534" t="s">
        <v>914</v>
      </c>
      <c r="F47" s="2535"/>
      <c r="G47" s="1456"/>
      <c r="I47" s="2550" t="s">
        <v>2422</v>
      </c>
      <c r="J47" s="2551"/>
      <c r="K47" s="2560" t="s">
        <v>2445</v>
      </c>
      <c r="L47" s="2561">
        <f ca="1">INDIRECT("'数据-取费表'!d"&amp;$G$1)</f>
        <v>0</v>
      </c>
      <c r="M47" s="2581" t="str">
        <f>IF(ISNUMBER(FIND("住宅",C1)),"住宅","非住宅")</f>
        <v>非住宅</v>
      </c>
      <c r="O47" s="2584" t="s">
        <v>2457</v>
      </c>
      <c r="P47" s="2594" t="s">
        <v>2475</v>
      </c>
      <c r="Q47" s="2585" t="e">
        <f ca="1">C40+J29</f>
        <v>#DIV/0!</v>
      </c>
      <c r="R47" s="2585" t="s">
        <v>2476</v>
      </c>
    </row>
    <row r="48" spans="1:18" s="1454" customFormat="1" ht="47.25" thickBot="1">
      <c r="A48" s="2708" t="s">
        <v>2625</v>
      </c>
      <c r="B48" s="682" t="s">
        <v>2340</v>
      </c>
      <c r="C48" s="2718">
        <f ca="1">C49+C53+C55</f>
        <v>0</v>
      </c>
      <c r="D48" s="2712"/>
      <c r="E48" s="2713"/>
      <c r="F48" s="2415"/>
      <c r="G48" s="1456"/>
      <c r="H48" s="1457"/>
      <c r="I48" s="2541" t="s">
        <v>2423</v>
      </c>
      <c r="J48" s="2552"/>
      <c r="K48" s="2562" t="s">
        <v>682</v>
      </c>
      <c r="L48" s="2165">
        <f ca="1">INDIRECT("'数据-取费表'!f"&amp;$G$1)</f>
        <v>0</v>
      </c>
      <c r="O48" s="2584" t="s">
        <v>2458</v>
      </c>
      <c r="P48" s="2594" t="s">
        <v>2477</v>
      </c>
      <c r="Q48" s="2585" t="e">
        <f ca="1">J60</f>
        <v>#DIV/0!</v>
      </c>
      <c r="R48" s="2585" t="s">
        <v>2485</v>
      </c>
    </row>
    <row r="49" spans="1:18" s="1454" customFormat="1" ht="15.75" thickBot="1">
      <c r="A49" s="2428" t="s">
        <v>2626</v>
      </c>
      <c r="B49" s="2711" t="s">
        <v>2628</v>
      </c>
      <c r="C49" s="2720">
        <f ca="1">ROUND(F49*F51*F50*(1-F52),0)</f>
        <v>0</v>
      </c>
      <c r="D49" s="2530" t="s">
        <v>2341</v>
      </c>
      <c r="E49" s="2533" t="s">
        <v>2334</v>
      </c>
      <c r="F49" s="2536"/>
      <c r="G49" s="1458"/>
      <c r="H49" s="1457"/>
      <c r="I49" s="2541" t="s">
        <v>2443</v>
      </c>
      <c r="J49" s="2553"/>
      <c r="K49" s="2563" t="s">
        <v>2448</v>
      </c>
      <c r="L49" s="2564"/>
      <c r="O49" s="2586" t="s">
        <v>2459</v>
      </c>
      <c r="P49" s="2594" t="s">
        <v>2478</v>
      </c>
      <c r="Q49" s="2585">
        <f ca="1">C29</f>
        <v>0</v>
      </c>
      <c r="R49" s="2585" t="s">
        <v>2476</v>
      </c>
    </row>
    <row r="50" spans="1:18" s="1454" customFormat="1" ht="15.75" thickBot="1">
      <c r="A50" s="2429"/>
      <c r="B50" s="2432"/>
      <c r="C50" s="2433"/>
      <c r="D50" s="2402"/>
      <c r="E50" s="2531" t="s">
        <v>916</v>
      </c>
      <c r="F50" s="2532">
        <f ca="1">F7</f>
        <v>0</v>
      </c>
      <c r="H50" s="1457"/>
      <c r="I50" s="2541" t="s">
        <v>2425</v>
      </c>
      <c r="J50" s="2554">
        <f>SUMPRODUCT((I63:I65=J47)*(J62:L62=J48)*(J63:L65))</f>
        <v>0</v>
      </c>
      <c r="K50" s="2563" t="s">
        <v>2449</v>
      </c>
      <c r="L50" s="2564"/>
      <c r="M50" s="2558"/>
      <c r="O50" s="2586" t="s">
        <v>2460</v>
      </c>
      <c r="P50" s="2594" t="s">
        <v>2486</v>
      </c>
      <c r="Q50" s="2587" t="e">
        <f ca="1">J58</f>
        <v>#DIV/0!</v>
      </c>
      <c r="R50" s="2585"/>
    </row>
    <row r="51" spans="1:18" s="1454" customFormat="1" ht="15.75" thickBot="1">
      <c r="A51" s="2430"/>
      <c r="B51" s="2432"/>
      <c r="C51" s="2433"/>
      <c r="D51" s="2402"/>
      <c r="E51" s="2434" t="s">
        <v>917</v>
      </c>
      <c r="F51" s="685">
        <f ca="1">F8</f>
        <v>365</v>
      </c>
      <c r="I51" s="2555" t="s">
        <v>2430</v>
      </c>
      <c r="J51" s="2556">
        <f>IF(J49="",J50,J49+J50-YEAR('数据-取费表'!B2))</f>
        <v>0</v>
      </c>
      <c r="K51" s="2565" t="s">
        <v>2450</v>
      </c>
      <c r="L51" s="2578">
        <f ca="1">ROUND(-PV(INDIRECT("'数据-取费表'!h"&amp;$G$1),L48,(C39-C13*C76),0),0)</f>
        <v>0</v>
      </c>
      <c r="M51" s="2559"/>
      <c r="O51" s="2586" t="s">
        <v>2461</v>
      </c>
      <c r="P51" s="2594" t="s">
        <v>2487</v>
      </c>
      <c r="Q51" s="2587">
        <f>J52</f>
        <v>0</v>
      </c>
      <c r="R51" s="2585"/>
    </row>
    <row r="52" spans="1:18" s="1454" customFormat="1" ht="15.75" thickBot="1">
      <c r="A52" s="2430"/>
      <c r="B52" s="2432"/>
      <c r="C52" s="2433"/>
      <c r="D52" s="2402"/>
      <c r="E52" s="2434" t="s">
        <v>918</v>
      </c>
      <c r="F52" s="2529"/>
      <c r="I52" s="2557" t="s">
        <v>2453</v>
      </c>
      <c r="J52" s="2571"/>
      <c r="K52" s="2557" t="s">
        <v>2438</v>
      </c>
      <c r="L52" s="2571"/>
      <c r="M52" s="2394"/>
      <c r="O52" s="2586" t="s">
        <v>2462</v>
      </c>
      <c r="P52" s="2594" t="s">
        <v>2479</v>
      </c>
      <c r="Q52" s="2585">
        <f ca="1">J53</f>
        <v>0</v>
      </c>
      <c r="R52" s="2585" t="s">
        <v>2480</v>
      </c>
    </row>
    <row r="53" spans="1:18" s="1454" customFormat="1" ht="43.5" thickBot="1">
      <c r="A53" s="2709" t="s">
        <v>2627</v>
      </c>
      <c r="B53" s="2710" t="s">
        <v>2537</v>
      </c>
      <c r="C53" s="698">
        <f ca="1">ROUND(IF(F53="押一",F49*F51*F50/12*F11,IF(F53="押二",F49*F51*F50/12*2*F11,IF(F53="押三",F49*F51*F50/12*3*F11,C54*F11))),0)</f>
        <v>0</v>
      </c>
      <c r="D53" s="2631" t="s">
        <v>2545</v>
      </c>
      <c r="E53" s="2094" t="s">
        <v>2539</v>
      </c>
      <c r="F53" s="2828"/>
      <c r="I53" s="2567" t="s">
        <v>2455</v>
      </c>
      <c r="J53" s="2568">
        <f ca="1">IF(M47="住宅",J51,MIN(J51,L48))</f>
        <v>0</v>
      </c>
      <c r="K53" s="3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7"/>
      <c r="O53" s="2584" t="s">
        <v>2463</v>
      </c>
      <c r="P53" s="2594" t="s">
        <v>2481</v>
      </c>
      <c r="Q53" s="2585" t="e">
        <f ca="1">Q47+Q48</f>
        <v>#DIV/0!</v>
      </c>
      <c r="R53" s="2585" t="s">
        <v>2464</v>
      </c>
    </row>
    <row r="54" spans="1:18" s="1454" customFormat="1" ht="16.5" thickBot="1">
      <c r="A54" s="2428"/>
      <c r="B54" s="2825" t="s">
        <v>2701</v>
      </c>
      <c r="C54" s="2412"/>
      <c r="D54" s="2631"/>
      <c r="E54" s="2775"/>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2714"/>
      <c r="F55" s="2537"/>
      <c r="I55" s="3320" t="s">
        <v>2431</v>
      </c>
      <c r="J55" s="3319" t="e">
        <f ca="1">ROUND(IF(J47="钢混",J57/J50,1-(1-2%)*(J50-J57)/J50),3)</f>
        <v>#DIV/0!</v>
      </c>
      <c r="K55" s="2548" t="s">
        <v>2432</v>
      </c>
      <c r="L55" s="2570"/>
      <c r="O55" s="2591" t="s">
        <v>2472</v>
      </c>
      <c r="P55" s="2592" t="s">
        <v>2473</v>
      </c>
      <c r="Q55" s="2593" t="s">
        <v>2471</v>
      </c>
      <c r="R55" s="2593" t="s">
        <v>2474</v>
      </c>
    </row>
    <row r="56" spans="1:18" s="1454" customFormat="1" ht="44.25" thickTop="1" thickBot="1">
      <c r="A56" s="2406">
        <v>2</v>
      </c>
      <c r="B56" s="2407" t="s">
        <v>919</v>
      </c>
      <c r="C56" s="608">
        <f ca="1">C13</f>
        <v>0</v>
      </c>
      <c r="D56" s="2695"/>
      <c r="E56" s="2408"/>
      <c r="F56" s="2537"/>
      <c r="I56" s="2540" t="s">
        <v>2433</v>
      </c>
      <c r="J56" s="2569"/>
      <c r="K56" s="2541" t="s">
        <v>2437</v>
      </c>
      <c r="L56" s="2165">
        <f ca="1">IF(L48&lt;J51,"——",L48-J51)</f>
        <v>0</v>
      </c>
      <c r="O56" s="2584" t="s">
        <v>2457</v>
      </c>
      <c r="P56" s="2594" t="s">
        <v>2475</v>
      </c>
      <c r="Q56" s="2585" t="e">
        <f ca="1">C40+J29</f>
        <v>#DIV/0!</v>
      </c>
      <c r="R56" s="2585" t="s">
        <v>2476</v>
      </c>
    </row>
    <row r="57" spans="1:18" s="1454" customFormat="1" ht="29.25" thickBot="1">
      <c r="A57" s="2538"/>
      <c r="B57" s="2399" t="s">
        <v>968</v>
      </c>
      <c r="C57" s="614">
        <f ca="1">C29</f>
        <v>0</v>
      </c>
      <c r="D57" s="2410"/>
      <c r="E57" s="2411"/>
      <c r="F57" s="2539"/>
      <c r="I57" s="2542" t="s">
        <v>2454</v>
      </c>
      <c r="J57" s="2546">
        <f ca="1">IF(OR(M47="住宅",J51&lt;L48,J56="是"),"——",J51-L48)</f>
        <v>0</v>
      </c>
      <c r="K57" s="2541" t="s">
        <v>2447</v>
      </c>
      <c r="L57" s="2165">
        <f ca="1">IF(L48&lt;J51,"——",IF(L55="比较法",L49,IF(L55="基准地价",L50,L51)))</f>
        <v>0</v>
      </c>
      <c r="O57" s="2584" t="s">
        <v>2458</v>
      </c>
      <c r="P57" s="2594" t="s">
        <v>2482</v>
      </c>
      <c r="Q57" s="2585" t="e">
        <f ca="1">L60</f>
        <v>#DIV/0!</v>
      </c>
      <c r="R57" s="2585" t="s">
        <v>2497</v>
      </c>
    </row>
    <row r="58" spans="1:18" s="1454" customFormat="1" ht="29.25" thickBot="1">
      <c r="A58" s="697" t="s">
        <v>2346</v>
      </c>
      <c r="B58" s="2407" t="s">
        <v>926</v>
      </c>
      <c r="C58" s="698">
        <f ca="1">ROUND(C59+C64+C65+C66,0)</f>
        <v>0</v>
      </c>
      <c r="D58" s="2413" t="s">
        <v>927</v>
      </c>
      <c r="E58" s="2414"/>
      <c r="F58" s="2415"/>
      <c r="I58" s="2542" t="s">
        <v>2434</v>
      </c>
      <c r="J58" s="3321" t="e">
        <f ca="1">IF(J55&lt;0.4,0.4,J55)</f>
        <v>#DIV/0!</v>
      </c>
      <c r="K58" s="2565" t="s">
        <v>2456</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f ca="1">ROUND(IF(项目基本情况!B11="自然人",C48*F59,C60+C61+C62),0)</f>
        <v>0</v>
      </c>
      <c r="D59" s="2416" t="s">
        <v>930</v>
      </c>
      <c r="E59" s="2417" t="s">
        <v>931</v>
      </c>
      <c r="F59" s="708" t="str">
        <f ca="1">IF(项目基本情况!B11="企业","",IF(INDIRECT("'数据-取费表'!c"&amp;$G$1)="住宅",5%,IF(F49*F50*F51/12/(1+'数据-取费表'!C42)&gt;20000,12%,7%)))</f>
        <v/>
      </c>
      <c r="I59" s="2542" t="s">
        <v>2435</v>
      </c>
      <c r="J59" s="2546" t="e">
        <f ca="1">IF(OR(M47="住宅",J51&lt;L48,J56="是"),"——",ROUND(C29*J58,0))</f>
        <v>#DIV/0!</v>
      </c>
      <c r="K59" s="2565" t="s">
        <v>2444</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f ca="1">IF(项目基本情况!B11="自然人","——",ROUND(C48*F60/(1+'数据-取费表'!C42),0))</f>
        <v>0</v>
      </c>
      <c r="D60" s="2417" t="s">
        <v>933</v>
      </c>
      <c r="E60" s="2399" t="s">
        <v>365</v>
      </c>
      <c r="F60" s="717">
        <f t="shared" ref="F60:F66" si="0">F32</f>
        <v>5.6000000000000001E-2</v>
      </c>
      <c r="I60" s="2543" t="s">
        <v>2436</v>
      </c>
      <c r="J60" s="2547" t="e">
        <f ca="1">IF(OR(M47="住宅",J51&lt;L48,J56="是"),"0",ROUND(J59/(1+J52)^J53,0))</f>
        <v>#DIV/0!</v>
      </c>
      <c r="K60" s="2549" t="s">
        <v>2439</v>
      </c>
      <c r="L60" s="2547" t="e">
        <f ca="1">IF(OR(M47="住宅",L48&lt;J51),0,ROUND(L57*(L58/L59-1),0))</f>
        <v>#DIV/0!</v>
      </c>
      <c r="O60" s="2586" t="s">
        <v>2461</v>
      </c>
      <c r="P60" s="2594" t="s">
        <v>2491</v>
      </c>
      <c r="Q60" s="2585">
        <f ca="1">L58</f>
        <v>0</v>
      </c>
      <c r="R60" s="2585" t="s">
        <v>2466</v>
      </c>
    </row>
    <row r="61" spans="1:18" s="1454" customFormat="1" ht="20.25" thickBot="1">
      <c r="A61" s="2435" t="s">
        <v>2379</v>
      </c>
      <c r="B61" s="2399" t="s">
        <v>935</v>
      </c>
      <c r="C61" s="313">
        <f ca="1">IF(项目基本情况!B11="自然人","——",IF(D61="按租金收入计税",ROUND(C48*F61,0),IF(D61="按房产原值计税",ROUND(C57*F61*0.7,0),INDIRECT("'数据-取费表'!Aj"&amp;$G$1))))</f>
        <v>0</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937</v>
      </c>
      <c r="C62" s="314">
        <f ca="1">IF(项目基本情况!B11="自然人","——",ROUND(F62*F63,0))</f>
        <v>0</v>
      </c>
      <c r="D62" s="2418" t="s">
        <v>938</v>
      </c>
      <c r="E62" s="2399" t="s">
        <v>939</v>
      </c>
      <c r="F62" s="711">
        <f t="shared" si="0"/>
        <v>18</v>
      </c>
      <c r="I62" s="2544" t="s">
        <v>2426</v>
      </c>
      <c r="J62" s="2545" t="s">
        <v>2427</v>
      </c>
      <c r="K62" s="2545" t="s">
        <v>2428</v>
      </c>
      <c r="L62" s="2545" t="s">
        <v>2424</v>
      </c>
      <c r="M62" s="3322" t="s">
        <v>3045</v>
      </c>
      <c r="O62" s="2584" t="s">
        <v>2463</v>
      </c>
      <c r="P62" s="2594" t="s">
        <v>2481</v>
      </c>
      <c r="Q62" s="2585" t="e">
        <f ca="1">Q56+Q57</f>
        <v>#DIV/0!</v>
      </c>
      <c r="R62" s="2585" t="s">
        <v>2464</v>
      </c>
    </row>
    <row r="63" spans="1:18" s="1454" customFormat="1" ht="16.5" thickBot="1">
      <c r="A63" s="712"/>
      <c r="B63" s="2405"/>
      <c r="C63" s="318"/>
      <c r="D63" s="2419"/>
      <c r="E63" s="2399" t="s">
        <v>943</v>
      </c>
      <c r="F63" s="685">
        <f t="shared" ca="1" si="0"/>
        <v>0</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f ca="1">ROUND(C57*F64,0)</f>
        <v>0</v>
      </c>
      <c r="D64" s="2417" t="s">
        <v>975</v>
      </c>
      <c r="E64" s="2399" t="s">
        <v>365</v>
      </c>
      <c r="F64" s="714">
        <f t="shared" ca="1" si="0"/>
        <v>0</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f ca="1">ROUND(C56*F65,0)</f>
        <v>0</v>
      </c>
      <c r="D65" s="2417" t="s">
        <v>369</v>
      </c>
      <c r="E65" s="2399" t="s">
        <v>365</v>
      </c>
      <c r="F65" s="716">
        <f t="shared" ca="1" si="0"/>
        <v>0</v>
      </c>
      <c r="I65" s="2544" t="s">
        <v>2442</v>
      </c>
      <c r="J65" s="3325">
        <v>40</v>
      </c>
      <c r="K65" s="3325">
        <v>30</v>
      </c>
      <c r="L65" s="3325">
        <v>50</v>
      </c>
      <c r="M65" s="3323">
        <v>0.02</v>
      </c>
      <c r="O65" s="2584" t="s">
        <v>2457</v>
      </c>
      <c r="P65" s="2594" t="s">
        <v>2475</v>
      </c>
      <c r="Q65" s="2585" t="e">
        <f ca="1">C40+J29</f>
        <v>#DIV/0!</v>
      </c>
      <c r="R65" s="2585" t="s">
        <v>2476</v>
      </c>
    </row>
    <row r="66" spans="1:18" s="1454" customFormat="1" ht="20.25" thickBot="1">
      <c r="A66" s="2435" t="s">
        <v>2383</v>
      </c>
      <c r="B66" s="2399" t="s">
        <v>367</v>
      </c>
      <c r="C66" s="313">
        <f ca="1">ROUND(C48*F66,0)</f>
        <v>0</v>
      </c>
      <c r="D66" s="2417" t="s">
        <v>371</v>
      </c>
      <c r="E66" s="2399" t="s">
        <v>365</v>
      </c>
      <c r="F66" s="694">
        <f t="shared" ca="1" si="0"/>
        <v>0</v>
      </c>
      <c r="O66" s="2584" t="s">
        <v>2458</v>
      </c>
      <c r="P66" s="2594" t="s">
        <v>2482</v>
      </c>
      <c r="Q66" s="2585" t="e">
        <f ca="1">L60</f>
        <v>#DIV/0!</v>
      </c>
      <c r="R66" s="2585" t="s">
        <v>2465</v>
      </c>
    </row>
    <row r="67" spans="1:18" s="1454" customFormat="1" ht="24.75" thickBot="1">
      <c r="A67" s="2406" t="s">
        <v>2361</v>
      </c>
      <c r="B67" s="2420" t="s">
        <v>377</v>
      </c>
      <c r="C67" s="698">
        <f ca="1">C48-C58</f>
        <v>0</v>
      </c>
      <c r="D67" s="2416" t="s">
        <v>378</v>
      </c>
      <c r="E67" s="2421"/>
      <c r="F67" s="2422"/>
      <c r="O67" s="2586" t="s">
        <v>2459</v>
      </c>
      <c r="P67" s="2594" t="s">
        <v>2489</v>
      </c>
      <c r="Q67" s="2589">
        <f ca="1">L51</f>
        <v>0</v>
      </c>
      <c r="R67" s="2590" t="s">
        <v>2499</v>
      </c>
    </row>
    <row r="68" spans="1:18" s="1454" customFormat="1" ht="20.25" thickBot="1">
      <c r="A68" s="2396" t="s">
        <v>2364</v>
      </c>
      <c r="B68" s="2397" t="s">
        <v>379</v>
      </c>
      <c r="C68" s="683" t="e">
        <f ca="1">ROUND(C67*(1-((1+F70)/(1+F68))^F69)/(F68-F70),0)</f>
        <v>#DIV/0!</v>
      </c>
      <c r="D68" s="2418" t="s">
        <v>373</v>
      </c>
      <c r="E68" s="2399" t="s">
        <v>374</v>
      </c>
      <c r="F68" s="694">
        <f ca="1">F40</f>
        <v>0</v>
      </c>
      <c r="O68" s="2586" t="s">
        <v>2460</v>
      </c>
      <c r="P68" s="2595" t="s">
        <v>2493</v>
      </c>
      <c r="Q68" s="2585">
        <f ca="1">ROUND(Q69-Q70*Q71,0)</f>
        <v>0</v>
      </c>
      <c r="R68" s="2585" t="s">
        <v>2498</v>
      </c>
    </row>
    <row r="69" spans="1:18" s="1454" customFormat="1" ht="15.75" thickBot="1">
      <c r="A69" s="2400"/>
      <c r="B69" s="2401"/>
      <c r="C69" s="688"/>
      <c r="D69" s="2423" t="s">
        <v>960</v>
      </c>
      <c r="E69" s="2399" t="s">
        <v>381</v>
      </c>
      <c r="F69" s="719">
        <f ca="1">F41</f>
        <v>0</v>
      </c>
      <c r="O69" s="2586" t="s">
        <v>2468</v>
      </c>
      <c r="P69" s="2595" t="s">
        <v>2483</v>
      </c>
      <c r="Q69" s="2585">
        <f ca="1">C39</f>
        <v>0</v>
      </c>
      <c r="R69" s="2585" t="s">
        <v>2476</v>
      </c>
    </row>
    <row r="70" spans="1:18" s="1454" customFormat="1" ht="15.75" thickBot="1">
      <c r="A70" s="2403"/>
      <c r="B70" s="2404"/>
      <c r="C70" s="692"/>
      <c r="D70" s="2419"/>
      <c r="E70" s="2399" t="s">
        <v>382</v>
      </c>
      <c r="F70" s="2529">
        <f ca="1">F42</f>
        <v>0</v>
      </c>
      <c r="O70" s="2586" t="s">
        <v>2469</v>
      </c>
      <c r="P70" s="2595" t="s">
        <v>2484</v>
      </c>
      <c r="Q70" s="2585">
        <f ca="1">C13</f>
        <v>0</v>
      </c>
      <c r="R70" s="2585" t="s">
        <v>2476</v>
      </c>
    </row>
    <row r="71" spans="1:18" s="1454" customFormat="1" ht="15.75" thickBot="1">
      <c r="A71" s="2424" t="s">
        <v>2371</v>
      </c>
      <c r="B71" s="2425" t="s">
        <v>383</v>
      </c>
      <c r="C71" s="722" t="e">
        <f ca="1">ROUND(C68/F71,0)</f>
        <v>#DIV/0!</v>
      </c>
      <c r="D71" s="2426" t="s">
        <v>384</v>
      </c>
      <c r="E71" s="2427" t="s">
        <v>385</v>
      </c>
      <c r="F71" s="725">
        <f ca="1">F43</f>
        <v>0</v>
      </c>
      <c r="I71" s="2394"/>
      <c r="K71" s="2394"/>
      <c r="O71" s="2586" t="s">
        <v>2470</v>
      </c>
      <c r="P71" s="2595" t="s">
        <v>2496</v>
      </c>
      <c r="Q71" s="2587">
        <f ca="1">C76</f>
        <v>0</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f ca="1">ROUND(C13*C76,0)</f>
        <v>0</v>
      </c>
      <c r="D75" s="1454"/>
      <c r="E75" s="1454"/>
      <c r="F75" s="1454"/>
      <c r="K75" s="1455"/>
      <c r="L75" s="1454"/>
      <c r="O75" s="2584" t="s">
        <v>2463</v>
      </c>
      <c r="P75" s="2594" t="s">
        <v>2481</v>
      </c>
      <c r="Q75" s="2585" t="e">
        <f ca="1">Q65+Q66</f>
        <v>#DIV/0!</v>
      </c>
      <c r="R75" s="2585" t="s">
        <v>2464</v>
      </c>
    </row>
    <row r="76" spans="1:18">
      <c r="B76" s="731" t="s">
        <v>974</v>
      </c>
      <c r="C76" s="732">
        <f ca="1">INDIRECT("'数据-取费表'!j"&amp;$G$1)</f>
        <v>0</v>
      </c>
      <c r="I76" s="1454"/>
      <c r="J76" s="1454"/>
      <c r="K76" s="1455"/>
      <c r="L76" s="1454"/>
    </row>
    <row r="77" spans="1:18">
      <c r="B77" s="733" t="s">
        <v>977</v>
      </c>
      <c r="C77" s="734"/>
      <c r="I77" s="1454"/>
      <c r="J77" s="1454"/>
      <c r="K77" s="1455"/>
      <c r="L77" s="1454"/>
    </row>
    <row r="78" spans="1:18">
      <c r="B78" s="646" t="s">
        <v>963</v>
      </c>
      <c r="C78" s="735"/>
    </row>
    <row r="79" spans="1:18">
      <c r="B79" s="2873" t="s">
        <v>2708</v>
      </c>
      <c r="C79" s="650" t="e">
        <f ca="1">1-C80</f>
        <v>#DIV/0!</v>
      </c>
    </row>
    <row r="80" spans="1:18">
      <c r="B80" s="2873" t="s">
        <v>2709</v>
      </c>
      <c r="C80" s="650" t="e">
        <f ca="1">ROUND(C75/C39,3)</f>
        <v>#DIV/0!</v>
      </c>
    </row>
    <row r="81" spans="2:3">
      <c r="B81" s="646" t="s">
        <v>387</v>
      </c>
      <c r="C81" s="647"/>
    </row>
    <row r="82" spans="2:3">
      <c r="B82" s="2872" t="s">
        <v>2706</v>
      </c>
      <c r="C82" s="651" t="e">
        <f ca="1">1-C83</f>
        <v>#DIV/0!</v>
      </c>
    </row>
    <row r="83" spans="2:3">
      <c r="B83" s="2872" t="s">
        <v>2705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14" sqref="K14"/>
    </sheetView>
  </sheetViews>
  <sheetFormatPr defaultRowHeight="13.5"/>
  <cols>
    <col min="1" max="1" width="23.625" customWidth="1"/>
    <col min="2" max="2" width="12" customWidth="1"/>
    <col min="4" max="4" width="14.125" customWidth="1"/>
  </cols>
  <sheetData>
    <row r="1" spans="1:5" ht="20.25">
      <c r="A1" s="2780" t="s">
        <v>2680</v>
      </c>
      <c r="B1" s="2781"/>
      <c r="C1" s="2781"/>
      <c r="D1" s="2781"/>
      <c r="E1" s="2782"/>
    </row>
    <row r="2" spans="1:5" ht="14.25">
      <c r="A2" s="2783" t="s">
        <v>2681</v>
      </c>
      <c r="B2" s="2777">
        <f ca="1">SUMIF(B6:B13,"&lt;&gt;#ref!",B6:B13)</f>
        <v>12463</v>
      </c>
      <c r="C2" s="2778" t="s">
        <v>2678</v>
      </c>
      <c r="D2" s="2779" t="s">
        <v>2683</v>
      </c>
      <c r="E2" s="2787">
        <f>SUM(E6:E13)</f>
        <v>31303.89</v>
      </c>
    </row>
    <row r="3" spans="1:5" ht="14.25">
      <c r="A3" s="2783" t="s">
        <v>2682</v>
      </c>
      <c r="B3" s="2777">
        <f ca="1">ROUND(B2*10000/E2,0)</f>
        <v>3981</v>
      </c>
      <c r="C3" s="2778" t="s">
        <v>2679</v>
      </c>
      <c r="D3" s="2784"/>
      <c r="E3" s="2788"/>
    </row>
    <row r="4" spans="1:5" ht="14.25">
      <c r="A4" s="2791"/>
      <c r="B4" s="2784"/>
      <c r="C4" s="2784"/>
      <c r="D4" s="2784"/>
      <c r="E4" s="2788"/>
    </row>
    <row r="5" spans="1:5">
      <c r="A5" s="2795" t="s">
        <v>2685</v>
      </c>
      <c r="B5" s="3711" t="s">
        <v>2687</v>
      </c>
      <c r="C5" s="3711"/>
      <c r="D5" s="2794"/>
      <c r="E5" s="2796" t="s">
        <v>2686</v>
      </c>
    </row>
    <row r="6" spans="1:5">
      <c r="A6" s="2792" t="str">
        <f>'数据-取费表'!AN6</f>
        <v>收益法</v>
      </c>
      <c r="B6" s="2786">
        <f ca="1">'数据-取费表'!AO6</f>
        <v>12463</v>
      </c>
      <c r="C6" s="2778" t="s">
        <v>2678</v>
      </c>
      <c r="D6" s="2784"/>
      <c r="E6" s="2787">
        <f>IF(A6=0,0,'数据-取费表'!K6+'数据-取费表'!S6)</f>
        <v>31303.89</v>
      </c>
    </row>
    <row r="7" spans="1:5">
      <c r="A7" s="2792">
        <f>'数据-取费表'!AN7</f>
        <v>0</v>
      </c>
      <c r="B7" s="2786" t="e">
        <f ca="1">'数据-取费表'!AO7</f>
        <v>#REF!</v>
      </c>
      <c r="C7" s="2778" t="s">
        <v>2678</v>
      </c>
      <c r="D7" s="2784"/>
      <c r="E7" s="2787">
        <f>IF(A7=0,0,'数据-取费表'!K7+'数据-取费表'!S7)</f>
        <v>0</v>
      </c>
    </row>
    <row r="8" spans="1:5">
      <c r="A8" s="2792">
        <f>'数据-取费表'!AN8</f>
        <v>0</v>
      </c>
      <c r="B8" s="2786" t="e">
        <f ca="1">'数据-取费表'!AO8</f>
        <v>#REF!</v>
      </c>
      <c r="C8" s="2778" t="s">
        <v>2678</v>
      </c>
      <c r="D8" s="2784"/>
      <c r="E8" s="2787">
        <f>IF(A8=0,0,'数据-取费表'!K8+'数据-取费表'!S8)</f>
        <v>0</v>
      </c>
    </row>
    <row r="9" spans="1:5">
      <c r="A9" s="2792">
        <f>'数据-取费表'!AN9</f>
        <v>0</v>
      </c>
      <c r="B9" s="2786" t="e">
        <f ca="1">'数据-取费表'!AO9</f>
        <v>#REF!</v>
      </c>
      <c r="C9" s="2778" t="s">
        <v>2678</v>
      </c>
      <c r="D9" s="2784"/>
      <c r="E9" s="2787">
        <f>IF(A9=0,0,'数据-取费表'!K9+'数据-取费表'!S9)</f>
        <v>0</v>
      </c>
    </row>
    <row r="10" spans="1:5">
      <c r="A10" s="2792">
        <f>'数据-取费表'!AN10</f>
        <v>0</v>
      </c>
      <c r="B10" s="2786" t="e">
        <f ca="1">'数据-取费表'!AO10</f>
        <v>#REF!</v>
      </c>
      <c r="C10" s="2778" t="s">
        <v>2678</v>
      </c>
      <c r="D10" s="2784"/>
      <c r="E10" s="2787">
        <f>IF(A10=0,0,'数据-取费表'!K10+'数据-取费表'!S10)</f>
        <v>0</v>
      </c>
    </row>
    <row r="11" spans="1:5">
      <c r="A11" s="2792">
        <f>'数据-取费表'!AN11</f>
        <v>0</v>
      </c>
      <c r="B11" s="2786" t="e">
        <f ca="1">'数据-取费表'!AO11</f>
        <v>#REF!</v>
      </c>
      <c r="C11" s="2778" t="s">
        <v>2678</v>
      </c>
      <c r="D11" s="2784"/>
      <c r="E11" s="2787">
        <f>IF(A11=0,0,'数据-取费表'!K11+'数据-取费表'!S11)</f>
        <v>0</v>
      </c>
    </row>
    <row r="12" spans="1:5">
      <c r="A12" s="2792">
        <f>'数据-取费表'!AN12</f>
        <v>0</v>
      </c>
      <c r="B12" s="2786" t="e">
        <f ca="1">'数据-取费表'!AO12</f>
        <v>#REF!</v>
      </c>
      <c r="C12" s="2778" t="s">
        <v>2678</v>
      </c>
      <c r="D12" s="2784"/>
      <c r="E12" s="2787">
        <f>IF(A12=0,0,'数据-取费表'!K12+'数据-取费表'!S12)</f>
        <v>0</v>
      </c>
    </row>
    <row r="13" spans="1:5" ht="14.25" thickBot="1">
      <c r="A13" s="2793">
        <f>'数据-取费表'!AN13</f>
        <v>0</v>
      </c>
      <c r="B13" s="2789" t="e">
        <f ca="1">'数据-取费表'!AO13</f>
        <v>#REF!</v>
      </c>
      <c r="C13" s="2797" t="s">
        <v>2678</v>
      </c>
      <c r="D13" s="2785"/>
      <c r="E13" s="2790">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12" t="s">
        <v>2554</v>
      </c>
      <c r="B1" s="3713"/>
      <c r="C1" s="3714"/>
      <c r="D1" s="3715">
        <f>SUM(I10,I15,I20,I21,I23)</f>
        <v>0</v>
      </c>
      <c r="E1" s="3715"/>
      <c r="F1" s="3715"/>
      <c r="G1" s="3715"/>
      <c r="H1" s="3715"/>
      <c r="I1" s="3716"/>
    </row>
    <row r="2" spans="1:9">
      <c r="A2" s="3717" t="s">
        <v>2555</v>
      </c>
      <c r="B2" s="3718" t="s">
        <v>2556</v>
      </c>
      <c r="C2" s="3718"/>
      <c r="D2" s="2635" t="s">
        <v>2557</v>
      </c>
      <c r="E2" s="2635" t="s">
        <v>2558</v>
      </c>
      <c r="F2" s="2635" t="s">
        <v>2559</v>
      </c>
      <c r="G2" s="2635" t="s">
        <v>2560</v>
      </c>
      <c r="H2" s="2635" t="s">
        <v>2561</v>
      </c>
      <c r="I2" s="2636" t="s">
        <v>2562</v>
      </c>
    </row>
    <row r="3" spans="1:9">
      <c r="A3" s="3717"/>
      <c r="B3" s="3718" t="s">
        <v>2563</v>
      </c>
      <c r="C3" s="3718"/>
      <c r="D3" s="2637"/>
      <c r="E3" s="2635"/>
      <c r="F3" s="2638"/>
      <c r="G3" s="2638"/>
      <c r="H3" s="2639"/>
      <c r="I3" s="2640">
        <f>ROUND(D3*E3*F3*G3*H3/10000,0)</f>
        <v>0</v>
      </c>
    </row>
    <row r="4" spans="1:9">
      <c r="A4" s="3717"/>
      <c r="B4" s="3718" t="s">
        <v>2564</v>
      </c>
      <c r="C4" s="3718"/>
      <c r="D4" s="2637"/>
      <c r="E4" s="2635"/>
      <c r="F4" s="2638"/>
      <c r="G4" s="2638"/>
      <c r="H4" s="2639"/>
      <c r="I4" s="2640">
        <f t="shared" ref="I4:I9" si="0">ROUND(D4*E4*F4*G4*H4/10000,0)</f>
        <v>0</v>
      </c>
    </row>
    <row r="5" spans="1:9">
      <c r="A5" s="3717"/>
      <c r="B5" s="3718" t="s">
        <v>2565</v>
      </c>
      <c r="C5" s="3718"/>
      <c r="D5" s="2637"/>
      <c r="E5" s="2635"/>
      <c r="F5" s="2638"/>
      <c r="G5" s="2638"/>
      <c r="H5" s="2639"/>
      <c r="I5" s="2640">
        <f t="shared" si="0"/>
        <v>0</v>
      </c>
    </row>
    <row r="6" spans="1:9">
      <c r="A6" s="3717"/>
      <c r="B6" s="3718" t="s">
        <v>2566</v>
      </c>
      <c r="C6" s="3718"/>
      <c r="D6" s="2637"/>
      <c r="E6" s="2635"/>
      <c r="F6" s="2638"/>
      <c r="G6" s="2638"/>
      <c r="H6" s="2639"/>
      <c r="I6" s="2640">
        <f t="shared" si="0"/>
        <v>0</v>
      </c>
    </row>
    <row r="7" spans="1:9">
      <c r="A7" s="3717"/>
      <c r="B7" s="3718" t="s">
        <v>2567</v>
      </c>
      <c r="C7" s="3718"/>
      <c r="D7" s="2637"/>
      <c r="E7" s="2635"/>
      <c r="F7" s="2638"/>
      <c r="G7" s="2638"/>
      <c r="H7" s="2639"/>
      <c r="I7" s="2640">
        <f t="shared" si="0"/>
        <v>0</v>
      </c>
    </row>
    <row r="8" spans="1:9">
      <c r="A8" s="3717"/>
      <c r="B8" s="3718" t="s">
        <v>2568</v>
      </c>
      <c r="C8" s="3718"/>
      <c r="D8" s="2637"/>
      <c r="E8" s="2635"/>
      <c r="F8" s="2638"/>
      <c r="G8" s="2638"/>
      <c r="H8" s="2639"/>
      <c r="I8" s="2640">
        <f t="shared" si="0"/>
        <v>0</v>
      </c>
    </row>
    <row r="9" spans="1:9">
      <c r="A9" s="3717"/>
      <c r="B9" s="3718" t="s">
        <v>2569</v>
      </c>
      <c r="C9" s="3718"/>
      <c r="D9" s="2637"/>
      <c r="E9" s="2635"/>
      <c r="F9" s="2638"/>
      <c r="G9" s="2638"/>
      <c r="H9" s="2639"/>
      <c r="I9" s="2640">
        <f t="shared" si="0"/>
        <v>0</v>
      </c>
    </row>
    <row r="10" spans="1:9">
      <c r="A10" s="3717"/>
      <c r="B10" s="3719" t="s">
        <v>2570</v>
      </c>
      <c r="C10" s="3719"/>
      <c r="D10" s="2641"/>
      <c r="E10" s="2641" t="e">
        <f>ROUND(D1*10000/D10/H9,0)</f>
        <v>#DIV/0!</v>
      </c>
      <c r="F10" s="2642"/>
      <c r="G10" s="2642"/>
      <c r="H10" s="2643"/>
      <c r="I10" s="2644">
        <f>SUM(I3:I9)</f>
        <v>0</v>
      </c>
    </row>
    <row r="11" spans="1:9" ht="14.25">
      <c r="A11" s="3717" t="s">
        <v>2571</v>
      </c>
      <c r="B11" s="3718" t="s">
        <v>2572</v>
      </c>
      <c r="C11" s="3718"/>
      <c r="D11" s="2637" t="s">
        <v>2573</v>
      </c>
      <c r="E11" s="2637" t="s">
        <v>2574</v>
      </c>
      <c r="F11" s="2638" t="s">
        <v>2575</v>
      </c>
      <c r="G11" s="2638" t="s">
        <v>2561</v>
      </c>
      <c r="H11" s="2645" t="s">
        <v>2576</v>
      </c>
      <c r="I11" s="2636" t="s">
        <v>2562</v>
      </c>
    </row>
    <row r="12" spans="1:9">
      <c r="A12" s="3717"/>
      <c r="B12" s="3718" t="s">
        <v>2577</v>
      </c>
      <c r="C12" s="3718"/>
      <c r="D12" s="2637"/>
      <c r="E12" s="2637"/>
      <c r="F12" s="2638"/>
      <c r="G12" s="2639"/>
      <c r="H12" s="2646"/>
      <c r="I12" s="2636">
        <f>ROUND(D12*E12*F12*G12/10000,0)</f>
        <v>0</v>
      </c>
    </row>
    <row r="13" spans="1:9">
      <c r="A13" s="3717"/>
      <c r="B13" s="3718" t="s">
        <v>2578</v>
      </c>
      <c r="C13" s="3718"/>
      <c r="D13" s="2637"/>
      <c r="E13" s="2637"/>
      <c r="F13" s="2638"/>
      <c r="G13" s="2639"/>
      <c r="H13" s="2646"/>
      <c r="I13" s="2636">
        <f>ROUND(D13*E13*F13*G13/10000,0)</f>
        <v>0</v>
      </c>
    </row>
    <row r="14" spans="1:9">
      <c r="A14" s="3717"/>
      <c r="B14" s="3718" t="s">
        <v>2579</v>
      </c>
      <c r="C14" s="3718"/>
      <c r="D14" s="2637"/>
      <c r="E14" s="2637"/>
      <c r="F14" s="2638"/>
      <c r="G14" s="2639"/>
      <c r="H14" s="2646"/>
      <c r="I14" s="2636">
        <f>ROUND(D14*E14*F14*G14/10000,0)</f>
        <v>0</v>
      </c>
    </row>
    <row r="15" spans="1:9">
      <c r="A15" s="3717"/>
      <c r="B15" s="3719" t="s">
        <v>2570</v>
      </c>
      <c r="C15" s="3719"/>
      <c r="D15" s="2641"/>
      <c r="E15" s="2641">
        <f>SUM(E12:E14)</f>
        <v>0</v>
      </c>
      <c r="F15" s="2642"/>
      <c r="G15" s="2639"/>
      <c r="H15" s="2646"/>
      <c r="I15" s="2647">
        <f>SUM(I12:I14)</f>
        <v>0</v>
      </c>
    </row>
    <row r="16" spans="1:9" ht="24">
      <c r="A16" s="3717" t="s">
        <v>2580</v>
      </c>
      <c r="B16" s="3718" t="s">
        <v>2581</v>
      </c>
      <c r="C16" s="3718"/>
      <c r="D16" s="2637" t="s">
        <v>2557</v>
      </c>
      <c r="E16" s="2648" t="s">
        <v>2582</v>
      </c>
      <c r="F16" s="2638" t="s">
        <v>2583</v>
      </c>
      <c r="G16" s="2639" t="s">
        <v>2561</v>
      </c>
      <c r="H16" s="2645" t="s">
        <v>2576</v>
      </c>
      <c r="I16" s="2636" t="s">
        <v>2562</v>
      </c>
    </row>
    <row r="17" spans="1:9" ht="14.25">
      <c r="A17" s="3717"/>
      <c r="B17" s="3718" t="s">
        <v>2584</v>
      </c>
      <c r="C17" s="3718"/>
      <c r="D17" s="2637"/>
      <c r="E17" s="2637"/>
      <c r="F17" s="2638"/>
      <c r="G17" s="2639"/>
      <c r="H17" s="2649"/>
      <c r="I17" s="2650">
        <f>ROUND(D17*E17*F17*G17/10000,0)</f>
        <v>0</v>
      </c>
    </row>
    <row r="18" spans="1:9" ht="14.25">
      <c r="A18" s="3717"/>
      <c r="B18" s="3718" t="s">
        <v>2585</v>
      </c>
      <c r="C18" s="3718"/>
      <c r="D18" s="2637"/>
      <c r="E18" s="2637"/>
      <c r="F18" s="2638"/>
      <c r="G18" s="2639"/>
      <c r="H18" s="2649"/>
      <c r="I18" s="2650">
        <f>ROUND(D18*E18*F18*G18/10000,0)</f>
        <v>0</v>
      </c>
    </row>
    <row r="19" spans="1:9" ht="14.25">
      <c r="A19" s="3717"/>
      <c r="B19" s="3718" t="s">
        <v>2586</v>
      </c>
      <c r="C19" s="3718"/>
      <c r="D19" s="2637"/>
      <c r="E19" s="2637"/>
      <c r="F19" s="2638"/>
      <c r="G19" s="2639"/>
      <c r="H19" s="2649"/>
      <c r="I19" s="2650">
        <f>ROUND(D19*E19*F19*G19/10000,0)</f>
        <v>0</v>
      </c>
    </row>
    <row r="20" spans="1:9">
      <c r="A20" s="3717"/>
      <c r="B20" s="3719" t="s">
        <v>2570</v>
      </c>
      <c r="C20" s="3719"/>
      <c r="D20" s="2641">
        <f>SUM(D17:D19)</f>
        <v>0</v>
      </c>
      <c r="E20" s="2641"/>
      <c r="F20" s="2642"/>
      <c r="G20" s="2639"/>
      <c r="H20" s="2646"/>
      <c r="I20" s="2647">
        <f>SUM(I17:I19)</f>
        <v>0</v>
      </c>
    </row>
    <row r="21" spans="1:9">
      <c r="A21" s="3717" t="s">
        <v>2587</v>
      </c>
      <c r="B21" s="3721"/>
      <c r="C21" s="3721"/>
      <c r="D21" s="3721"/>
      <c r="E21" s="3721"/>
      <c r="F21" s="3721"/>
      <c r="G21" s="3721"/>
      <c r="H21" s="3300">
        <v>0.1</v>
      </c>
      <c r="I21" s="2644">
        <f>ROUND(I10*H21,0)</f>
        <v>0</v>
      </c>
    </row>
    <row r="22" spans="1:9" ht="14.25">
      <c r="A22" s="3722" t="s">
        <v>2588</v>
      </c>
      <c r="B22" s="3723"/>
      <c r="C22" s="3724"/>
      <c r="D22" s="2651" t="s">
        <v>2589</v>
      </c>
      <c r="E22" s="2651" t="s">
        <v>2590</v>
      </c>
      <c r="F22" s="2652" t="s">
        <v>2591</v>
      </c>
      <c r="G22" s="2652" t="s">
        <v>2592</v>
      </c>
      <c r="H22" s="2645" t="s">
        <v>2593</v>
      </c>
      <c r="I22" s="2636" t="s">
        <v>2594</v>
      </c>
    </row>
    <row r="23" spans="1:9" ht="14.25" thickBot="1">
      <c r="A23" s="3725"/>
      <c r="B23" s="3726"/>
      <c r="C23" s="3727"/>
      <c r="D23" s="2653"/>
      <c r="E23" s="2653"/>
      <c r="F23" s="2653"/>
      <c r="G23" s="2654"/>
      <c r="H23" s="2655"/>
      <c r="I23" s="2656">
        <f>ROUND(E23*D23*F23*(1-G23)/10000,0)</f>
        <v>0</v>
      </c>
    </row>
    <row r="26" spans="1:9">
      <c r="A26" s="2657" t="s">
        <v>2595</v>
      </c>
      <c r="B26" s="2657"/>
      <c r="C26" s="2657"/>
      <c r="D26" s="2657"/>
      <c r="E26" s="3728">
        <f>C27-C30-C31-C32</f>
        <v>0</v>
      </c>
      <c r="F26" s="3728"/>
      <c r="G26" s="3728"/>
      <c r="H26" s="3252" t="s">
        <v>2967</v>
      </c>
    </row>
    <row r="27" spans="1:9">
      <c r="A27" s="2658">
        <v>1</v>
      </c>
      <c r="B27" s="2659" t="s">
        <v>2596</v>
      </c>
      <c r="C27" s="2659">
        <f>C28+C29</f>
        <v>0</v>
      </c>
      <c r="D27" s="2659"/>
      <c r="E27" s="3729"/>
      <c r="F27" s="3729"/>
      <c r="G27" s="3729"/>
    </row>
    <row r="28" spans="1:9">
      <c r="A28" s="2660" t="s">
        <v>2597</v>
      </c>
      <c r="B28" s="2659" t="s">
        <v>2598</v>
      </c>
      <c r="C28" s="2659"/>
      <c r="D28" s="2659"/>
      <c r="E28" s="3729"/>
      <c r="F28" s="3729"/>
      <c r="G28" s="3729"/>
    </row>
    <row r="29" spans="1:9">
      <c r="A29" s="2660" t="s">
        <v>2599</v>
      </c>
      <c r="B29" s="2659" t="s">
        <v>2600</v>
      </c>
      <c r="C29" s="2659"/>
      <c r="D29" s="2659"/>
      <c r="E29" s="2659" t="s">
        <v>2601</v>
      </c>
      <c r="F29" s="2659"/>
      <c r="G29" s="2659"/>
    </row>
    <row r="30" spans="1:9">
      <c r="A30" s="2658">
        <v>2</v>
      </c>
      <c r="B30" s="2659" t="s">
        <v>2602</v>
      </c>
      <c r="C30" s="2659">
        <f>C27*D30</f>
        <v>0</v>
      </c>
      <c r="D30" s="2661">
        <v>0.2</v>
      </c>
      <c r="E30" s="2659" t="s">
        <v>2603</v>
      </c>
      <c r="F30" s="2659"/>
      <c r="G30" s="2659"/>
    </row>
    <row r="31" spans="1:9">
      <c r="A31" s="2658">
        <v>3</v>
      </c>
      <c r="B31" s="2659" t="s">
        <v>2604</v>
      </c>
      <c r="C31" s="2659">
        <f>C25*D31</f>
        <v>0</v>
      </c>
      <c r="D31" s="2661">
        <v>0.15</v>
      </c>
      <c r="E31" s="2659" t="s">
        <v>2605</v>
      </c>
      <c r="F31" s="2659"/>
      <c r="G31" s="2659"/>
    </row>
    <row r="32" spans="1:9">
      <c r="A32" s="2658">
        <v>4</v>
      </c>
      <c r="B32" s="2659" t="s">
        <v>2606</v>
      </c>
      <c r="C32" s="2659">
        <f>C27*D32</f>
        <v>0</v>
      </c>
      <c r="D32" s="2661">
        <v>0.05</v>
      </c>
      <c r="E32" s="3720"/>
      <c r="F32" s="3720"/>
      <c r="G32" s="3720"/>
    </row>
    <row r="33" spans="1:7" hidden="1">
      <c r="A33" s="3730" t="s">
        <v>2607</v>
      </c>
      <c r="B33" s="3731"/>
      <c r="C33" s="3731"/>
      <c r="D33" s="3732"/>
      <c r="E33" s="3728"/>
      <c r="F33" s="3728"/>
      <c r="G33" s="3728"/>
    </row>
    <row r="34" spans="1:7" hidden="1">
      <c r="A34" s="2662">
        <v>1</v>
      </c>
      <c r="B34" s="2659" t="s">
        <v>2608</v>
      </c>
      <c r="C34" s="2659"/>
      <c r="D34" s="2659"/>
      <c r="E34" s="3729"/>
      <c r="F34" s="3729"/>
      <c r="G34" s="3729"/>
    </row>
    <row r="35" spans="1:7" hidden="1">
      <c r="A35" s="2662">
        <v>2</v>
      </c>
      <c r="B35" s="2659" t="s">
        <v>2609</v>
      </c>
      <c r="C35" s="2659"/>
      <c r="D35" s="2659"/>
      <c r="E35" s="3729"/>
      <c r="F35" s="3729"/>
      <c r="G35" s="3729"/>
    </row>
    <row r="36" spans="1:7" hidden="1">
      <c r="A36" s="2662">
        <v>3</v>
      </c>
      <c r="B36" s="2659" t="s">
        <v>2610</v>
      </c>
      <c r="C36" s="2659"/>
      <c r="D36" s="2659"/>
      <c r="E36" s="3729"/>
      <c r="F36" s="3729"/>
      <c r="G36" s="3729"/>
    </row>
    <row r="37" spans="1:7" hidden="1">
      <c r="A37" s="2662">
        <v>4</v>
      </c>
      <c r="B37" s="2659" t="s">
        <v>2611</v>
      </c>
      <c r="C37" s="2659"/>
      <c r="D37" s="2659"/>
      <c r="E37" s="3729"/>
      <c r="F37" s="3729"/>
      <c r="G37" s="3729"/>
    </row>
    <row r="38" spans="1:7" hidden="1">
      <c r="A38" s="3730" t="s">
        <v>2612</v>
      </c>
      <c r="B38" s="3731"/>
      <c r="C38" s="3731"/>
      <c r="D38" s="3732"/>
      <c r="E38" s="3728"/>
      <c r="F38" s="3728"/>
      <c r="G38" s="37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978</v>
      </c>
      <c r="B1" s="3102" t="s">
        <v>979</v>
      </c>
      <c r="C1" s="3103" t="s">
        <v>980</v>
      </c>
      <c r="D1" s="3104"/>
      <c r="E1" s="3105"/>
      <c r="F1" s="3106" t="s">
        <v>2702</v>
      </c>
      <c r="G1" s="3108" t="s">
        <v>981</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982</v>
      </c>
      <c r="B2" s="2844" t="e">
        <f ca="1">IF(C2="——",ROUND(C49*D3/10000,0),ROUND(C49*D3/10000,0)-D2)</f>
        <v>#DIV/0!</v>
      </c>
      <c r="C2" s="3098"/>
      <c r="D2" s="2721" t="e">
        <f ca="1">SUMIF(INDIRECT("'"&amp;F2&amp;"'"&amp;"!A:A"),"承租人权益价值",INDIRECT("'"&amp;F2&amp;"'"&amp;"!c:c"))</f>
        <v>#REF!</v>
      </c>
      <c r="E2" s="3099" t="s">
        <v>867</v>
      </c>
      <c r="F2" s="3100"/>
      <c r="G2" s="2287"/>
      <c r="H2" s="2287"/>
      <c r="I2" s="2287"/>
      <c r="J2" s="2287"/>
      <c r="K2" s="2289"/>
      <c r="L2" s="2290"/>
      <c r="M2" s="2291"/>
      <c r="N2" s="2291"/>
      <c r="O2" s="2291"/>
      <c r="P2" s="1336"/>
      <c r="Q2" s="1335"/>
      <c r="R2" s="1335"/>
      <c r="S2" s="1335"/>
      <c r="T2" s="1335"/>
      <c r="U2" s="1335"/>
      <c r="V2" s="1335"/>
      <c r="W2" s="1335"/>
      <c r="X2" s="1335"/>
      <c r="Y2" s="1335"/>
      <c r="Z2" s="1335"/>
      <c r="AA2" s="1335"/>
      <c r="AB2" s="1335"/>
      <c r="AC2" s="1337"/>
    </row>
    <row r="3" spans="1:29" s="89" customFormat="1" ht="28.5" customHeight="1" thickBot="1">
      <c r="A3" s="87" t="s">
        <v>983</v>
      </c>
      <c r="B3" s="742" t="e">
        <f ca="1">IF(C2="——",C49,ROUND(B2*10000/D3,0))</f>
        <v>#DIV/0!</v>
      </c>
      <c r="C3" s="142" t="s">
        <v>984</v>
      </c>
      <c r="D3" s="742">
        <f>IF(D1="",'数据-汇总表'!E3,SUMIF('数据-汇总表'!$C19:$C33,D1,'数据-汇总表'!$E19:$E33))</f>
        <v>31303.89</v>
      </c>
      <c r="E3" s="2287"/>
      <c r="F3" s="2288"/>
      <c r="G3" s="2287"/>
      <c r="H3" s="2287"/>
      <c r="I3" s="2287"/>
      <c r="J3" s="2287"/>
      <c r="K3" s="2289"/>
      <c r="L3" s="2290"/>
      <c r="M3" s="2291"/>
      <c r="N3" s="2291"/>
      <c r="O3" s="2291"/>
      <c r="P3" s="1336"/>
      <c r="Q3" s="1335"/>
      <c r="R3" s="1335"/>
      <c r="S3" s="1335"/>
      <c r="T3" s="1335"/>
      <c r="U3" s="1335"/>
      <c r="V3" s="1335"/>
      <c r="W3" s="1335"/>
      <c r="X3" s="1335"/>
      <c r="Y3" s="1335"/>
      <c r="Z3" s="1335"/>
      <c r="AA3" s="1335"/>
      <c r="AB3" s="1335"/>
      <c r="AC3" s="1338"/>
    </row>
    <row r="4" spans="1:29">
      <c r="A4" s="143" t="s">
        <v>985</v>
      </c>
      <c r="B4" s="144"/>
      <c r="C4" s="3678" t="s">
        <v>986</v>
      </c>
      <c r="D4" s="3679"/>
      <c r="E4" s="3680" t="s">
        <v>987</v>
      </c>
      <c r="F4" s="3681"/>
      <c r="G4" s="3678" t="s">
        <v>988</v>
      </c>
      <c r="H4" s="3679"/>
      <c r="I4" s="3678" t="s">
        <v>989</v>
      </c>
      <c r="J4" s="3679"/>
      <c r="K4" s="145" t="s">
        <v>990</v>
      </c>
      <c r="L4" s="2292"/>
      <c r="M4" s="2293"/>
      <c r="N4" s="2293"/>
      <c r="O4" s="2293"/>
      <c r="P4" s="3682" t="s">
        <v>985</v>
      </c>
      <c r="Q4" s="3683"/>
      <c r="R4" s="3668" t="s">
        <v>987</v>
      </c>
      <c r="S4" s="3669"/>
      <c r="T4" s="3668" t="s">
        <v>988</v>
      </c>
      <c r="U4" s="3669"/>
      <c r="V4" s="3664" t="s">
        <v>989</v>
      </c>
      <c r="W4" s="3664"/>
      <c r="X4" s="1339"/>
      <c r="Y4" s="3668" t="s">
        <v>985</v>
      </c>
      <c r="Z4" s="3669"/>
      <c r="AA4" s="3674" t="s">
        <v>987</v>
      </c>
      <c r="AB4" s="3674" t="s">
        <v>988</v>
      </c>
      <c r="AC4" s="3674" t="s">
        <v>989</v>
      </c>
    </row>
    <row r="5" spans="1:29">
      <c r="A5" s="146"/>
      <c r="B5" s="147"/>
      <c r="C5" s="3688" t="s">
        <v>991</v>
      </c>
      <c r="D5" s="3689"/>
      <c r="E5" s="3690" t="s">
        <v>992</v>
      </c>
      <c r="F5" s="3691"/>
      <c r="G5" s="3688" t="s">
        <v>993</v>
      </c>
      <c r="H5" s="3689"/>
      <c r="I5" s="3688" t="s">
        <v>994</v>
      </c>
      <c r="J5" s="3689"/>
      <c r="K5" s="152"/>
      <c r="L5" s="2292"/>
      <c r="M5" s="2293"/>
      <c r="N5" s="2293"/>
      <c r="O5" s="2293"/>
      <c r="P5" s="3684"/>
      <c r="Q5" s="3685"/>
      <c r="R5" s="3670"/>
      <c r="S5" s="3671"/>
      <c r="T5" s="3670"/>
      <c r="U5" s="3671"/>
      <c r="V5" s="3664"/>
      <c r="W5" s="3664"/>
      <c r="X5" s="1339"/>
      <c r="Y5" s="3670"/>
      <c r="Z5" s="3671"/>
      <c r="AA5" s="3675"/>
      <c r="AB5" s="3675"/>
      <c r="AC5" s="3675"/>
    </row>
    <row r="6" spans="1:29" ht="14.25" thickBot="1">
      <c r="A6" s="148"/>
      <c r="B6" s="149"/>
      <c r="C6" s="3692" t="s">
        <v>995</v>
      </c>
      <c r="D6" s="3693"/>
      <c r="E6" s="3694" t="s">
        <v>995</v>
      </c>
      <c r="F6" s="3695"/>
      <c r="G6" s="3692" t="s">
        <v>995</v>
      </c>
      <c r="H6" s="3693"/>
      <c r="I6" s="3692" t="s">
        <v>995</v>
      </c>
      <c r="J6" s="3693"/>
      <c r="K6" s="152" t="s">
        <v>996</v>
      </c>
      <c r="L6" s="2292"/>
      <c r="M6" s="2293"/>
      <c r="N6" s="2293"/>
      <c r="O6" s="2293"/>
      <c r="P6" s="3686"/>
      <c r="Q6" s="3687"/>
      <c r="R6" s="3670"/>
      <c r="S6" s="3671"/>
      <c r="T6" s="3672"/>
      <c r="U6" s="3673"/>
      <c r="V6" s="3664"/>
      <c r="W6" s="3664"/>
      <c r="X6" s="1339"/>
      <c r="Y6" s="3672"/>
      <c r="Z6" s="3673"/>
      <c r="AA6" s="3676"/>
      <c r="AB6" s="3676"/>
      <c r="AC6" s="3676"/>
    </row>
    <row r="7" spans="1:29" s="40" customFormat="1" ht="15" thickBot="1">
      <c r="A7" s="1013" t="s">
        <v>997</v>
      </c>
      <c r="B7" s="1014"/>
      <c r="C7" s="1015">
        <f>'数据-取费表'!B2</f>
        <v>42935</v>
      </c>
      <c r="D7" s="754">
        <v>100</v>
      </c>
      <c r="E7" s="1016"/>
      <c r="F7" s="756">
        <f>SUMIF(58:58,YEAR(E7)&amp;"-"&amp;MONTH(E7),59:59)</f>
        <v>0</v>
      </c>
      <c r="G7" s="1016"/>
      <c r="H7" s="754">
        <f>SUMIF(58:58,YEAR(G7)&amp;"-"&amp;MONTH(G7),59:59)</f>
        <v>0</v>
      </c>
      <c r="I7" s="1016"/>
      <c r="J7" s="754">
        <f>SUMIF(58:58,YEAR(I7)&amp;"-"&amp;MONTH(I7),59:59)</f>
        <v>0</v>
      </c>
      <c r="K7" s="1340"/>
      <c r="L7" s="2294"/>
      <c r="M7" s="2256"/>
      <c r="N7" s="2256"/>
      <c r="O7" s="2256"/>
      <c r="P7" s="3665" t="s">
        <v>997</v>
      </c>
      <c r="Q7" s="3677"/>
      <c r="R7" s="1341" t="s">
        <v>115</v>
      </c>
      <c r="S7" s="1342">
        <f t="shared" ref="S7:S15" si="0">F7</f>
        <v>0</v>
      </c>
      <c r="T7" s="1341" t="s">
        <v>115</v>
      </c>
      <c r="U7" s="1342">
        <f t="shared" ref="U7:U15" si="1">H7</f>
        <v>0</v>
      </c>
      <c r="V7" s="1341" t="s">
        <v>115</v>
      </c>
      <c r="W7" s="1342">
        <f t="shared" ref="W7:W15" si="2">J7</f>
        <v>0</v>
      </c>
      <c r="X7" s="287"/>
      <c r="Y7" s="3665" t="s">
        <v>997</v>
      </c>
      <c r="Z7" s="3666"/>
      <c r="AA7" s="1343" t="e">
        <f>D7/F7</f>
        <v>#DIV/0!</v>
      </c>
      <c r="AB7" s="1343" t="e">
        <f>D7/H7</f>
        <v>#DIV/0!</v>
      </c>
      <c r="AC7" s="1343" t="e">
        <f>D7/J7</f>
        <v>#DIV/0!</v>
      </c>
    </row>
    <row r="8" spans="1:29" s="40" customFormat="1" ht="15" thickBot="1">
      <c r="A8" s="1013" t="s">
        <v>998</v>
      </c>
      <c r="B8" s="1014"/>
      <c r="C8" s="1019" t="s">
        <v>155</v>
      </c>
      <c r="D8" s="754">
        <v>100</v>
      </c>
      <c r="E8" s="1344"/>
      <c r="F8" s="756">
        <f>SUMIF(61:61,E8,62:62)-SUMIF(61:61,C8,62:62)+100</f>
        <v>0</v>
      </c>
      <c r="G8" s="1019"/>
      <c r="H8" s="754">
        <f>SUMIF(61:61,G8,62:62)-SUMIF(61:61,C8,62:62)+100</f>
        <v>0</v>
      </c>
      <c r="I8" s="1344"/>
      <c r="J8" s="754">
        <f>SUMIF(61:61,I8,62:62)-SUMIF(61:61,C8,62:62)+100</f>
        <v>0</v>
      </c>
      <c r="K8" s="1340"/>
      <c r="L8" s="2294"/>
      <c r="M8" s="2256"/>
      <c r="N8" s="2256"/>
      <c r="O8" s="2256"/>
      <c r="P8" s="3665" t="s">
        <v>998</v>
      </c>
      <c r="Q8" s="3666"/>
      <c r="R8" s="1341" t="s">
        <v>115</v>
      </c>
      <c r="S8" s="1342">
        <f t="shared" si="0"/>
        <v>0</v>
      </c>
      <c r="T8" s="1341" t="s">
        <v>115</v>
      </c>
      <c r="U8" s="1342">
        <f t="shared" si="1"/>
        <v>0</v>
      </c>
      <c r="V8" s="1341" t="s">
        <v>115</v>
      </c>
      <c r="W8" s="1342">
        <f t="shared" si="2"/>
        <v>0</v>
      </c>
      <c r="X8" s="287"/>
      <c r="Y8" s="3665" t="s">
        <v>998</v>
      </c>
      <c r="Z8" s="3666"/>
      <c r="AA8" s="1343" t="e">
        <f t="shared" ref="AA8:AA19" si="3">D8/F8</f>
        <v>#DIV/0!</v>
      </c>
      <c r="AB8" s="1343" t="e">
        <f t="shared" ref="AB8:AB19" si="4">D8/H8</f>
        <v>#DIV/0!</v>
      </c>
      <c r="AC8" s="1343" t="e">
        <f t="shared" ref="AC8:AC19" si="5">D8/J8</f>
        <v>#DIV/0!</v>
      </c>
    </row>
    <row r="9" spans="1:29" s="40" customFormat="1" ht="14.25">
      <c r="A9" s="1020" t="s">
        <v>999</v>
      </c>
      <c r="B9" s="62" t="s">
        <v>1000</v>
      </c>
      <c r="C9" s="1345"/>
      <c r="D9" s="425">
        <v>100</v>
      </c>
      <c r="E9" s="1346"/>
      <c r="F9" s="760">
        <f>SUMIF(63:63,E9,64:64)-SUMIF(63:63,C9,64:64)+100</f>
        <v>100</v>
      </c>
      <c r="G9" s="1347"/>
      <c r="H9" s="425">
        <f>SUMIF(63:63,G9,64:64)-SUMIF(63:63,C9,64:64)+100</f>
        <v>100</v>
      </c>
      <c r="I9" s="1347"/>
      <c r="J9" s="425">
        <f>SUMIF(63:63,I9,64:64)-SUMIF(63:63,C9,64:64)+100</f>
        <v>100</v>
      </c>
      <c r="K9" s="1340"/>
      <c r="L9" s="2294"/>
      <c r="M9" s="2256"/>
      <c r="N9" s="2256"/>
      <c r="O9" s="2256"/>
      <c r="P9" s="3667" t="s">
        <v>67</v>
      </c>
      <c r="Q9" s="7" t="str">
        <f t="shared" ref="Q9:Q15" si="6">B9</f>
        <v>用途</v>
      </c>
      <c r="R9" s="1341" t="s">
        <v>65</v>
      </c>
      <c r="S9" s="1342">
        <f t="shared" si="0"/>
        <v>100</v>
      </c>
      <c r="T9" s="1341" t="s">
        <v>65</v>
      </c>
      <c r="U9" s="1342">
        <f t="shared" si="1"/>
        <v>100</v>
      </c>
      <c r="V9" s="1341" t="s">
        <v>65</v>
      </c>
      <c r="W9" s="1342">
        <f t="shared" si="2"/>
        <v>100</v>
      </c>
      <c r="X9" s="287"/>
      <c r="Y9" s="3482"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768"/>
      <c r="L10" s="2295"/>
      <c r="M10" s="2296"/>
      <c r="N10" s="2296"/>
      <c r="O10" s="2296"/>
      <c r="P10" s="3667"/>
      <c r="Q10" s="7" t="str">
        <f t="shared" si="6"/>
        <v>土地使用年限（年）</v>
      </c>
      <c r="R10" s="1341" t="s">
        <v>65</v>
      </c>
      <c r="S10" s="1342">
        <f t="shared" si="0"/>
        <v>100</v>
      </c>
      <c r="T10" s="1341" t="s">
        <v>65</v>
      </c>
      <c r="U10" s="1342">
        <f t="shared" si="1"/>
        <v>100</v>
      </c>
      <c r="V10" s="1341" t="s">
        <v>65</v>
      </c>
      <c r="W10" s="1342">
        <f t="shared" si="2"/>
        <v>100</v>
      </c>
      <c r="X10" s="287"/>
      <c r="Y10" s="3482"/>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768"/>
      <c r="L11" s="2297"/>
      <c r="M11" s="2293"/>
      <c r="N11" s="2293"/>
      <c r="O11" s="2293"/>
      <c r="P11" s="3667"/>
      <c r="Q11" s="7" t="str">
        <f t="shared" si="6"/>
        <v>容积率</v>
      </c>
      <c r="R11" s="1341" t="s">
        <v>104</v>
      </c>
      <c r="S11" s="1342" t="e">
        <f t="shared" si="0"/>
        <v>#N/A</v>
      </c>
      <c r="T11" s="1341" t="s">
        <v>104</v>
      </c>
      <c r="U11" s="1342" t="e">
        <f t="shared" si="1"/>
        <v>#N/A</v>
      </c>
      <c r="V11" s="1341" t="s">
        <v>104</v>
      </c>
      <c r="W11" s="1342" t="e">
        <f t="shared" si="2"/>
        <v>#N/A</v>
      </c>
      <c r="X11" s="287"/>
      <c r="Y11" s="348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4"/>
      <c r="M12" s="2256"/>
      <c r="N12" s="2256"/>
      <c r="O12" s="2256"/>
      <c r="P12" s="3667"/>
      <c r="Q12" s="7">
        <f t="shared" si="6"/>
        <v>111</v>
      </c>
      <c r="R12" s="1341" t="s">
        <v>104</v>
      </c>
      <c r="S12" s="1342">
        <f t="shared" si="0"/>
        <v>100</v>
      </c>
      <c r="T12" s="1341" t="s">
        <v>104</v>
      </c>
      <c r="U12" s="1342">
        <f t="shared" si="1"/>
        <v>100</v>
      </c>
      <c r="V12" s="1341" t="s">
        <v>104</v>
      </c>
      <c r="W12" s="1342">
        <f t="shared" si="2"/>
        <v>100</v>
      </c>
      <c r="X12" s="287"/>
      <c r="Y12" s="348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8"/>
      <c r="M13" s="2293"/>
      <c r="N13" s="2293"/>
      <c r="O13" s="2293"/>
      <c r="P13" s="3667"/>
      <c r="Q13" s="7">
        <f t="shared" si="6"/>
        <v>111</v>
      </c>
      <c r="R13" s="1341" t="s">
        <v>104</v>
      </c>
      <c r="S13" s="1342">
        <f t="shared" si="0"/>
        <v>100</v>
      </c>
      <c r="T13" s="1341" t="s">
        <v>104</v>
      </c>
      <c r="U13" s="1342">
        <f t="shared" si="1"/>
        <v>100</v>
      </c>
      <c r="V13" s="1341" t="s">
        <v>104</v>
      </c>
      <c r="W13" s="1342">
        <f t="shared" si="2"/>
        <v>100</v>
      </c>
      <c r="X13" s="287"/>
      <c r="Y13" s="3482"/>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8"/>
      <c r="M14" s="2293"/>
      <c r="N14" s="2293"/>
      <c r="O14" s="2293"/>
      <c r="P14" s="3667"/>
      <c r="Q14" s="7">
        <f t="shared" si="6"/>
        <v>111</v>
      </c>
      <c r="R14" s="1341" t="s">
        <v>104</v>
      </c>
      <c r="S14" s="1342">
        <f t="shared" si="0"/>
        <v>100</v>
      </c>
      <c r="T14" s="1341" t="s">
        <v>104</v>
      </c>
      <c r="U14" s="1342">
        <f t="shared" si="1"/>
        <v>100</v>
      </c>
      <c r="V14" s="1341" t="s">
        <v>104</v>
      </c>
      <c r="W14" s="1342">
        <f t="shared" si="2"/>
        <v>100</v>
      </c>
      <c r="X14" s="287"/>
      <c r="Y14" s="3482"/>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8"/>
      <c r="M15" s="2293"/>
      <c r="N15" s="2293"/>
      <c r="O15" s="2293"/>
      <c r="P15" s="3655" t="s">
        <v>69</v>
      </c>
      <c r="Q15" s="1350" t="str">
        <f t="shared" si="6"/>
        <v>居住社区成熟度</v>
      </c>
      <c r="R15" s="1351" t="s">
        <v>104</v>
      </c>
      <c r="S15" s="1352">
        <f t="shared" si="0"/>
        <v>100</v>
      </c>
      <c r="T15" s="1351" t="s">
        <v>104</v>
      </c>
      <c r="U15" s="1352">
        <f t="shared" si="1"/>
        <v>100</v>
      </c>
      <c r="V15" s="1351" t="s">
        <v>104</v>
      </c>
      <c r="W15" s="1352">
        <f t="shared" si="2"/>
        <v>100</v>
      </c>
      <c r="X15" s="1339"/>
      <c r="Y15" s="3657"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8"/>
      <c r="M16" s="2293"/>
      <c r="N16" s="2293"/>
      <c r="O16" s="2293"/>
      <c r="P16" s="3656"/>
      <c r="Q16" s="1350"/>
      <c r="R16" s="1351"/>
      <c r="S16" s="1352"/>
      <c r="T16" s="1351"/>
      <c r="U16" s="1352"/>
      <c r="V16" s="1351"/>
      <c r="W16" s="1352"/>
      <c r="X16" s="1339"/>
      <c r="Y16" s="3658"/>
      <c r="Z16" s="1353"/>
      <c r="AA16" s="1354">
        <v>1</v>
      </c>
      <c r="AB16" s="1354">
        <v>1</v>
      </c>
      <c r="AC16" s="1354">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8"/>
      <c r="M17" s="2293"/>
      <c r="N17" s="2293"/>
      <c r="O17" s="2293"/>
      <c r="P17" s="3656"/>
      <c r="Q17" s="1350" t="str">
        <f>B17</f>
        <v>交通便捷度</v>
      </c>
      <c r="R17" s="1351" t="s">
        <v>104</v>
      </c>
      <c r="S17" s="1352">
        <f>F17</f>
        <v>100</v>
      </c>
      <c r="T17" s="1351" t="s">
        <v>104</v>
      </c>
      <c r="U17" s="1352">
        <f>H17</f>
        <v>100</v>
      </c>
      <c r="V17" s="1351" t="s">
        <v>104</v>
      </c>
      <c r="W17" s="1352">
        <f>J17</f>
        <v>100</v>
      </c>
      <c r="X17" s="1339"/>
      <c r="Y17" s="3658"/>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8"/>
      <c r="M18" s="2293"/>
      <c r="N18" s="2293"/>
      <c r="O18" s="2293"/>
      <c r="P18" s="3656"/>
      <c r="Q18" s="1350"/>
      <c r="R18" s="1351"/>
      <c r="S18" s="1352"/>
      <c r="T18" s="1351"/>
      <c r="U18" s="1352"/>
      <c r="V18" s="1351"/>
      <c r="W18" s="1352"/>
      <c r="X18" s="1339"/>
      <c r="Y18" s="3658"/>
      <c r="Z18" s="1353"/>
      <c r="AA18" s="1354">
        <v>1</v>
      </c>
      <c r="AB18" s="1354">
        <v>1</v>
      </c>
      <c r="AC18" s="1354">
        <v>1</v>
      </c>
    </row>
    <row r="19" spans="1:29" ht="162">
      <c r="A19" s="151"/>
      <c r="B19" s="1355" t="s">
        <v>2639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6"/>
      <c r="F19" s="797">
        <f>SUMIF(80:80,E20,81:81)-SUMIF(80:80,C20,81:81)+100</f>
        <v>100</v>
      </c>
      <c r="G19" s="105"/>
      <c r="H19" s="792">
        <f>SUMIF(80:80,G20,81:81)-SUMIF(80:80,C20,81:81)+100</f>
        <v>100</v>
      </c>
      <c r="I19" s="105"/>
      <c r="J19" s="792">
        <f>SUMIF(80:80,I20,81:81)-SUMIF(80:80,C20,81:81)+100</f>
        <v>100</v>
      </c>
      <c r="K19" s="787"/>
      <c r="L19" s="2298"/>
      <c r="M19" s="2293"/>
      <c r="N19" s="2293"/>
      <c r="O19" s="2293"/>
      <c r="P19" s="3656"/>
      <c r="Q19" s="1350" t="str">
        <f>B19</f>
        <v>公共配套设施</v>
      </c>
      <c r="R19" s="1351" t="s">
        <v>104</v>
      </c>
      <c r="S19" s="1352">
        <f>F19</f>
        <v>100</v>
      </c>
      <c r="T19" s="1351" t="s">
        <v>104</v>
      </c>
      <c r="U19" s="1352">
        <f>H19</f>
        <v>100</v>
      </c>
      <c r="V19" s="1351" t="s">
        <v>104</v>
      </c>
      <c r="W19" s="1352">
        <f>J19</f>
        <v>100</v>
      </c>
      <c r="X19" s="1339"/>
      <c r="Y19" s="3658"/>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8"/>
      <c r="M20" s="2293"/>
      <c r="N20" s="2293"/>
      <c r="O20" s="2293"/>
      <c r="P20" s="3656"/>
      <c r="Q20" s="1350"/>
      <c r="R20" s="1351"/>
      <c r="S20" s="1352"/>
      <c r="T20" s="1351"/>
      <c r="U20" s="1352"/>
      <c r="V20" s="1351"/>
      <c r="W20" s="1352"/>
      <c r="X20" s="1339"/>
      <c r="Y20" s="3658"/>
      <c r="Z20" s="1353"/>
      <c r="AA20" s="1354">
        <v>1</v>
      </c>
      <c r="AB20" s="1354">
        <v>1</v>
      </c>
      <c r="AC20" s="1354">
        <v>1</v>
      </c>
    </row>
    <row r="21" spans="1:29" ht="27">
      <c r="A21" s="151"/>
      <c r="B21" s="1411" t="s">
        <v>2650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8"/>
      <c r="M21" s="2293"/>
      <c r="N21" s="2293"/>
      <c r="O21" s="2293"/>
      <c r="P21" s="3656"/>
      <c r="Q21" s="2743" t="str">
        <f>B21</f>
        <v>基础设施水平</v>
      </c>
      <c r="R21" s="1351" t="s">
        <v>65</v>
      </c>
      <c r="S21" s="1352">
        <f>F21</f>
        <v>100</v>
      </c>
      <c r="T21" s="1351" t="s">
        <v>65</v>
      </c>
      <c r="U21" s="1352">
        <f>H21</f>
        <v>100</v>
      </c>
      <c r="V21" s="1351" t="s">
        <v>65</v>
      </c>
      <c r="W21" s="1352">
        <f>J21</f>
        <v>100</v>
      </c>
      <c r="X21" s="2745"/>
      <c r="Y21" s="3658"/>
      <c r="Z21" s="2744"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0"/>
      <c r="L22" s="2298"/>
      <c r="M22" s="2293"/>
      <c r="N22" s="2293"/>
      <c r="O22" s="2293"/>
      <c r="P22" s="3656"/>
      <c r="Q22" s="2743"/>
      <c r="R22" s="1351"/>
      <c r="S22" s="1352"/>
      <c r="T22" s="1351"/>
      <c r="U22" s="1352"/>
      <c r="V22" s="1351"/>
      <c r="W22" s="1352"/>
      <c r="X22" s="2745"/>
      <c r="Y22" s="3658"/>
      <c r="Z22" s="2744"/>
      <c r="AA22" s="1354">
        <v>1</v>
      </c>
      <c r="AB22" s="1354">
        <v>1</v>
      </c>
      <c r="AC22" s="1354">
        <v>1</v>
      </c>
    </row>
    <row r="23" spans="1:29" ht="67.5">
      <c r="A23" s="151"/>
      <c r="B23" s="1355" t="s">
        <v>73</v>
      </c>
      <c r="C23" s="158" t="str">
        <f>估价对象房地状况!C9</f>
        <v>估价对象周边有牛岗山公园、金鸡山公园；综合评价环境状况一般。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8"/>
      <c r="M23" s="2293"/>
      <c r="N23" s="2293"/>
      <c r="O23" s="2293"/>
      <c r="P23" s="3656"/>
      <c r="Q23" s="1350" t="str">
        <f>B23</f>
        <v>自然及人文环境</v>
      </c>
      <c r="R23" s="1351" t="s">
        <v>104</v>
      </c>
      <c r="S23" s="1352">
        <f>F23</f>
        <v>100</v>
      </c>
      <c r="T23" s="1351" t="s">
        <v>104</v>
      </c>
      <c r="U23" s="1352">
        <f>H23</f>
        <v>100</v>
      </c>
      <c r="V23" s="1351" t="s">
        <v>104</v>
      </c>
      <c r="W23" s="1352">
        <f>J23</f>
        <v>100</v>
      </c>
      <c r="X23" s="1339"/>
      <c r="Y23" s="3658"/>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8"/>
      <c r="M24" s="2293"/>
      <c r="N24" s="2293"/>
      <c r="O24" s="2293"/>
      <c r="P24" s="3656"/>
      <c r="Q24" s="1350"/>
      <c r="R24" s="1351"/>
      <c r="S24" s="1352"/>
      <c r="T24" s="1351"/>
      <c r="U24" s="1352"/>
      <c r="V24" s="1351"/>
      <c r="W24" s="1352"/>
      <c r="X24" s="1339"/>
      <c r="Y24" s="3658"/>
      <c r="Z24" s="1353"/>
      <c r="AA24" s="1354">
        <v>1</v>
      </c>
      <c r="AB24" s="1354">
        <v>1</v>
      </c>
      <c r="AC24" s="1354">
        <v>1</v>
      </c>
    </row>
    <row r="25" spans="1:29" ht="15">
      <c r="A25" s="151"/>
      <c r="B25" s="12" t="s">
        <v>2300</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5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58"/>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56"/>
      <c r="Q26" s="1350" t="str">
        <f t="shared" si="11"/>
        <v>朝向</v>
      </c>
      <c r="R26" s="1351" t="s">
        <v>104</v>
      </c>
      <c r="S26" s="1352">
        <f t="shared" si="12"/>
        <v>100</v>
      </c>
      <c r="T26" s="1351" t="s">
        <v>104</v>
      </c>
      <c r="U26" s="1352">
        <f t="shared" si="13"/>
        <v>100</v>
      </c>
      <c r="V26" s="1351" t="s">
        <v>104</v>
      </c>
      <c r="W26" s="1352">
        <f t="shared" si="14"/>
        <v>100</v>
      </c>
      <c r="X26" s="1339"/>
      <c r="Y26" s="3658"/>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4"/>
      <c r="M27" s="2256"/>
      <c r="N27" s="2256"/>
      <c r="O27" s="2256"/>
      <c r="P27" s="3656"/>
      <c r="Q27" s="7">
        <f t="shared" si="11"/>
        <v>111</v>
      </c>
      <c r="R27" s="1341" t="s">
        <v>104</v>
      </c>
      <c r="S27" s="1342">
        <f t="shared" si="12"/>
        <v>100</v>
      </c>
      <c r="T27" s="1341" t="s">
        <v>104</v>
      </c>
      <c r="U27" s="1342">
        <f t="shared" si="13"/>
        <v>100</v>
      </c>
      <c r="V27" s="1341" t="s">
        <v>104</v>
      </c>
      <c r="W27" s="1342">
        <f t="shared" si="14"/>
        <v>100</v>
      </c>
      <c r="X27" s="287"/>
      <c r="Y27" s="3658"/>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8"/>
      <c r="M28" s="2293"/>
      <c r="N28" s="2293"/>
      <c r="O28" s="2293"/>
      <c r="P28" s="3656"/>
      <c r="Q28" s="1350">
        <f t="shared" si="11"/>
        <v>111</v>
      </c>
      <c r="R28" s="1351" t="s">
        <v>104</v>
      </c>
      <c r="S28" s="1352">
        <f t="shared" si="12"/>
        <v>100</v>
      </c>
      <c r="T28" s="1351" t="s">
        <v>104</v>
      </c>
      <c r="U28" s="1352">
        <f t="shared" si="13"/>
        <v>100</v>
      </c>
      <c r="V28" s="1351" t="s">
        <v>104</v>
      </c>
      <c r="W28" s="1352">
        <f t="shared" si="14"/>
        <v>100</v>
      </c>
      <c r="X28" s="1339"/>
      <c r="Y28" s="3658"/>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8"/>
      <c r="M29" s="2293"/>
      <c r="N29" s="2293"/>
      <c r="O29" s="2293"/>
      <c r="P29" s="3656"/>
      <c r="Q29" s="1350">
        <f t="shared" si="11"/>
        <v>111</v>
      </c>
      <c r="R29" s="1351" t="s">
        <v>104</v>
      </c>
      <c r="S29" s="1352">
        <f t="shared" si="12"/>
        <v>100</v>
      </c>
      <c r="T29" s="1351" t="s">
        <v>104</v>
      </c>
      <c r="U29" s="1352">
        <f t="shared" si="13"/>
        <v>100</v>
      </c>
      <c r="V29" s="1351" t="s">
        <v>104</v>
      </c>
      <c r="W29" s="1352">
        <f t="shared" si="14"/>
        <v>100</v>
      </c>
      <c r="X29" s="1339"/>
      <c r="Y29" s="3658"/>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8"/>
      <c r="M30" s="2293"/>
      <c r="N30" s="2293"/>
      <c r="O30" s="2293"/>
      <c r="P30" s="3656"/>
      <c r="Q30" s="1350">
        <f t="shared" si="11"/>
        <v>111</v>
      </c>
      <c r="R30" s="1351" t="s">
        <v>104</v>
      </c>
      <c r="S30" s="1352">
        <f t="shared" si="12"/>
        <v>100</v>
      </c>
      <c r="T30" s="1351" t="s">
        <v>104</v>
      </c>
      <c r="U30" s="1352">
        <f t="shared" si="13"/>
        <v>100</v>
      </c>
      <c r="V30" s="1351" t="s">
        <v>104</v>
      </c>
      <c r="W30" s="1352">
        <f t="shared" si="14"/>
        <v>100</v>
      </c>
      <c r="X30" s="1339"/>
      <c r="Y30" s="3658"/>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8"/>
      <c r="M31" s="2293"/>
      <c r="N31" s="2293"/>
      <c r="O31" s="2293"/>
      <c r="P31" s="3656"/>
      <c r="Q31" s="1350">
        <f t="shared" si="11"/>
        <v>111</v>
      </c>
      <c r="R31" s="1351" t="s">
        <v>104</v>
      </c>
      <c r="S31" s="1352">
        <f t="shared" si="12"/>
        <v>100</v>
      </c>
      <c r="T31" s="1351" t="s">
        <v>104</v>
      </c>
      <c r="U31" s="1352">
        <f t="shared" si="13"/>
        <v>100</v>
      </c>
      <c r="V31" s="1351" t="s">
        <v>104</v>
      </c>
      <c r="W31" s="1352">
        <f t="shared" si="14"/>
        <v>100</v>
      </c>
      <c r="X31" s="1339"/>
      <c r="Y31" s="3658"/>
      <c r="Z31" s="1353">
        <f t="shared" si="18"/>
        <v>111</v>
      </c>
      <c r="AA31" s="1354">
        <f t="shared" si="15"/>
        <v>1</v>
      </c>
      <c r="AB31" s="1354">
        <f t="shared" si="16"/>
        <v>1</v>
      </c>
      <c r="AC31" s="1354">
        <f t="shared" si="17"/>
        <v>1</v>
      </c>
    </row>
    <row r="32" spans="1:29" ht="15">
      <c r="A32" s="155" t="s">
        <v>1001</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8"/>
      <c r="M32" s="2293"/>
      <c r="N32" s="2293"/>
      <c r="O32" s="2293"/>
      <c r="P32" s="3659" t="s">
        <v>70</v>
      </c>
      <c r="Q32" s="1350" t="str">
        <f t="shared" si="11"/>
        <v>建筑类型</v>
      </c>
      <c r="R32" s="1351" t="s">
        <v>104</v>
      </c>
      <c r="S32" s="1352">
        <f t="shared" si="12"/>
        <v>100</v>
      </c>
      <c r="T32" s="1351" t="s">
        <v>104</v>
      </c>
      <c r="U32" s="1352">
        <f t="shared" si="13"/>
        <v>100</v>
      </c>
      <c r="V32" s="1351" t="s">
        <v>104</v>
      </c>
      <c r="W32" s="1352">
        <f t="shared" si="14"/>
        <v>100</v>
      </c>
      <c r="X32" s="1339"/>
      <c r="Y32" s="3662"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297"/>
      <c r="M33" s="2299"/>
      <c r="N33" s="2299"/>
      <c r="O33" s="2299"/>
      <c r="P33" s="3660"/>
      <c r="Q33" s="1358" t="str">
        <f t="shared" si="11"/>
        <v>项目建筑规模</v>
      </c>
      <c r="R33" s="1359" t="s">
        <v>104</v>
      </c>
      <c r="S33" s="1360" t="e">
        <f t="shared" si="12"/>
        <v>#N/A</v>
      </c>
      <c r="T33" s="1359" t="s">
        <v>104</v>
      </c>
      <c r="U33" s="1360" t="e">
        <f t="shared" si="13"/>
        <v>#N/A</v>
      </c>
      <c r="V33" s="1359" t="s">
        <v>104</v>
      </c>
      <c r="W33" s="1360" t="e">
        <f t="shared" si="14"/>
        <v>#N/A</v>
      </c>
      <c r="X33" s="1361"/>
      <c r="Y33" s="3662"/>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8"/>
      <c r="M34" s="2293"/>
      <c r="N34" s="2293"/>
      <c r="O34" s="2293"/>
      <c r="P34" s="3660"/>
      <c r="Q34" s="1350" t="str">
        <f t="shared" si="11"/>
        <v>建筑结构</v>
      </c>
      <c r="R34" s="1351" t="s">
        <v>104</v>
      </c>
      <c r="S34" s="1352">
        <f t="shared" si="12"/>
        <v>100</v>
      </c>
      <c r="T34" s="1351" t="s">
        <v>104</v>
      </c>
      <c r="U34" s="1352">
        <f t="shared" si="13"/>
        <v>100</v>
      </c>
      <c r="V34" s="1351" t="s">
        <v>104</v>
      </c>
      <c r="W34" s="1352">
        <f t="shared" si="14"/>
        <v>100</v>
      </c>
      <c r="X34" s="1339"/>
      <c r="Y34" s="3662"/>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8"/>
      <c r="M35" s="2293"/>
      <c r="N35" s="2293"/>
      <c r="O35" s="2293"/>
      <c r="P35" s="3660"/>
      <c r="Q35" s="1350" t="str">
        <f t="shared" si="11"/>
        <v>建筑品质</v>
      </c>
      <c r="R35" s="1351" t="s">
        <v>104</v>
      </c>
      <c r="S35" s="1352">
        <f t="shared" si="12"/>
        <v>100</v>
      </c>
      <c r="T35" s="1351" t="s">
        <v>104</v>
      </c>
      <c r="U35" s="1352">
        <f t="shared" si="13"/>
        <v>100</v>
      </c>
      <c r="V35" s="1351" t="s">
        <v>104</v>
      </c>
      <c r="W35" s="1352">
        <f t="shared" si="14"/>
        <v>100</v>
      </c>
      <c r="X35" s="1339"/>
      <c r="Y35" s="3662"/>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8"/>
      <c r="M36" s="2293"/>
      <c r="N36" s="2293"/>
      <c r="O36" s="2293"/>
      <c r="P36" s="3660"/>
      <c r="Q36" s="1350" t="str">
        <f t="shared" si="11"/>
        <v>公共部分装修</v>
      </c>
      <c r="R36" s="1351" t="s">
        <v>104</v>
      </c>
      <c r="S36" s="1352">
        <f t="shared" si="12"/>
        <v>100</v>
      </c>
      <c r="T36" s="1351" t="s">
        <v>104</v>
      </c>
      <c r="U36" s="1352">
        <f t="shared" si="13"/>
        <v>100</v>
      </c>
      <c r="V36" s="1351" t="s">
        <v>104</v>
      </c>
      <c r="W36" s="1352">
        <f t="shared" si="14"/>
        <v>100</v>
      </c>
      <c r="X36" s="1339"/>
      <c r="Y36" s="3662"/>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4"/>
      <c r="M37" s="2256"/>
      <c r="N37" s="2256"/>
      <c r="O37" s="2256"/>
      <c r="P37" s="3660"/>
      <c r="Q37" s="7" t="str">
        <f t="shared" si="11"/>
        <v>成新度</v>
      </c>
      <c r="R37" s="1341" t="s">
        <v>104</v>
      </c>
      <c r="S37" s="1342" t="e">
        <f t="shared" si="12"/>
        <v>#N/A</v>
      </c>
      <c r="T37" s="1341" t="s">
        <v>104</v>
      </c>
      <c r="U37" s="1342" t="e">
        <f t="shared" si="13"/>
        <v>#N/A</v>
      </c>
      <c r="V37" s="1341" t="s">
        <v>104</v>
      </c>
      <c r="W37" s="1342" t="e">
        <f t="shared" si="14"/>
        <v>#N/A</v>
      </c>
      <c r="X37" s="287"/>
      <c r="Y37" s="3662"/>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8"/>
      <c r="M38" s="2293"/>
      <c r="N38" s="2293"/>
      <c r="O38" s="2293"/>
      <c r="P38" s="3660" t="s">
        <v>70</v>
      </c>
      <c r="Q38" s="1350" t="str">
        <f t="shared" si="11"/>
        <v>物业管理</v>
      </c>
      <c r="R38" s="1351" t="s">
        <v>104</v>
      </c>
      <c r="S38" s="1352">
        <f t="shared" si="12"/>
        <v>100</v>
      </c>
      <c r="T38" s="1351" t="s">
        <v>104</v>
      </c>
      <c r="U38" s="1352">
        <f t="shared" si="13"/>
        <v>100</v>
      </c>
      <c r="V38" s="1351" t="s">
        <v>104</v>
      </c>
      <c r="W38" s="1352">
        <f t="shared" si="14"/>
        <v>100</v>
      </c>
      <c r="X38" s="1339"/>
      <c r="Y38" s="3662" t="s">
        <v>70</v>
      </c>
      <c r="Z38" s="1353" t="str">
        <f t="shared" si="18"/>
        <v>物业管理</v>
      </c>
      <c r="AA38" s="1354">
        <f t="shared" si="15"/>
        <v>1</v>
      </c>
      <c r="AB38" s="1354">
        <f t="shared" si="16"/>
        <v>1</v>
      </c>
      <c r="AC38" s="1354">
        <f t="shared" si="17"/>
        <v>1</v>
      </c>
    </row>
    <row r="39" spans="1:29" ht="15">
      <c r="A39" s="161"/>
      <c r="B39" s="12" t="s">
        <v>2651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8"/>
      <c r="M39" s="2293"/>
      <c r="N39" s="2293"/>
      <c r="O39" s="2293"/>
      <c r="P39" s="3660"/>
      <c r="Q39" s="1350" t="str">
        <f t="shared" si="11"/>
        <v>市政基础设施</v>
      </c>
      <c r="R39" s="1351" t="s">
        <v>104</v>
      </c>
      <c r="S39" s="1352">
        <f t="shared" si="12"/>
        <v>100</v>
      </c>
      <c r="T39" s="1351" t="s">
        <v>104</v>
      </c>
      <c r="U39" s="1352">
        <f t="shared" si="13"/>
        <v>100</v>
      </c>
      <c r="V39" s="1351" t="s">
        <v>104</v>
      </c>
      <c r="W39" s="1352">
        <f t="shared" si="14"/>
        <v>100</v>
      </c>
      <c r="X39" s="1339"/>
      <c r="Y39" s="3662"/>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660"/>
      <c r="Q40" s="1350" t="str">
        <f t="shared" si="11"/>
        <v>房型</v>
      </c>
      <c r="R40" s="1351" t="s">
        <v>104</v>
      </c>
      <c r="S40" s="1352">
        <f t="shared" si="12"/>
        <v>100</v>
      </c>
      <c r="T40" s="1351" t="s">
        <v>104</v>
      </c>
      <c r="U40" s="1352">
        <f t="shared" si="13"/>
        <v>100</v>
      </c>
      <c r="V40" s="1351" t="s">
        <v>104</v>
      </c>
      <c r="W40" s="1352">
        <f t="shared" si="14"/>
        <v>100</v>
      </c>
      <c r="X40" s="1339"/>
      <c r="Y40" s="3662"/>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7"/>
      <c r="M41" s="2299"/>
      <c r="N41" s="2299"/>
      <c r="O41" s="2299"/>
      <c r="P41" s="3660"/>
      <c r="Q41" s="1358" t="str">
        <f t="shared" si="11"/>
        <v>单套/主力户型建筑面积</v>
      </c>
      <c r="R41" s="1359" t="s">
        <v>104</v>
      </c>
      <c r="S41" s="1360">
        <f t="shared" si="12"/>
        <v>100</v>
      </c>
      <c r="T41" s="1359" t="s">
        <v>104</v>
      </c>
      <c r="U41" s="1360">
        <f t="shared" si="13"/>
        <v>100</v>
      </c>
      <c r="V41" s="1359" t="s">
        <v>104</v>
      </c>
      <c r="W41" s="1360">
        <f t="shared" si="14"/>
        <v>100</v>
      </c>
      <c r="X41" s="1361"/>
      <c r="Y41" s="3662"/>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8"/>
      <c r="M42" s="2293"/>
      <c r="N42" s="2293"/>
      <c r="O42" s="2293"/>
      <c r="P42" s="3660"/>
      <c r="Q42" s="1350" t="str">
        <f t="shared" si="11"/>
        <v>内部装修</v>
      </c>
      <c r="R42" s="1351" t="s">
        <v>104</v>
      </c>
      <c r="S42" s="1352">
        <f t="shared" si="12"/>
        <v>100</v>
      </c>
      <c r="T42" s="1351" t="s">
        <v>104</v>
      </c>
      <c r="U42" s="1352">
        <f t="shared" si="13"/>
        <v>100</v>
      </c>
      <c r="V42" s="1351" t="s">
        <v>104</v>
      </c>
      <c r="W42" s="1352">
        <f t="shared" si="14"/>
        <v>100</v>
      </c>
      <c r="X42" s="1339"/>
      <c r="Y42" s="3662"/>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8"/>
      <c r="M43" s="2293"/>
      <c r="N43" s="2293"/>
      <c r="O43" s="2293"/>
      <c r="P43" s="3660"/>
      <c r="Q43" s="1350" t="str">
        <f t="shared" si="11"/>
        <v>内部装修维护情况</v>
      </c>
      <c r="R43" s="1351" t="s">
        <v>104</v>
      </c>
      <c r="S43" s="1352">
        <f t="shared" si="12"/>
        <v>100</v>
      </c>
      <c r="T43" s="1351" t="s">
        <v>104</v>
      </c>
      <c r="U43" s="1352">
        <f t="shared" si="13"/>
        <v>100</v>
      </c>
      <c r="V43" s="1351" t="s">
        <v>104</v>
      </c>
      <c r="W43" s="1352">
        <f t="shared" si="14"/>
        <v>100</v>
      </c>
      <c r="X43" s="1339"/>
      <c r="Y43" s="3662"/>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4"/>
      <c r="M44" s="2256"/>
      <c r="N44" s="2256"/>
      <c r="O44" s="2256"/>
      <c r="P44" s="3660"/>
      <c r="Q44" s="7">
        <f t="shared" si="11"/>
        <v>111</v>
      </c>
      <c r="R44" s="1341" t="s">
        <v>104</v>
      </c>
      <c r="S44" s="1342">
        <f t="shared" si="12"/>
        <v>100</v>
      </c>
      <c r="T44" s="1341" t="s">
        <v>104</v>
      </c>
      <c r="U44" s="1342">
        <f t="shared" si="13"/>
        <v>100</v>
      </c>
      <c r="V44" s="1341" t="s">
        <v>104</v>
      </c>
      <c r="W44" s="1342">
        <f t="shared" si="14"/>
        <v>100</v>
      </c>
      <c r="X44" s="287"/>
      <c r="Y44" s="3662"/>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8"/>
      <c r="M45" s="2293"/>
      <c r="N45" s="2293"/>
      <c r="O45" s="2293"/>
      <c r="P45" s="3660"/>
      <c r="Q45" s="1350">
        <f t="shared" si="11"/>
        <v>111</v>
      </c>
      <c r="R45" s="1351" t="s">
        <v>104</v>
      </c>
      <c r="S45" s="1352">
        <f t="shared" si="12"/>
        <v>100</v>
      </c>
      <c r="T45" s="1351" t="s">
        <v>104</v>
      </c>
      <c r="U45" s="1352">
        <f t="shared" si="13"/>
        <v>100</v>
      </c>
      <c r="V45" s="1351" t="s">
        <v>104</v>
      </c>
      <c r="W45" s="1352">
        <f t="shared" si="14"/>
        <v>100</v>
      </c>
      <c r="X45" s="1339"/>
      <c r="Y45" s="3662"/>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8"/>
      <c r="M46" s="2293"/>
      <c r="N46" s="2293"/>
      <c r="O46" s="2293"/>
      <c r="P46" s="3661"/>
      <c r="Q46" s="1350">
        <f t="shared" si="11"/>
        <v>111</v>
      </c>
      <c r="R46" s="1351" t="s">
        <v>103</v>
      </c>
      <c r="S46" s="1352">
        <f t="shared" si="12"/>
        <v>100</v>
      </c>
      <c r="T46" s="1351" t="s">
        <v>103</v>
      </c>
      <c r="U46" s="1352">
        <f t="shared" si="13"/>
        <v>100</v>
      </c>
      <c r="V46" s="1351" t="s">
        <v>103</v>
      </c>
      <c r="W46" s="1352">
        <f t="shared" si="14"/>
        <v>100</v>
      </c>
      <c r="X46" s="1339"/>
      <c r="Y46" s="3663"/>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0"/>
      <c r="M47" s="2301"/>
      <c r="N47" s="2293"/>
      <c r="O47" s="2301"/>
      <c r="P47" s="3650" t="str">
        <f>A47</f>
        <v>成交单价（元/平方米）</v>
      </c>
      <c r="Q47" s="3650"/>
      <c r="R47" s="3651">
        <f>E47</f>
        <v>0</v>
      </c>
      <c r="S47" s="3651"/>
      <c r="T47" s="3651">
        <f>G47</f>
        <v>0</v>
      </c>
      <c r="U47" s="3651"/>
      <c r="V47" s="3651">
        <f>I47</f>
        <v>0</v>
      </c>
      <c r="W47" s="3651"/>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0"/>
      <c r="M48" s="2301"/>
      <c r="N48" s="2301"/>
      <c r="O48" s="2301"/>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364"/>
      <c r="Y48" s="1364"/>
      <c r="Z48" s="1364"/>
      <c r="AA48" s="1364"/>
      <c r="AB48" s="1364"/>
      <c r="AC48" s="1364"/>
    </row>
    <row r="49" spans="1:29" ht="15.75" thickBot="1">
      <c r="A49" s="115" t="s">
        <v>3025</v>
      </c>
      <c r="B49" s="116"/>
      <c r="C49" s="2842" t="e">
        <f>R49</f>
        <v>#DIV/0!</v>
      </c>
      <c r="D49" s="2843"/>
      <c r="E49" s="2843"/>
      <c r="F49" s="2843"/>
      <c r="G49" s="2843"/>
      <c r="H49" s="2843"/>
      <c r="I49" s="2843"/>
      <c r="J49" s="2843"/>
      <c r="K49" s="1367"/>
      <c r="L49" s="2300"/>
      <c r="M49" s="2301"/>
      <c r="N49" s="2301"/>
      <c r="O49" s="2301"/>
      <c r="P49" s="3652" t="str">
        <f>A49</f>
        <v>估价对象XX用房的比较价值（楼面单价，元/平方米）</v>
      </c>
      <c r="Q49" s="3653"/>
      <c r="R49" s="3654" t="e">
        <f>IF(F1="售价",ROUND(AVERAGE(R48:V48),0),ROUND(AVERAGE(R48:V48),1))</f>
        <v>#DIV/0!</v>
      </c>
      <c r="S49" s="3654"/>
      <c r="T49" s="3654"/>
      <c r="U49" s="3654"/>
      <c r="V49" s="3654"/>
      <c r="W49" s="3654"/>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9" t="s">
        <v>1005</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2"/>
      <c r="L52" s="2303"/>
      <c r="M52" s="2301"/>
      <c r="N52" s="2301"/>
      <c r="O52" s="2301"/>
    </row>
    <row r="53" spans="1:29" ht="13.5" customHeight="1">
      <c r="A53" s="2301"/>
      <c r="B53" s="2301"/>
      <c r="C53" s="839" t="s">
        <v>1006</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2"/>
      <c r="L53" s="2303"/>
      <c r="M53" s="2301"/>
      <c r="N53" s="2301"/>
      <c r="O53" s="2301"/>
    </row>
    <row r="54" spans="1:29" s="119" customFormat="1" ht="13.5" customHeight="1">
      <c r="A54" s="2306"/>
      <c r="B54" s="2306"/>
      <c r="C54" s="839" t="s">
        <v>1007</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4"/>
      <c r="L54" s="2305"/>
      <c r="M54" s="2306"/>
      <c r="N54" s="2306"/>
      <c r="O54" s="2306"/>
      <c r="P54" s="1370"/>
    </row>
    <row r="55" spans="1:29" s="119" customFormat="1">
      <c r="A55" s="2306"/>
      <c r="B55" s="2311"/>
      <c r="C55" s="2312"/>
      <c r="D55" s="2306"/>
      <c r="E55" s="2306"/>
      <c r="F55" s="2306"/>
      <c r="G55" s="2306"/>
      <c r="H55" s="2306"/>
      <c r="I55" s="2306"/>
      <c r="J55" s="2306"/>
      <c r="K55" s="2304"/>
      <c r="L55" s="2305"/>
      <c r="M55" s="2306"/>
      <c r="N55" s="2306"/>
      <c r="O55" s="2306"/>
      <c r="P55" s="1370"/>
    </row>
    <row r="56" spans="1:29">
      <c r="A56" s="2301"/>
      <c r="B56" s="2311"/>
      <c r="C56" s="2312"/>
      <c r="D56" s="2301"/>
      <c r="E56" s="2301"/>
      <c r="F56" s="2301"/>
      <c r="G56" s="2301"/>
      <c r="H56" s="2301"/>
      <c r="I56" s="2301"/>
      <c r="J56" s="2301"/>
      <c r="K56" s="2302"/>
      <c r="L56" s="2303"/>
      <c r="M56" s="2301"/>
      <c r="N56" s="2301"/>
      <c r="O56" s="2301"/>
    </row>
    <row r="57" spans="1:29" ht="21" thickBot="1">
      <c r="A57" s="1371" t="s">
        <v>127</v>
      </c>
      <c r="B57" s="1364"/>
      <c r="C57" s="1372"/>
      <c r="D57" s="1372"/>
      <c r="E57" s="1372"/>
      <c r="F57" s="1373"/>
      <c r="G57" s="1373"/>
      <c r="H57" s="1372"/>
      <c r="I57" s="1372"/>
      <c r="J57" s="1372"/>
      <c r="K57" s="2307"/>
      <c r="L57" s="2308"/>
      <c r="M57" s="2309"/>
      <c r="N57" s="2309"/>
      <c r="O57" s="2309"/>
      <c r="P57" s="1375"/>
      <c r="Q57" s="121"/>
    </row>
    <row r="58" spans="1:29" s="850" customFormat="1" ht="15">
      <c r="A58" s="847" t="s">
        <v>2803</v>
      </c>
      <c r="B58" s="848"/>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4"/>
      <c r="B59" s="3039"/>
      <c r="C59" s="3040">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1015</v>
      </c>
      <c r="D78" s="920" t="s">
        <v>1016</v>
      </c>
      <c r="E78" s="920" t="s">
        <v>1017</v>
      </c>
      <c r="F78" s="920" t="s">
        <v>1018</v>
      </c>
      <c r="G78" s="920" t="s">
        <v>1019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2643</v>
      </c>
      <c r="C80" s="920" t="s">
        <v>1015</v>
      </c>
      <c r="D80" s="920" t="s">
        <v>1016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2653</v>
      </c>
      <c r="C82" s="177" t="s">
        <v>2654</v>
      </c>
      <c r="D82" s="177" t="s">
        <v>2658</v>
      </c>
      <c r="E82" s="177" t="s">
        <v>2655</v>
      </c>
      <c r="F82" s="177" t="s">
        <v>2656</v>
      </c>
      <c r="G82" s="177" t="s">
        <v>2657</v>
      </c>
      <c r="H82" s="881"/>
      <c r="I82" s="881"/>
      <c r="J82" s="881"/>
      <c r="K82" s="881"/>
      <c r="L82" s="881"/>
      <c r="M82" s="2762"/>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8" t="s">
        <v>2302</v>
      </c>
    </row>
    <row r="137" spans="1:17" ht="14.25">
      <c r="B137" s="2139" t="s">
        <v>2303</v>
      </c>
      <c r="C137" s="2140"/>
      <c r="D137" s="2140"/>
      <c r="E137" s="2140"/>
      <c r="F137" s="2140"/>
      <c r="G137" s="2141"/>
      <c r="H137" s="2142"/>
      <c r="I137" s="2143" t="s">
        <v>2304</v>
      </c>
      <c r="J137" s="2140"/>
      <c r="K137" s="2144"/>
    </row>
    <row r="138" spans="1:17" ht="14.25">
      <c r="B138" s="2145"/>
      <c r="C138" s="1774" t="s">
        <v>2305</v>
      </c>
      <c r="D138" s="1774" t="s">
        <v>2306</v>
      </c>
      <c r="E138" s="2146" t="s">
        <v>2307</v>
      </c>
      <c r="F138" s="2147" t="s">
        <v>2308</v>
      </c>
      <c r="G138" s="1774" t="s">
        <v>2306</v>
      </c>
      <c r="H138" s="2148" t="s">
        <v>2307</v>
      </c>
      <c r="I138" s="2149"/>
      <c r="J138" s="1774" t="s">
        <v>2309</v>
      </c>
      <c r="K138" s="2148" t="s">
        <v>2310</v>
      </c>
    </row>
    <row r="139" spans="1:17" ht="15">
      <c r="B139" s="2150">
        <v>6</v>
      </c>
      <c r="C139" s="2151">
        <v>96</v>
      </c>
      <c r="D139" s="2152" t="s">
        <v>2311</v>
      </c>
      <c r="E139" s="2153">
        <v>100</v>
      </c>
      <c r="F139" s="2154">
        <v>102.5</v>
      </c>
      <c r="G139" s="2152" t="s">
        <v>2311</v>
      </c>
      <c r="H139" s="2155">
        <v>105</v>
      </c>
      <c r="I139" s="2156" t="s">
        <v>2312</v>
      </c>
      <c r="J139" s="2151">
        <v>20</v>
      </c>
      <c r="K139" s="2157">
        <f>C145/(J139-2)</f>
        <v>4.0555555555555553E-3</v>
      </c>
    </row>
    <row r="140" spans="1:17" ht="15">
      <c r="B140" s="2158">
        <v>5</v>
      </c>
      <c r="C140" s="2159">
        <v>100</v>
      </c>
      <c r="D140" s="2160"/>
      <c r="E140" s="2161"/>
      <c r="F140" s="2162">
        <v>102</v>
      </c>
      <c r="G140" s="2160"/>
      <c r="H140" s="2163"/>
      <c r="I140" s="2164" t="s">
        <v>2313</v>
      </c>
      <c r="J140" s="647">
        <f>ROUNDUP((J139-1)/2,0)</f>
        <v>10</v>
      </c>
      <c r="K140" s="2165">
        <v>100</v>
      </c>
    </row>
    <row r="141" spans="1:17" ht="15">
      <c r="B141" s="2158">
        <v>4</v>
      </c>
      <c r="C141" s="2159">
        <v>102</v>
      </c>
      <c r="D141" s="2160"/>
      <c r="E141" s="2161"/>
      <c r="F141" s="2162">
        <v>101.5</v>
      </c>
      <c r="G141" s="2160"/>
      <c r="H141" s="2163"/>
      <c r="I141" s="2164" t="s">
        <v>2314</v>
      </c>
      <c r="J141" s="647">
        <v>1</v>
      </c>
      <c r="K141" s="2166">
        <f>ROUND(100+(J141-J140)*K139*100,1)</f>
        <v>96.4</v>
      </c>
    </row>
    <row r="142" spans="1:17" ht="15">
      <c r="B142" s="2158">
        <v>3</v>
      </c>
      <c r="C142" s="2159">
        <v>103</v>
      </c>
      <c r="D142" s="2160"/>
      <c r="E142" s="2161"/>
      <c r="F142" s="2162">
        <v>101</v>
      </c>
      <c r="G142" s="2160"/>
      <c r="H142" s="2163"/>
      <c r="I142" s="2164" t="s">
        <v>2315</v>
      </c>
      <c r="J142" s="647">
        <f>J139</f>
        <v>20</v>
      </c>
      <c r="K142" s="2167">
        <v>95</v>
      </c>
    </row>
    <row r="143" spans="1:17" ht="15">
      <c r="B143" s="2158">
        <v>2</v>
      </c>
      <c r="C143" s="2159">
        <v>100</v>
      </c>
      <c r="D143" s="2160"/>
      <c r="E143" s="2161"/>
      <c r="F143" s="2162">
        <v>100.5</v>
      </c>
      <c r="G143" s="2160"/>
      <c r="H143" s="2163"/>
      <c r="I143" s="2164" t="s">
        <v>2316</v>
      </c>
      <c r="J143" s="2159">
        <v>15</v>
      </c>
      <c r="K143" s="2166">
        <f>ROUND(100+(J143-J140)*K139*100,1)</f>
        <v>102</v>
      </c>
    </row>
    <row r="144" spans="1:17" ht="15">
      <c r="B144" s="2158">
        <v>1</v>
      </c>
      <c r="C144" s="2159">
        <v>98</v>
      </c>
      <c r="D144" s="1159" t="s">
        <v>2317</v>
      </c>
      <c r="E144" s="2161">
        <v>102</v>
      </c>
      <c r="F144" s="2168">
        <v>100</v>
      </c>
      <c r="G144" s="1159" t="s">
        <v>2317</v>
      </c>
      <c r="H144" s="2163">
        <v>105</v>
      </c>
      <c r="I144" s="2164" t="s">
        <v>2316</v>
      </c>
      <c r="J144" s="2159">
        <v>18</v>
      </c>
      <c r="K144" s="2166">
        <f>ROUND(100+(J144-J140)*K139*100,1)</f>
        <v>103.2</v>
      </c>
    </row>
    <row r="145" spans="2:11" ht="15.75" thickBot="1">
      <c r="B145" s="2169" t="s">
        <v>2318</v>
      </c>
      <c r="C145" s="2170">
        <f>ROUND(MAX(C139:C144)/MIN(C139:C144)-1,3)</f>
        <v>7.2999999999999995E-2</v>
      </c>
      <c r="D145" s="2171"/>
      <c r="E145" s="2172"/>
      <c r="F145" s="2173" t="s">
        <v>2319</v>
      </c>
      <c r="G145" s="2174"/>
      <c r="H145" s="2175"/>
      <c r="I145" s="2176" t="s">
        <v>2320</v>
      </c>
      <c r="J145" s="2177">
        <v>8</v>
      </c>
      <c r="K145" s="2178">
        <f>ROUND(100+(J145-J140)*K139*100,1)</f>
        <v>99.2</v>
      </c>
    </row>
    <row r="147" spans="2:11">
      <c r="B147" s="2138" t="s">
        <v>2328</v>
      </c>
    </row>
    <row r="148" spans="2:11">
      <c r="B148" s="2138"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1067</v>
      </c>
      <c r="B1" s="3119" t="s">
        <v>1068</v>
      </c>
      <c r="C1" s="3113" t="s">
        <v>1069</v>
      </c>
      <c r="D1" s="3104"/>
      <c r="E1" s="3109"/>
      <c r="F1" s="3106"/>
      <c r="G1" s="3108" t="s">
        <v>1070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1071</v>
      </c>
      <c r="B2" s="2844" t="e">
        <f ca="1">IF(C2="——",ROUND(C50*D3/10000,0),ROUND(C50*D3/10000,0)-D2)</f>
        <v>#DIV/0!</v>
      </c>
      <c r="C2" s="3098"/>
      <c r="D2" s="2721" t="e">
        <f ca="1">SUMIF(INDIRECT("'"&amp;F2&amp;"'"&amp;"!A:A"),"承租人权益价值",INDIRECT("'"&amp;F2&amp;"'"&amp;"!c:c"))</f>
        <v>#REF!</v>
      </c>
      <c r="E2" s="3099" t="s">
        <v>867</v>
      </c>
      <c r="F2" s="3100"/>
      <c r="G2" s="2315"/>
      <c r="H2" s="2315"/>
      <c r="I2" s="2315"/>
      <c r="J2" s="2315"/>
      <c r="K2" s="2315"/>
      <c r="L2" s="2316"/>
      <c r="M2" s="2317"/>
      <c r="N2" s="2317"/>
      <c r="O2" s="2317"/>
      <c r="P2" s="1333"/>
      <c r="Q2" s="1333"/>
      <c r="R2" s="1333"/>
      <c r="S2" s="1333"/>
      <c r="T2" s="1333"/>
      <c r="U2" s="1333"/>
      <c r="V2" s="1333"/>
      <c r="W2" s="1333"/>
      <c r="X2" s="1333"/>
      <c r="Y2" s="1333"/>
      <c r="Z2" s="1333"/>
      <c r="AA2" s="1333"/>
      <c r="AB2" s="1333"/>
      <c r="AC2" s="1334"/>
    </row>
    <row r="3" spans="1:29" s="90" customFormat="1" ht="28.5" customHeight="1" thickBot="1">
      <c r="A3" s="87" t="s">
        <v>1072</v>
      </c>
      <c r="B3" s="951" t="e">
        <f ca="1">IF(C2="——",C50,ROUND(B2*10000/D3,0))</f>
        <v>#DIV/0!</v>
      </c>
      <c r="C3" s="142" t="s">
        <v>1073</v>
      </c>
      <c r="D3" s="742">
        <f>IF(D1="",'数据-汇总表'!E3,SUMIF('数据-汇总表'!$C19:$C33,D1,'数据-汇总表'!$E19:$E33))</f>
        <v>31303.89</v>
      </c>
      <c r="E3" s="2313"/>
      <c r="F3" s="2314"/>
      <c r="G3" s="2315"/>
      <c r="H3" s="2315"/>
      <c r="I3" s="2315"/>
      <c r="J3" s="2315"/>
      <c r="K3" s="2318"/>
      <c r="L3" s="2316"/>
      <c r="M3" s="2317"/>
      <c r="N3" s="2317"/>
      <c r="O3" s="2317"/>
      <c r="P3" s="1333"/>
      <c r="Q3" s="1333"/>
      <c r="R3" s="1333"/>
      <c r="S3" s="1333"/>
      <c r="T3" s="1333"/>
      <c r="U3" s="1333"/>
      <c r="V3" s="1333"/>
      <c r="W3" s="1333"/>
      <c r="X3" s="1333"/>
      <c r="Y3" s="1333"/>
      <c r="Z3" s="1333"/>
      <c r="AA3" s="1333"/>
      <c r="AB3" s="1333"/>
      <c r="AC3" s="1334"/>
    </row>
    <row r="4" spans="1:29">
      <c r="A4" s="143" t="s">
        <v>1074</v>
      </c>
      <c r="B4" s="144"/>
      <c r="C4" s="3678" t="s">
        <v>1075</v>
      </c>
      <c r="D4" s="3679"/>
      <c r="E4" s="3680" t="s">
        <v>1076</v>
      </c>
      <c r="F4" s="3681"/>
      <c r="G4" s="3678" t="s">
        <v>1077</v>
      </c>
      <c r="H4" s="3679"/>
      <c r="I4" s="3678" t="s">
        <v>1078</v>
      </c>
      <c r="J4" s="3679"/>
      <c r="K4" s="187" t="s">
        <v>1079</v>
      </c>
      <c r="L4" s="2292"/>
      <c r="M4" s="2293"/>
      <c r="N4" s="2293"/>
      <c r="O4" s="2293"/>
      <c r="P4" s="3739" t="s">
        <v>1074</v>
      </c>
      <c r="Q4" s="3740"/>
      <c r="R4" s="3734" t="s">
        <v>1076</v>
      </c>
      <c r="S4" s="3735"/>
      <c r="T4" s="3734" t="s">
        <v>1077</v>
      </c>
      <c r="U4" s="3735"/>
      <c r="V4" s="3743" t="s">
        <v>1078</v>
      </c>
      <c r="W4" s="3743"/>
      <c r="X4" s="2332"/>
      <c r="Y4" s="3734" t="s">
        <v>1074</v>
      </c>
      <c r="Z4" s="3735"/>
      <c r="AA4" s="3733" t="s">
        <v>1076</v>
      </c>
      <c r="AB4" s="3733" t="s">
        <v>1077</v>
      </c>
      <c r="AC4" s="3736" t="s">
        <v>1078</v>
      </c>
    </row>
    <row r="5" spans="1:29">
      <c r="A5" s="146"/>
      <c r="B5" s="147"/>
      <c r="C5" s="3688" t="s">
        <v>1080</v>
      </c>
      <c r="D5" s="3689"/>
      <c r="E5" s="3690" t="s">
        <v>1081</v>
      </c>
      <c r="F5" s="3691"/>
      <c r="G5" s="3688" t="s">
        <v>1082</v>
      </c>
      <c r="H5" s="3689"/>
      <c r="I5" s="3688" t="s">
        <v>1083</v>
      </c>
      <c r="J5" s="3689"/>
      <c r="K5" s="187"/>
      <c r="L5" s="2292"/>
      <c r="M5" s="2293"/>
      <c r="N5" s="2293"/>
      <c r="O5" s="2293"/>
      <c r="P5" s="3741"/>
      <c r="Q5" s="3685"/>
      <c r="R5" s="3670"/>
      <c r="S5" s="3671"/>
      <c r="T5" s="3670"/>
      <c r="U5" s="3671"/>
      <c r="V5" s="3664"/>
      <c r="W5" s="3664"/>
      <c r="X5" s="2218"/>
      <c r="Y5" s="3670"/>
      <c r="Z5" s="3671"/>
      <c r="AA5" s="3675"/>
      <c r="AB5" s="3675"/>
      <c r="AC5" s="3737"/>
    </row>
    <row r="6" spans="1:29" ht="14.25" thickBot="1">
      <c r="A6" s="148"/>
      <c r="B6" s="149"/>
      <c r="C6" s="3692" t="s">
        <v>1084</v>
      </c>
      <c r="D6" s="3693"/>
      <c r="E6" s="3694" t="s">
        <v>1084</v>
      </c>
      <c r="F6" s="3695"/>
      <c r="G6" s="3692" t="s">
        <v>1084</v>
      </c>
      <c r="H6" s="3693"/>
      <c r="I6" s="3692" t="s">
        <v>1084</v>
      </c>
      <c r="J6" s="3693"/>
      <c r="K6" s="187" t="s">
        <v>1085</v>
      </c>
      <c r="L6" s="2292"/>
      <c r="M6" s="2293"/>
      <c r="N6" s="2293"/>
      <c r="O6" s="2293"/>
      <c r="P6" s="3742"/>
      <c r="Q6" s="3687"/>
      <c r="R6" s="3670"/>
      <c r="S6" s="3671"/>
      <c r="T6" s="3672"/>
      <c r="U6" s="3673"/>
      <c r="V6" s="3664"/>
      <c r="W6" s="3664"/>
      <c r="X6" s="2218"/>
      <c r="Y6" s="3672"/>
      <c r="Z6" s="3673"/>
      <c r="AA6" s="3676"/>
      <c r="AB6" s="3676"/>
      <c r="AC6" s="3738"/>
    </row>
    <row r="7" spans="1:29" s="40" customFormat="1" ht="15" thickBot="1">
      <c r="A7" s="1013" t="s">
        <v>1086</v>
      </c>
      <c r="B7" s="1014"/>
      <c r="C7" s="753">
        <f>'数据-取费表'!B2</f>
        <v>42935</v>
      </c>
      <c r="D7" s="754">
        <v>100</v>
      </c>
      <c r="E7" s="1016"/>
      <c r="F7" s="756">
        <f>SUMIF(59:59,YEAR(E7)&amp;"-"&amp;MONTH(E7),60:60)</f>
        <v>0</v>
      </c>
      <c r="G7" s="1016"/>
      <c r="H7" s="754">
        <f>SUMIF(59:59,YEAR(G7)&amp;"-"&amp;MONTH(G7),60:60)</f>
        <v>0</v>
      </c>
      <c r="I7" s="1016"/>
      <c r="J7" s="754">
        <f>SUMIF(59:59,YEAR(I7)&amp;"-"&amp;MONTH(I7),60:60)</f>
        <v>0</v>
      </c>
      <c r="K7" s="1018"/>
      <c r="L7" s="2294"/>
      <c r="M7" s="2256"/>
      <c r="N7" s="2256"/>
      <c r="O7" s="2256"/>
      <c r="P7" s="3744" t="s">
        <v>1086</v>
      </c>
      <c r="Q7" s="3677"/>
      <c r="R7" s="1341" t="s">
        <v>65</v>
      </c>
      <c r="S7" s="1342">
        <f t="shared" ref="S7:S15" si="0">F7</f>
        <v>0</v>
      </c>
      <c r="T7" s="1341" t="s">
        <v>65</v>
      </c>
      <c r="U7" s="1342">
        <f t="shared" ref="U7:U15" si="1">H7</f>
        <v>0</v>
      </c>
      <c r="V7" s="1341" t="s">
        <v>65</v>
      </c>
      <c r="W7" s="1342">
        <f t="shared" ref="W7:W15" si="2">J7</f>
        <v>0</v>
      </c>
      <c r="X7" s="287"/>
      <c r="Y7" s="3665" t="s">
        <v>1086</v>
      </c>
      <c r="Z7" s="3666"/>
      <c r="AA7" s="1343" t="e">
        <f>D7/F7</f>
        <v>#DIV/0!</v>
      </c>
      <c r="AB7" s="1343" t="e">
        <f>D7/H7</f>
        <v>#DIV/0!</v>
      </c>
      <c r="AC7" s="2333" t="e">
        <f>D7/J7</f>
        <v>#DIV/0!</v>
      </c>
    </row>
    <row r="8" spans="1:29" s="40" customFormat="1" ht="15" thickBot="1">
      <c r="A8" s="1013" t="s">
        <v>1087</v>
      </c>
      <c r="B8" s="1014"/>
      <c r="C8" s="1019" t="s">
        <v>1088</v>
      </c>
      <c r="D8" s="754">
        <v>100</v>
      </c>
      <c r="E8" s="1019"/>
      <c r="F8" s="756">
        <f>SUMIF(62:62,E8,63:63)-SUMIF(62:62,C8,63:63)+100</f>
        <v>0</v>
      </c>
      <c r="G8" s="1019"/>
      <c r="H8" s="754">
        <f>SUMIF(62:62,G8,63:63)-SUMIF(62:62,C8,63:63)+100</f>
        <v>0</v>
      </c>
      <c r="I8" s="1019"/>
      <c r="J8" s="754">
        <f>SUMIF(62:62,I8,63:63)-SUMIF(62:62,C8,63:63)+100</f>
        <v>0</v>
      </c>
      <c r="K8" s="1018"/>
      <c r="L8" s="2294"/>
      <c r="M8" s="2256"/>
      <c r="N8" s="2256"/>
      <c r="O8" s="2256"/>
      <c r="P8" s="3744" t="s">
        <v>1020</v>
      </c>
      <c r="Q8" s="3666"/>
      <c r="R8" s="1341" t="s">
        <v>65</v>
      </c>
      <c r="S8" s="1342">
        <f t="shared" si="0"/>
        <v>0</v>
      </c>
      <c r="T8" s="1341" t="s">
        <v>65</v>
      </c>
      <c r="U8" s="1342">
        <f t="shared" si="1"/>
        <v>0</v>
      </c>
      <c r="V8" s="1341" t="s">
        <v>65</v>
      </c>
      <c r="W8" s="1342">
        <f t="shared" si="2"/>
        <v>0</v>
      </c>
      <c r="X8" s="287"/>
      <c r="Y8" s="3665" t="s">
        <v>1020</v>
      </c>
      <c r="Z8" s="3666"/>
      <c r="AA8" s="1343" t="e">
        <f t="shared" ref="AA8:AA47" si="3">D8/F8</f>
        <v>#DIV/0!</v>
      </c>
      <c r="AB8" s="1343" t="e">
        <f t="shared" ref="AB8:AB47" si="4">D8/H8</f>
        <v>#DIV/0!</v>
      </c>
      <c r="AC8" s="2333" t="e">
        <f t="shared" ref="AC8:AC47" si="5">D8/J8</f>
        <v>#DIV/0!</v>
      </c>
    </row>
    <row r="9" spans="1:29" s="40" customFormat="1" ht="14.25">
      <c r="A9" s="1020" t="s">
        <v>1021</v>
      </c>
      <c r="B9" s="62" t="s">
        <v>1022</v>
      </c>
      <c r="C9" s="1345"/>
      <c r="D9" s="425">
        <v>100</v>
      </c>
      <c r="E9" s="1347"/>
      <c r="F9" s="425">
        <f>SUMIF(64:64,E9,65:65)-SUMIF(64:64,C9,65:65)+100</f>
        <v>100</v>
      </c>
      <c r="G9" s="1346"/>
      <c r="H9" s="425">
        <f>SUMIF(64:64,G9,65:65)-SUMIF(64:64,C9,65:65)+100</f>
        <v>100</v>
      </c>
      <c r="I9" s="1346"/>
      <c r="J9" s="425">
        <f>SUMIF(64:64,I9,65:65)-SUMIF(64:64,C9,65:65)+100</f>
        <v>100</v>
      </c>
      <c r="K9" s="1018"/>
      <c r="L9" s="2294"/>
      <c r="M9" s="2256"/>
      <c r="N9" s="2256"/>
      <c r="O9" s="2256"/>
      <c r="P9" s="3667" t="s">
        <v>67</v>
      </c>
      <c r="Q9" s="2209" t="str">
        <f t="shared" ref="Q9:Q15" si="6">B9</f>
        <v>用途</v>
      </c>
      <c r="R9" s="1341" t="s">
        <v>65</v>
      </c>
      <c r="S9" s="1342">
        <f t="shared" si="0"/>
        <v>100</v>
      </c>
      <c r="T9" s="1341" t="s">
        <v>65</v>
      </c>
      <c r="U9" s="1342">
        <f t="shared" si="1"/>
        <v>100</v>
      </c>
      <c r="V9" s="1341" t="s">
        <v>65</v>
      </c>
      <c r="W9" s="1342">
        <f t="shared" si="2"/>
        <v>100</v>
      </c>
      <c r="X9" s="287"/>
      <c r="Y9" s="3482" t="s">
        <v>67</v>
      </c>
      <c r="Z9" s="2208" t="str">
        <f t="shared" ref="Z9:Z15" si="7">Q9</f>
        <v>用途</v>
      </c>
      <c r="AA9" s="1343">
        <f t="shared" si="3"/>
        <v>1</v>
      </c>
      <c r="AB9" s="1343">
        <f t="shared" si="4"/>
        <v>1</v>
      </c>
      <c r="AC9" s="2333">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5"/>
      <c r="M10" s="2296"/>
      <c r="N10" s="2296"/>
      <c r="O10" s="2296"/>
      <c r="P10" s="3667"/>
      <c r="Q10" s="2209" t="str">
        <f t="shared" si="6"/>
        <v>土地使用年限（年）</v>
      </c>
      <c r="R10" s="1341" t="s">
        <v>65</v>
      </c>
      <c r="S10" s="1342">
        <f t="shared" si="0"/>
        <v>100</v>
      </c>
      <c r="T10" s="1341" t="s">
        <v>65</v>
      </c>
      <c r="U10" s="1342">
        <f t="shared" si="1"/>
        <v>100</v>
      </c>
      <c r="V10" s="1341" t="s">
        <v>65</v>
      </c>
      <c r="W10" s="1342">
        <f t="shared" si="2"/>
        <v>100</v>
      </c>
      <c r="X10" s="287"/>
      <c r="Y10" s="3482"/>
      <c r="Z10" s="2208" t="str">
        <f t="shared" si="7"/>
        <v>土地使用年限（年）</v>
      </c>
      <c r="AA10" s="1343">
        <f t="shared" si="3"/>
        <v>1</v>
      </c>
      <c r="AB10" s="1343">
        <f t="shared" si="4"/>
        <v>1</v>
      </c>
      <c r="AC10" s="2333">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7"/>
      <c r="M11" s="2293"/>
      <c r="N11" s="2293"/>
      <c r="O11" s="2293"/>
      <c r="P11" s="3667"/>
      <c r="Q11" s="2209" t="str">
        <f t="shared" si="6"/>
        <v>容积率</v>
      </c>
      <c r="R11" s="1341" t="s">
        <v>65</v>
      </c>
      <c r="S11" s="1342" t="e">
        <f t="shared" si="0"/>
        <v>#N/A</v>
      </c>
      <c r="T11" s="1341" t="s">
        <v>65</v>
      </c>
      <c r="U11" s="1342" t="e">
        <f t="shared" si="1"/>
        <v>#N/A</v>
      </c>
      <c r="V11" s="1341" t="s">
        <v>65</v>
      </c>
      <c r="W11" s="1342" t="e">
        <f t="shared" si="2"/>
        <v>#N/A</v>
      </c>
      <c r="X11" s="287"/>
      <c r="Y11" s="3482"/>
      <c r="Z11" s="2208" t="str">
        <f t="shared" si="7"/>
        <v>容积率</v>
      </c>
      <c r="AA11" s="1343" t="e">
        <f t="shared" si="3"/>
        <v>#N/A</v>
      </c>
      <c r="AB11" s="1343" t="e">
        <f t="shared" si="4"/>
        <v>#N/A</v>
      </c>
      <c r="AC11" s="2333"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4"/>
      <c r="M12" s="2256"/>
      <c r="N12" s="2256"/>
      <c r="O12" s="2256"/>
      <c r="P12" s="3667"/>
      <c r="Q12" s="2209">
        <f t="shared" si="6"/>
        <v>111</v>
      </c>
      <c r="R12" s="1341" t="s">
        <v>65</v>
      </c>
      <c r="S12" s="1342">
        <f t="shared" si="0"/>
        <v>100</v>
      </c>
      <c r="T12" s="1341" t="s">
        <v>65</v>
      </c>
      <c r="U12" s="1342">
        <f t="shared" si="1"/>
        <v>100</v>
      </c>
      <c r="V12" s="1341" t="s">
        <v>65</v>
      </c>
      <c r="W12" s="1342">
        <f t="shared" si="2"/>
        <v>100</v>
      </c>
      <c r="X12" s="287"/>
      <c r="Y12" s="3482"/>
      <c r="Z12" s="2208">
        <f t="shared" si="7"/>
        <v>111</v>
      </c>
      <c r="AA12" s="1343">
        <f>D12/F12</f>
        <v>1</v>
      </c>
      <c r="AB12" s="1343">
        <f>D12/H12</f>
        <v>1</v>
      </c>
      <c r="AC12" s="2333">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298"/>
      <c r="M13" s="2293"/>
      <c r="N13" s="2293"/>
      <c r="O13" s="2293"/>
      <c r="P13" s="3667"/>
      <c r="Q13" s="2209">
        <f t="shared" si="6"/>
        <v>111</v>
      </c>
      <c r="R13" s="1341" t="s">
        <v>65</v>
      </c>
      <c r="S13" s="1342">
        <f t="shared" si="0"/>
        <v>100</v>
      </c>
      <c r="T13" s="1341" t="s">
        <v>65</v>
      </c>
      <c r="U13" s="1342">
        <f t="shared" si="1"/>
        <v>100</v>
      </c>
      <c r="V13" s="1341" t="s">
        <v>65</v>
      </c>
      <c r="W13" s="1342">
        <f t="shared" si="2"/>
        <v>100</v>
      </c>
      <c r="X13" s="287"/>
      <c r="Y13" s="3482"/>
      <c r="Z13" s="2208">
        <f t="shared" si="7"/>
        <v>111</v>
      </c>
      <c r="AA13" s="1343">
        <f t="shared" si="3"/>
        <v>1</v>
      </c>
      <c r="AB13" s="1343">
        <f t="shared" si="4"/>
        <v>1</v>
      </c>
      <c r="AC13" s="2333">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8"/>
      <c r="M14" s="2293"/>
      <c r="N14" s="2293"/>
      <c r="O14" s="2293"/>
      <c r="P14" s="3667"/>
      <c r="Q14" s="2209">
        <f t="shared" si="6"/>
        <v>111</v>
      </c>
      <c r="R14" s="1341" t="s">
        <v>65</v>
      </c>
      <c r="S14" s="1342">
        <f t="shared" si="0"/>
        <v>100</v>
      </c>
      <c r="T14" s="1341" t="s">
        <v>65</v>
      </c>
      <c r="U14" s="1342">
        <f t="shared" si="1"/>
        <v>100</v>
      </c>
      <c r="V14" s="1341" t="s">
        <v>65</v>
      </c>
      <c r="W14" s="1342">
        <f t="shared" si="2"/>
        <v>100</v>
      </c>
      <c r="X14" s="287"/>
      <c r="Y14" s="3482"/>
      <c r="Z14" s="2208">
        <f t="shared" si="7"/>
        <v>111</v>
      </c>
      <c r="AA14" s="1343">
        <f t="shared" si="3"/>
        <v>1</v>
      </c>
      <c r="AB14" s="1343">
        <f t="shared" si="4"/>
        <v>1</v>
      </c>
      <c r="AC14" s="2333">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8"/>
      <c r="M15" s="2293"/>
      <c r="N15" s="2293"/>
      <c r="O15" s="2293"/>
      <c r="P15" s="3655" t="s">
        <v>69</v>
      </c>
      <c r="Q15" s="2216" t="str">
        <f t="shared" si="6"/>
        <v>办公集聚程度</v>
      </c>
      <c r="R15" s="1351" t="s">
        <v>65</v>
      </c>
      <c r="S15" s="1352">
        <f t="shared" si="0"/>
        <v>100</v>
      </c>
      <c r="T15" s="1351" t="s">
        <v>65</v>
      </c>
      <c r="U15" s="1352">
        <f t="shared" si="1"/>
        <v>100</v>
      </c>
      <c r="V15" s="1351" t="s">
        <v>65</v>
      </c>
      <c r="W15" s="1352">
        <f t="shared" si="2"/>
        <v>100</v>
      </c>
      <c r="X15" s="2218"/>
      <c r="Y15" s="3657" t="s">
        <v>69</v>
      </c>
      <c r="Z15" s="2217" t="str">
        <f t="shared" si="7"/>
        <v>办公集聚程度</v>
      </c>
      <c r="AA15" s="1354">
        <f t="shared" si="3"/>
        <v>1</v>
      </c>
      <c r="AB15" s="1354">
        <f t="shared" si="4"/>
        <v>1</v>
      </c>
      <c r="AC15" s="2334">
        <f t="shared" si="5"/>
        <v>1</v>
      </c>
    </row>
    <row r="16" spans="1:29" ht="14.25">
      <c r="A16" s="151"/>
      <c r="B16" s="209"/>
      <c r="C16" s="192"/>
      <c r="D16" s="790"/>
      <c r="E16" s="97"/>
      <c r="F16" s="790"/>
      <c r="G16" s="192"/>
      <c r="H16" s="792"/>
      <c r="I16" s="97"/>
      <c r="J16" s="790"/>
      <c r="K16" s="189"/>
      <c r="L16" s="2298"/>
      <c r="M16" s="2293"/>
      <c r="N16" s="2293"/>
      <c r="O16" s="2293"/>
      <c r="P16" s="3656"/>
      <c r="Q16" s="2216"/>
      <c r="R16" s="1351"/>
      <c r="S16" s="1352"/>
      <c r="T16" s="1351"/>
      <c r="U16" s="1352"/>
      <c r="V16" s="1351"/>
      <c r="W16" s="1352"/>
      <c r="X16" s="2218"/>
      <c r="Y16" s="3658"/>
      <c r="Z16" s="2217"/>
      <c r="AA16" s="1354">
        <v>1</v>
      </c>
      <c r="AB16" s="1354">
        <v>1</v>
      </c>
      <c r="AC16" s="2334">
        <v>1</v>
      </c>
    </row>
    <row r="17" spans="1:29" ht="135">
      <c r="A17" s="151"/>
      <c r="B17" s="1033" t="s">
        <v>72</v>
      </c>
      <c r="C17" s="210" t="str">
        <f>估价对象房地状况!C6</f>
        <v>估价对象周边道路状况较好，有56、46、68路等多条公交线路经过，临近东二环路，估价对象所在商圈配有地下停车场，停车方便，综合评价交通便捷度较好。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8"/>
      <c r="M17" s="2293"/>
      <c r="N17" s="2293"/>
      <c r="O17" s="2293"/>
      <c r="P17" s="3656"/>
      <c r="Q17" s="2216" t="str">
        <f>B17</f>
        <v>交通便捷度</v>
      </c>
      <c r="R17" s="1351" t="s">
        <v>65</v>
      </c>
      <c r="S17" s="1352">
        <f>F17</f>
        <v>100</v>
      </c>
      <c r="T17" s="1351" t="s">
        <v>65</v>
      </c>
      <c r="U17" s="1352">
        <f>H17</f>
        <v>100</v>
      </c>
      <c r="V17" s="1351" t="s">
        <v>65</v>
      </c>
      <c r="W17" s="1352">
        <f>J17</f>
        <v>100</v>
      </c>
      <c r="X17" s="2218"/>
      <c r="Y17" s="3658"/>
      <c r="Z17" s="2217" t="str">
        <f>Q17</f>
        <v>交通便捷度</v>
      </c>
      <c r="AA17" s="1354">
        <f t="shared" si="3"/>
        <v>1</v>
      </c>
      <c r="AB17" s="1354">
        <f t="shared" si="4"/>
        <v>1</v>
      </c>
      <c r="AC17" s="2334">
        <f t="shared" si="5"/>
        <v>1</v>
      </c>
    </row>
    <row r="18" spans="1:29" ht="14.25">
      <c r="A18" s="151"/>
      <c r="B18" s="1034"/>
      <c r="C18" s="193"/>
      <c r="D18" s="792"/>
      <c r="E18" s="104"/>
      <c r="F18" s="792"/>
      <c r="G18" s="103"/>
      <c r="H18" s="790"/>
      <c r="I18" s="103"/>
      <c r="J18" s="790"/>
      <c r="K18" s="189"/>
      <c r="L18" s="2298"/>
      <c r="M18" s="2293"/>
      <c r="N18" s="2293"/>
      <c r="O18" s="2293"/>
      <c r="P18" s="3656"/>
      <c r="Q18" s="2216"/>
      <c r="R18" s="1351"/>
      <c r="S18" s="1352"/>
      <c r="T18" s="1351"/>
      <c r="U18" s="1352"/>
      <c r="V18" s="1351"/>
      <c r="W18" s="1352"/>
      <c r="X18" s="2218"/>
      <c r="Y18" s="3658"/>
      <c r="Z18" s="2217"/>
      <c r="AA18" s="1354">
        <v>1</v>
      </c>
      <c r="AB18" s="1354">
        <v>1</v>
      </c>
      <c r="AC18" s="2334">
        <v>1</v>
      </c>
    </row>
    <row r="19" spans="1:29" ht="162">
      <c r="A19" s="151"/>
      <c r="B19" s="1033" t="s">
        <v>2668</v>
      </c>
      <c r="C19" s="210" t="str">
        <f>估价对象房地状况!C7</f>
        <v>估价对象所在区域有银行（工商银行、建设银行等）、医院（福建省第二人民医院）、学校（福州第十中学、福州市岳峰中心小学等）、超市（永辉超市）等，公共配套设施条件好。</v>
      </c>
      <c r="D19" s="797">
        <v>100</v>
      </c>
      <c r="E19" s="106"/>
      <c r="F19" s="797">
        <f>SUMIF(81:81,E20,82:82)-SUMIF(81:81,C20,82:82)+100</f>
        <v>100</v>
      </c>
      <c r="G19" s="105"/>
      <c r="H19" s="792">
        <f>SUMIF(81:81,G20,82:82)-SUMIF(81:81,C20,82:82)+100</f>
        <v>100</v>
      </c>
      <c r="I19" s="105"/>
      <c r="J19" s="792">
        <f>SUMIF(81:81,I20,82:82)-SUMIF(81:81,C20,82:82)+100</f>
        <v>100</v>
      </c>
      <c r="K19" s="956"/>
      <c r="L19" s="2298"/>
      <c r="M19" s="2293"/>
      <c r="N19" s="2293"/>
      <c r="O19" s="2293"/>
      <c r="P19" s="3656"/>
      <c r="Q19" s="2216" t="str">
        <f>B19</f>
        <v>公共配套设施</v>
      </c>
      <c r="R19" s="1351" t="s">
        <v>65</v>
      </c>
      <c r="S19" s="1352">
        <f>F19</f>
        <v>100</v>
      </c>
      <c r="T19" s="1351" t="s">
        <v>65</v>
      </c>
      <c r="U19" s="1352">
        <f>H19</f>
        <v>100</v>
      </c>
      <c r="V19" s="1351" t="s">
        <v>65</v>
      </c>
      <c r="W19" s="1352">
        <f>J19</f>
        <v>100</v>
      </c>
      <c r="X19" s="2218"/>
      <c r="Y19" s="3658"/>
      <c r="Z19" s="2217" t="str">
        <f>Q19</f>
        <v>公共配套设施</v>
      </c>
      <c r="AA19" s="1354">
        <f t="shared" si="3"/>
        <v>1</v>
      </c>
      <c r="AB19" s="1354">
        <f t="shared" si="4"/>
        <v>1</v>
      </c>
      <c r="AC19" s="2334">
        <f t="shared" si="5"/>
        <v>1</v>
      </c>
    </row>
    <row r="20" spans="1:29" ht="14.25">
      <c r="A20" s="151"/>
      <c r="B20" s="1034"/>
      <c r="C20" s="192"/>
      <c r="D20" s="790"/>
      <c r="E20" s="99"/>
      <c r="F20" s="790"/>
      <c r="G20" s="98"/>
      <c r="H20" s="790"/>
      <c r="I20" s="98"/>
      <c r="J20" s="790"/>
      <c r="K20" s="189"/>
      <c r="L20" s="2298"/>
      <c r="M20" s="2293"/>
      <c r="N20" s="2293"/>
      <c r="O20" s="2293"/>
      <c r="P20" s="3656"/>
      <c r="Q20" s="2216"/>
      <c r="R20" s="1351"/>
      <c r="S20" s="1352"/>
      <c r="T20" s="1351"/>
      <c r="U20" s="1352"/>
      <c r="V20" s="1351"/>
      <c r="W20" s="1352"/>
      <c r="X20" s="2218"/>
      <c r="Y20" s="3658"/>
      <c r="Z20" s="2217"/>
      <c r="AA20" s="1354">
        <v>1</v>
      </c>
      <c r="AB20" s="1354">
        <v>1</v>
      </c>
      <c r="AC20" s="2334">
        <v>1</v>
      </c>
    </row>
    <row r="21" spans="1:29" ht="27">
      <c r="A21" s="151"/>
      <c r="B21" s="1035" t="s">
        <v>2669</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8"/>
      <c r="M21" s="2293"/>
      <c r="N21" s="2293"/>
      <c r="O21" s="2293"/>
      <c r="P21" s="3656"/>
      <c r="Q21" s="2743" t="str">
        <f>B21</f>
        <v>基础设施水平</v>
      </c>
      <c r="R21" s="1351" t="s">
        <v>65</v>
      </c>
      <c r="S21" s="1352">
        <f>F21</f>
        <v>100</v>
      </c>
      <c r="T21" s="1351" t="s">
        <v>65</v>
      </c>
      <c r="U21" s="1352">
        <f>H21</f>
        <v>100</v>
      </c>
      <c r="V21" s="1351" t="s">
        <v>65</v>
      </c>
      <c r="W21" s="1352">
        <f>J21</f>
        <v>100</v>
      </c>
      <c r="X21" s="2745"/>
      <c r="Y21" s="3658"/>
      <c r="Z21" s="2744" t="str">
        <f>Q21</f>
        <v>基础设施水平</v>
      </c>
      <c r="AA21" s="1354">
        <f t="shared" ref="AA21" si="8">D21/F21</f>
        <v>1</v>
      </c>
      <c r="AB21" s="1354">
        <f t="shared" ref="AB21" si="9">D21/H21</f>
        <v>1</v>
      </c>
      <c r="AC21" s="2334">
        <f t="shared" ref="AC21" si="10">D21/J21</f>
        <v>1</v>
      </c>
    </row>
    <row r="22" spans="1:29" ht="14.25">
      <c r="A22" s="151"/>
      <c r="B22" s="1035"/>
      <c r="C22" s="193"/>
      <c r="D22" s="790"/>
      <c r="E22" s="97"/>
      <c r="F22" s="790"/>
      <c r="G22" s="192"/>
      <c r="H22" s="790"/>
      <c r="I22" s="192"/>
      <c r="J22" s="790"/>
      <c r="K22" s="2763"/>
      <c r="L22" s="2298"/>
      <c r="M22" s="2293"/>
      <c r="N22" s="2293"/>
      <c r="O22" s="2293"/>
      <c r="P22" s="3656"/>
      <c r="Q22" s="2743"/>
      <c r="R22" s="1351"/>
      <c r="S22" s="1352"/>
      <c r="T22" s="1351"/>
      <c r="U22" s="1352"/>
      <c r="V22" s="1351"/>
      <c r="W22" s="1352"/>
      <c r="X22" s="2745"/>
      <c r="Y22" s="3658"/>
      <c r="Z22" s="2744"/>
      <c r="AA22" s="1354">
        <v>1</v>
      </c>
      <c r="AB22" s="1354">
        <v>1</v>
      </c>
      <c r="AC22" s="2334">
        <v>1</v>
      </c>
    </row>
    <row r="23" spans="1:29" ht="67.5">
      <c r="A23" s="151"/>
      <c r="B23" s="1033" t="s">
        <v>143</v>
      </c>
      <c r="C23" s="210" t="str">
        <f>估价对象房地状况!C9</f>
        <v>估价对象周边有牛岗山公园、金鸡山公园；综合评价环境状况一般。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8"/>
      <c r="M23" s="2293"/>
      <c r="N23" s="2293"/>
      <c r="O23" s="2293"/>
      <c r="P23" s="3656"/>
      <c r="Q23" s="2216" t="str">
        <f>B23</f>
        <v>环境质量</v>
      </c>
      <c r="R23" s="1351" t="s">
        <v>65</v>
      </c>
      <c r="S23" s="1352">
        <f>F23</f>
        <v>100</v>
      </c>
      <c r="T23" s="1351" t="s">
        <v>65</v>
      </c>
      <c r="U23" s="1352">
        <f>H23</f>
        <v>100</v>
      </c>
      <c r="V23" s="1351" t="s">
        <v>65</v>
      </c>
      <c r="W23" s="1352">
        <f>J23</f>
        <v>100</v>
      </c>
      <c r="X23" s="2218"/>
      <c r="Y23" s="3658"/>
      <c r="Z23" s="2217" t="str">
        <f>Q23</f>
        <v>环境质量</v>
      </c>
      <c r="AA23" s="1354">
        <f t="shared" si="3"/>
        <v>1</v>
      </c>
      <c r="AB23" s="1354">
        <f t="shared" si="4"/>
        <v>1</v>
      </c>
      <c r="AC23" s="2334">
        <f t="shared" si="5"/>
        <v>1</v>
      </c>
    </row>
    <row r="24" spans="1:29" ht="14.25">
      <c r="A24" s="151"/>
      <c r="B24" s="1035"/>
      <c r="C24" s="192"/>
      <c r="D24" s="790"/>
      <c r="E24" s="99"/>
      <c r="F24" s="790"/>
      <c r="G24" s="98"/>
      <c r="H24" s="790"/>
      <c r="I24" s="98"/>
      <c r="J24" s="790"/>
      <c r="K24" s="189"/>
      <c r="L24" s="2298"/>
      <c r="M24" s="2293"/>
      <c r="N24" s="2293"/>
      <c r="O24" s="2293"/>
      <c r="P24" s="3656"/>
      <c r="Q24" s="2216"/>
      <c r="R24" s="1351"/>
      <c r="S24" s="1352"/>
      <c r="T24" s="1351"/>
      <c r="U24" s="1352"/>
      <c r="V24" s="1351"/>
      <c r="W24" s="1352"/>
      <c r="X24" s="2218"/>
      <c r="Y24" s="3658"/>
      <c r="Z24" s="2217"/>
      <c r="AA24" s="1354">
        <v>1</v>
      </c>
      <c r="AB24" s="1354">
        <v>1</v>
      </c>
      <c r="AC24" s="2334">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8"/>
      <c r="M25" s="2293"/>
      <c r="N25" s="2293"/>
      <c r="O25" s="2293"/>
      <c r="P25" s="3656"/>
      <c r="Q25" s="2216" t="str">
        <f>B25</f>
        <v>毗邻道路的类型与等级</v>
      </c>
      <c r="R25" s="1351" t="s">
        <v>65</v>
      </c>
      <c r="S25" s="1352">
        <f>F25</f>
        <v>100</v>
      </c>
      <c r="T25" s="1351" t="s">
        <v>65</v>
      </c>
      <c r="U25" s="1352">
        <f>H25</f>
        <v>100</v>
      </c>
      <c r="V25" s="1351" t="s">
        <v>65</v>
      </c>
      <c r="W25" s="1352">
        <f>J25</f>
        <v>100</v>
      </c>
      <c r="X25" s="2218"/>
      <c r="Y25" s="3658"/>
      <c r="Z25" s="2217" t="str">
        <f>Q25</f>
        <v>毗邻道路的类型与等级</v>
      </c>
      <c r="AA25" s="1354">
        <f t="shared" si="3"/>
        <v>1</v>
      </c>
      <c r="AB25" s="1354">
        <f t="shared" si="4"/>
        <v>1</v>
      </c>
      <c r="AC25" s="2334">
        <f t="shared" si="5"/>
        <v>1</v>
      </c>
    </row>
    <row r="26" spans="1:29" ht="14.25">
      <c r="A26" s="146"/>
      <c r="B26" s="1034"/>
      <c r="C26" s="195"/>
      <c r="D26" s="777"/>
      <c r="E26" s="182"/>
      <c r="F26" s="777"/>
      <c r="G26" s="195"/>
      <c r="H26" s="777"/>
      <c r="I26" s="182"/>
      <c r="J26" s="777"/>
      <c r="K26" s="189"/>
      <c r="L26" s="2298"/>
      <c r="M26" s="2293"/>
      <c r="N26" s="2293"/>
      <c r="O26" s="2293"/>
      <c r="P26" s="3656"/>
      <c r="Q26" s="2216"/>
      <c r="R26" s="1351"/>
      <c r="S26" s="1352"/>
      <c r="T26" s="1351"/>
      <c r="U26" s="1352"/>
      <c r="V26" s="1351"/>
      <c r="W26" s="1352"/>
      <c r="X26" s="2218"/>
      <c r="Y26" s="3658"/>
      <c r="Z26" s="2217"/>
      <c r="AA26" s="1354">
        <v>1</v>
      </c>
      <c r="AB26" s="1354">
        <v>1</v>
      </c>
      <c r="AC26" s="2334">
        <v>1</v>
      </c>
    </row>
    <row r="27" spans="1:29" ht="15">
      <c r="A27" s="151"/>
      <c r="B27" s="1034" t="s">
        <v>1089</v>
      </c>
      <c r="C27" s="195"/>
      <c r="D27" s="777">
        <v>100</v>
      </c>
      <c r="E27" s="182"/>
      <c r="F27" s="777">
        <f>SUMIF(89:89,E27,90:90)-SUMIF(89:89,C27,90:90)+100</f>
        <v>100</v>
      </c>
      <c r="G27" s="195"/>
      <c r="H27" s="777">
        <f>SUMIF(89:89,G27,90:90)-SUMIF(89:89,C27,90:90)+100</f>
        <v>100</v>
      </c>
      <c r="I27" s="182"/>
      <c r="J27" s="777">
        <f>SUMIF(89:89,I27,90:90)-SUMIF(89:89,C27,90:90)+100</f>
        <v>100</v>
      </c>
      <c r="K27" s="954"/>
      <c r="L27" s="2298"/>
      <c r="M27" s="2293"/>
      <c r="N27" s="2293"/>
      <c r="O27" s="2293"/>
      <c r="P27" s="3656"/>
      <c r="Q27" s="2216" t="str">
        <f t="shared" ref="Q27:Q47" si="11">B27</f>
        <v>楼层</v>
      </c>
      <c r="R27" s="1351" t="s">
        <v>65</v>
      </c>
      <c r="S27" s="1352">
        <f>F27</f>
        <v>100</v>
      </c>
      <c r="T27" s="1351" t="s">
        <v>65</v>
      </c>
      <c r="U27" s="1352">
        <f>H27</f>
        <v>100</v>
      </c>
      <c r="V27" s="1351" t="s">
        <v>65</v>
      </c>
      <c r="W27" s="1352">
        <f>J27</f>
        <v>100</v>
      </c>
      <c r="X27" s="2218"/>
      <c r="Y27" s="3658"/>
      <c r="Z27" s="2217" t="str">
        <f>Q27</f>
        <v>楼层</v>
      </c>
      <c r="AA27" s="1354">
        <f t="shared" si="3"/>
        <v>1</v>
      </c>
      <c r="AB27" s="1354">
        <f t="shared" si="4"/>
        <v>1</v>
      </c>
      <c r="AC27" s="2334">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4"/>
      <c r="M28" s="2256"/>
      <c r="N28" s="2256"/>
      <c r="O28" s="2256"/>
      <c r="P28" s="3656"/>
      <c r="Q28" s="2209" t="str">
        <f t="shared" si="11"/>
        <v>朝向</v>
      </c>
      <c r="R28" s="1341" t="s">
        <v>65</v>
      </c>
      <c r="S28" s="1342">
        <f>F28</f>
        <v>100</v>
      </c>
      <c r="T28" s="1341" t="s">
        <v>65</v>
      </c>
      <c r="U28" s="1342">
        <f>H28</f>
        <v>100</v>
      </c>
      <c r="V28" s="1341" t="s">
        <v>65</v>
      </c>
      <c r="W28" s="1342">
        <f>J28</f>
        <v>100</v>
      </c>
      <c r="X28" s="287"/>
      <c r="Y28" s="3658"/>
      <c r="Z28" s="2208" t="str">
        <f>Q28</f>
        <v>朝向</v>
      </c>
      <c r="AA28" s="1354">
        <f>D28/F28</f>
        <v>1</v>
      </c>
      <c r="AB28" s="1354">
        <f>D28/H28</f>
        <v>1</v>
      </c>
      <c r="AC28" s="2334">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8"/>
      <c r="M29" s="2293"/>
      <c r="N29" s="2293"/>
      <c r="O29" s="2293"/>
      <c r="P29" s="3656"/>
      <c r="Q29" s="2216">
        <f t="shared" si="11"/>
        <v>111</v>
      </c>
      <c r="R29" s="1351" t="s">
        <v>65</v>
      </c>
      <c r="S29" s="1352">
        <f t="shared" ref="S29:S47" si="12">F29</f>
        <v>100</v>
      </c>
      <c r="T29" s="1351" t="s">
        <v>65</v>
      </c>
      <c r="U29" s="1352">
        <f t="shared" ref="U29:U47" si="13">H29</f>
        <v>100</v>
      </c>
      <c r="V29" s="1351" t="s">
        <v>65</v>
      </c>
      <c r="W29" s="1352">
        <f t="shared" ref="W29:W47" si="14">J29</f>
        <v>100</v>
      </c>
      <c r="X29" s="2218"/>
      <c r="Y29" s="3658"/>
      <c r="Z29" s="2217">
        <f t="shared" ref="Z29:Z47" si="15">Q29</f>
        <v>111</v>
      </c>
      <c r="AA29" s="1354">
        <f t="shared" si="3"/>
        <v>1</v>
      </c>
      <c r="AB29" s="1354">
        <f t="shared" si="4"/>
        <v>1</v>
      </c>
      <c r="AC29" s="2334">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8"/>
      <c r="M30" s="2293"/>
      <c r="N30" s="2293"/>
      <c r="O30" s="2293"/>
      <c r="P30" s="3656"/>
      <c r="Q30" s="2216">
        <f t="shared" si="11"/>
        <v>111</v>
      </c>
      <c r="R30" s="1351" t="s">
        <v>65</v>
      </c>
      <c r="S30" s="1352">
        <f t="shared" si="12"/>
        <v>100</v>
      </c>
      <c r="T30" s="1351" t="s">
        <v>65</v>
      </c>
      <c r="U30" s="1352">
        <f t="shared" si="13"/>
        <v>100</v>
      </c>
      <c r="V30" s="1351" t="s">
        <v>65</v>
      </c>
      <c r="W30" s="1352">
        <f t="shared" si="14"/>
        <v>100</v>
      </c>
      <c r="X30" s="2218"/>
      <c r="Y30" s="3658"/>
      <c r="Z30" s="2217">
        <f t="shared" si="15"/>
        <v>111</v>
      </c>
      <c r="AA30" s="1354">
        <f t="shared" si="3"/>
        <v>1</v>
      </c>
      <c r="AB30" s="1354">
        <f t="shared" si="4"/>
        <v>1</v>
      </c>
      <c r="AC30" s="2334">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8"/>
      <c r="M31" s="2293"/>
      <c r="N31" s="2293"/>
      <c r="O31" s="2293"/>
      <c r="P31" s="3656"/>
      <c r="Q31" s="2216">
        <f t="shared" si="11"/>
        <v>111</v>
      </c>
      <c r="R31" s="1351" t="s">
        <v>65</v>
      </c>
      <c r="S31" s="1352">
        <f t="shared" si="12"/>
        <v>100</v>
      </c>
      <c r="T31" s="1351" t="s">
        <v>65</v>
      </c>
      <c r="U31" s="1352">
        <f t="shared" si="13"/>
        <v>100</v>
      </c>
      <c r="V31" s="1351" t="s">
        <v>65</v>
      </c>
      <c r="W31" s="1352">
        <f t="shared" si="14"/>
        <v>100</v>
      </c>
      <c r="X31" s="2218"/>
      <c r="Y31" s="3658"/>
      <c r="Z31" s="2217">
        <f t="shared" si="15"/>
        <v>111</v>
      </c>
      <c r="AA31" s="1354">
        <f t="shared" si="3"/>
        <v>1</v>
      </c>
      <c r="AB31" s="1354">
        <f t="shared" si="4"/>
        <v>1</v>
      </c>
      <c r="AC31" s="2334">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8"/>
      <c r="M32" s="2293"/>
      <c r="N32" s="2293"/>
      <c r="O32" s="2293"/>
      <c r="P32" s="3656"/>
      <c r="Q32" s="2216">
        <f t="shared" si="11"/>
        <v>111</v>
      </c>
      <c r="R32" s="1351" t="s">
        <v>65</v>
      </c>
      <c r="S32" s="1352">
        <f t="shared" si="12"/>
        <v>100</v>
      </c>
      <c r="T32" s="1351" t="s">
        <v>65</v>
      </c>
      <c r="U32" s="1352">
        <f t="shared" si="13"/>
        <v>100</v>
      </c>
      <c r="V32" s="1351" t="s">
        <v>65</v>
      </c>
      <c r="W32" s="1352">
        <f t="shared" si="14"/>
        <v>100</v>
      </c>
      <c r="X32" s="2218"/>
      <c r="Y32" s="3658"/>
      <c r="Z32" s="2217">
        <f t="shared" si="15"/>
        <v>111</v>
      </c>
      <c r="AA32" s="1354">
        <f t="shared" si="3"/>
        <v>1</v>
      </c>
      <c r="AB32" s="1354">
        <f t="shared" si="4"/>
        <v>1</v>
      </c>
      <c r="AC32" s="2334">
        <f t="shared" si="5"/>
        <v>1</v>
      </c>
    </row>
    <row r="33" spans="1:29" ht="15">
      <c r="A33" s="155" t="s">
        <v>1090</v>
      </c>
      <c r="B33" s="62" t="s">
        <v>1091</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8"/>
      <c r="M33" s="2293"/>
      <c r="N33" s="2293"/>
      <c r="O33" s="2293"/>
      <c r="P33" s="3659" t="s">
        <v>1092</v>
      </c>
      <c r="Q33" s="2216" t="str">
        <f t="shared" si="11"/>
        <v>建筑类型</v>
      </c>
      <c r="R33" s="1351" t="s">
        <v>65</v>
      </c>
      <c r="S33" s="1352">
        <f t="shared" si="12"/>
        <v>100</v>
      </c>
      <c r="T33" s="1351" t="s">
        <v>65</v>
      </c>
      <c r="U33" s="1352">
        <f t="shared" si="13"/>
        <v>100</v>
      </c>
      <c r="V33" s="1351" t="s">
        <v>65</v>
      </c>
      <c r="W33" s="1352">
        <f t="shared" si="14"/>
        <v>100</v>
      </c>
      <c r="X33" s="2218"/>
      <c r="Y33" s="3662" t="s">
        <v>1092</v>
      </c>
      <c r="Z33" s="2217" t="str">
        <f t="shared" si="15"/>
        <v>建筑类型</v>
      </c>
      <c r="AA33" s="1354">
        <f t="shared" si="3"/>
        <v>1</v>
      </c>
      <c r="AB33" s="1354">
        <f t="shared" si="4"/>
        <v>1</v>
      </c>
      <c r="AC33" s="2334">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7"/>
      <c r="M34" s="2299"/>
      <c r="N34" s="2299"/>
      <c r="O34" s="2299"/>
      <c r="P34" s="3660"/>
      <c r="Q34" s="1358" t="str">
        <f t="shared" si="11"/>
        <v>项目建筑规模</v>
      </c>
      <c r="R34" s="1359" t="s">
        <v>65</v>
      </c>
      <c r="S34" s="1360" t="e">
        <f t="shared" si="12"/>
        <v>#N/A</v>
      </c>
      <c r="T34" s="1359" t="s">
        <v>65</v>
      </c>
      <c r="U34" s="1360" t="e">
        <f t="shared" si="13"/>
        <v>#N/A</v>
      </c>
      <c r="V34" s="1359" t="s">
        <v>65</v>
      </c>
      <c r="W34" s="1360" t="e">
        <f t="shared" si="14"/>
        <v>#N/A</v>
      </c>
      <c r="X34" s="1361"/>
      <c r="Y34" s="3662"/>
      <c r="Z34" s="1362" t="str">
        <f t="shared" si="15"/>
        <v>项目建筑规模</v>
      </c>
      <c r="AA34" s="1354" t="e">
        <f t="shared" si="3"/>
        <v>#N/A</v>
      </c>
      <c r="AB34" s="1354" t="e">
        <f t="shared" si="4"/>
        <v>#N/A</v>
      </c>
      <c r="AC34" s="2334"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8"/>
      <c r="M35" s="2293"/>
      <c r="N35" s="2293"/>
      <c r="O35" s="2293"/>
      <c r="P35" s="3660"/>
      <c r="Q35" s="2216" t="str">
        <f t="shared" si="11"/>
        <v>建筑结构</v>
      </c>
      <c r="R35" s="1351" t="s">
        <v>65</v>
      </c>
      <c r="S35" s="1352">
        <f t="shared" si="12"/>
        <v>100</v>
      </c>
      <c r="T35" s="1351" t="s">
        <v>65</v>
      </c>
      <c r="U35" s="1352">
        <f t="shared" si="13"/>
        <v>100</v>
      </c>
      <c r="V35" s="1351" t="s">
        <v>65</v>
      </c>
      <c r="W35" s="1352">
        <f t="shared" si="14"/>
        <v>100</v>
      </c>
      <c r="X35" s="2218"/>
      <c r="Y35" s="3662"/>
      <c r="Z35" s="2217" t="str">
        <f t="shared" si="15"/>
        <v>建筑结构</v>
      </c>
      <c r="AA35" s="1354">
        <f t="shared" si="3"/>
        <v>1</v>
      </c>
      <c r="AB35" s="1354">
        <f t="shared" si="4"/>
        <v>1</v>
      </c>
      <c r="AC35" s="2334">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8"/>
      <c r="M36" s="2293"/>
      <c r="N36" s="2293"/>
      <c r="O36" s="2293"/>
      <c r="P36" s="3660"/>
      <c r="Q36" s="2216" t="str">
        <f t="shared" si="11"/>
        <v>公共部分装修</v>
      </c>
      <c r="R36" s="1351" t="s">
        <v>65</v>
      </c>
      <c r="S36" s="1352">
        <f t="shared" si="12"/>
        <v>100</v>
      </c>
      <c r="T36" s="1351" t="s">
        <v>65</v>
      </c>
      <c r="U36" s="1352">
        <f t="shared" si="13"/>
        <v>100</v>
      </c>
      <c r="V36" s="1351" t="s">
        <v>65</v>
      </c>
      <c r="W36" s="1352">
        <f t="shared" si="14"/>
        <v>100</v>
      </c>
      <c r="X36" s="2218"/>
      <c r="Y36" s="3662"/>
      <c r="Z36" s="2217" t="str">
        <f t="shared" si="15"/>
        <v>公共部分装修</v>
      </c>
      <c r="AA36" s="1354">
        <f t="shared" si="3"/>
        <v>1</v>
      </c>
      <c r="AB36" s="1354">
        <f t="shared" si="4"/>
        <v>1</v>
      </c>
      <c r="AC36" s="2334">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8"/>
      <c r="M37" s="2293"/>
      <c r="N37" s="2293"/>
      <c r="O37" s="2293"/>
      <c r="P37" s="3660"/>
      <c r="Q37" s="2216" t="str">
        <f t="shared" si="11"/>
        <v>成新度</v>
      </c>
      <c r="R37" s="1351" t="s">
        <v>65</v>
      </c>
      <c r="S37" s="1352" t="e">
        <f t="shared" si="12"/>
        <v>#N/A</v>
      </c>
      <c r="T37" s="1351" t="s">
        <v>65</v>
      </c>
      <c r="U37" s="1352" t="e">
        <f t="shared" si="13"/>
        <v>#N/A</v>
      </c>
      <c r="V37" s="1351" t="s">
        <v>65</v>
      </c>
      <c r="W37" s="1352" t="e">
        <f t="shared" si="14"/>
        <v>#N/A</v>
      </c>
      <c r="X37" s="2218"/>
      <c r="Y37" s="3662"/>
      <c r="Z37" s="2217" t="str">
        <f t="shared" si="15"/>
        <v>成新度</v>
      </c>
      <c r="AA37" s="1354" t="e">
        <f t="shared" si="3"/>
        <v>#N/A</v>
      </c>
      <c r="AB37" s="1354" t="e">
        <f t="shared" si="4"/>
        <v>#N/A</v>
      </c>
      <c r="AC37" s="2334"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4"/>
      <c r="M38" s="2256"/>
      <c r="N38" s="2256"/>
      <c r="O38" s="2256"/>
      <c r="P38" s="3660"/>
      <c r="Q38" s="2209" t="str">
        <f t="shared" si="11"/>
        <v>写字楼等级</v>
      </c>
      <c r="R38" s="1341" t="s">
        <v>65</v>
      </c>
      <c r="S38" s="1342">
        <f t="shared" si="12"/>
        <v>100</v>
      </c>
      <c r="T38" s="1341" t="s">
        <v>65</v>
      </c>
      <c r="U38" s="1342">
        <f t="shared" si="13"/>
        <v>100</v>
      </c>
      <c r="V38" s="1341" t="s">
        <v>65</v>
      </c>
      <c r="W38" s="1342">
        <f t="shared" si="14"/>
        <v>100</v>
      </c>
      <c r="X38" s="287"/>
      <c r="Y38" s="3662"/>
      <c r="Z38" s="2208" t="str">
        <f t="shared" si="15"/>
        <v>写字楼等级</v>
      </c>
      <c r="AA38" s="1343">
        <f t="shared" si="3"/>
        <v>1</v>
      </c>
      <c r="AB38" s="1343">
        <f t="shared" si="4"/>
        <v>1</v>
      </c>
      <c r="AC38" s="2333">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8"/>
      <c r="M39" s="2293"/>
      <c r="N39" s="2293"/>
      <c r="O39" s="2293"/>
      <c r="P39" s="3660" t="s">
        <v>70</v>
      </c>
      <c r="Q39" s="2216" t="str">
        <f t="shared" si="11"/>
        <v>物业管理</v>
      </c>
      <c r="R39" s="1351" t="s">
        <v>65</v>
      </c>
      <c r="S39" s="1352">
        <f t="shared" si="12"/>
        <v>100</v>
      </c>
      <c r="T39" s="1351" t="s">
        <v>65</v>
      </c>
      <c r="U39" s="1352">
        <f t="shared" si="13"/>
        <v>100</v>
      </c>
      <c r="V39" s="1351" t="s">
        <v>65</v>
      </c>
      <c r="W39" s="1352">
        <f t="shared" si="14"/>
        <v>100</v>
      </c>
      <c r="X39" s="2218"/>
      <c r="Y39" s="3662" t="s">
        <v>70</v>
      </c>
      <c r="Z39" s="2217" t="str">
        <f t="shared" si="15"/>
        <v>物业管理</v>
      </c>
      <c r="AA39" s="1354">
        <f t="shared" si="3"/>
        <v>1</v>
      </c>
      <c r="AB39" s="1354">
        <f t="shared" si="4"/>
        <v>1</v>
      </c>
      <c r="AC39" s="2334">
        <f t="shared" si="5"/>
        <v>1</v>
      </c>
    </row>
    <row r="40" spans="1:29" ht="15">
      <c r="A40" s="161"/>
      <c r="B40" s="12" t="s">
        <v>2661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8"/>
      <c r="M40" s="2293"/>
      <c r="N40" s="2293"/>
      <c r="O40" s="2293"/>
      <c r="P40" s="3660"/>
      <c r="Q40" s="2216" t="str">
        <f t="shared" si="11"/>
        <v>市政基础设施</v>
      </c>
      <c r="R40" s="1351" t="s">
        <v>65</v>
      </c>
      <c r="S40" s="1352">
        <f t="shared" si="12"/>
        <v>100</v>
      </c>
      <c r="T40" s="1351" t="s">
        <v>65</v>
      </c>
      <c r="U40" s="1352">
        <f t="shared" si="13"/>
        <v>100</v>
      </c>
      <c r="V40" s="1351" t="s">
        <v>65</v>
      </c>
      <c r="W40" s="1352">
        <f t="shared" si="14"/>
        <v>100</v>
      </c>
      <c r="X40" s="2218"/>
      <c r="Y40" s="3662"/>
      <c r="Z40" s="2217" t="str">
        <f t="shared" si="15"/>
        <v>市政基础设施</v>
      </c>
      <c r="AA40" s="1354">
        <f t="shared" si="3"/>
        <v>1</v>
      </c>
      <c r="AB40" s="1354">
        <f t="shared" si="4"/>
        <v>1</v>
      </c>
      <c r="AC40" s="2334">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8"/>
      <c r="M41" s="2293"/>
      <c r="N41" s="2293"/>
      <c r="O41" s="2293"/>
      <c r="P41" s="3660"/>
      <c r="Q41" s="2216" t="str">
        <f t="shared" si="11"/>
        <v>层高</v>
      </c>
      <c r="R41" s="1351" t="s">
        <v>65</v>
      </c>
      <c r="S41" s="1352">
        <f t="shared" si="12"/>
        <v>100</v>
      </c>
      <c r="T41" s="1351" t="s">
        <v>65</v>
      </c>
      <c r="U41" s="1352">
        <f t="shared" si="13"/>
        <v>100</v>
      </c>
      <c r="V41" s="1351" t="s">
        <v>65</v>
      </c>
      <c r="W41" s="1352">
        <f t="shared" si="14"/>
        <v>100</v>
      </c>
      <c r="X41" s="2218"/>
      <c r="Y41" s="3662"/>
      <c r="Z41" s="2217" t="str">
        <f t="shared" si="15"/>
        <v>层高</v>
      </c>
      <c r="AA41" s="1354">
        <f t="shared" si="3"/>
        <v>1</v>
      </c>
      <c r="AB41" s="1354">
        <f t="shared" si="4"/>
        <v>1</v>
      </c>
      <c r="AC41" s="2334">
        <f t="shared" si="5"/>
        <v>1</v>
      </c>
    </row>
    <row r="42" spans="1:29" s="1038" customFormat="1" ht="14.25">
      <c r="A42" s="1042"/>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7"/>
      <c r="M42" s="2299"/>
      <c r="N42" s="2299"/>
      <c r="O42" s="2299"/>
      <c r="P42" s="3660"/>
      <c r="Q42" s="1358" t="str">
        <f t="shared" si="11"/>
        <v>单套建筑面积</v>
      </c>
      <c r="R42" s="1359" t="s">
        <v>65</v>
      </c>
      <c r="S42" s="1360">
        <f t="shared" si="12"/>
        <v>100</v>
      </c>
      <c r="T42" s="1359" t="s">
        <v>65</v>
      </c>
      <c r="U42" s="1360">
        <f t="shared" si="13"/>
        <v>100</v>
      </c>
      <c r="V42" s="1359" t="s">
        <v>65</v>
      </c>
      <c r="W42" s="1360">
        <f t="shared" si="14"/>
        <v>100</v>
      </c>
      <c r="X42" s="1361"/>
      <c r="Y42" s="3662"/>
      <c r="Z42" s="1362" t="str">
        <f t="shared" si="15"/>
        <v>单套建筑面积</v>
      </c>
      <c r="AA42" s="1354">
        <f t="shared" si="3"/>
        <v>1</v>
      </c>
      <c r="AB42" s="1354">
        <f t="shared" si="4"/>
        <v>1</v>
      </c>
      <c r="AC42" s="2334">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8"/>
      <c r="M43" s="2293"/>
      <c r="N43" s="2293"/>
      <c r="O43" s="2293"/>
      <c r="P43" s="3660"/>
      <c r="Q43" s="2216" t="str">
        <f t="shared" si="11"/>
        <v>内部装修</v>
      </c>
      <c r="R43" s="1351" t="s">
        <v>65</v>
      </c>
      <c r="S43" s="1352">
        <f t="shared" si="12"/>
        <v>100</v>
      </c>
      <c r="T43" s="1351" t="s">
        <v>65</v>
      </c>
      <c r="U43" s="1352">
        <f t="shared" si="13"/>
        <v>100</v>
      </c>
      <c r="V43" s="1351" t="s">
        <v>65</v>
      </c>
      <c r="W43" s="1352">
        <f t="shared" si="14"/>
        <v>100</v>
      </c>
      <c r="X43" s="2218"/>
      <c r="Y43" s="3662"/>
      <c r="Z43" s="2217" t="str">
        <f t="shared" si="15"/>
        <v>内部装修</v>
      </c>
      <c r="AA43" s="1354">
        <f t="shared" si="3"/>
        <v>1</v>
      </c>
      <c r="AB43" s="1354">
        <f t="shared" si="4"/>
        <v>1</v>
      </c>
      <c r="AC43" s="2334">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8"/>
      <c r="M44" s="2293"/>
      <c r="N44" s="2293"/>
      <c r="O44" s="2293"/>
      <c r="P44" s="3660"/>
      <c r="Q44" s="2216" t="str">
        <f t="shared" si="11"/>
        <v>内部装修维护情况</v>
      </c>
      <c r="R44" s="1351" t="s">
        <v>65</v>
      </c>
      <c r="S44" s="1352">
        <f t="shared" si="12"/>
        <v>100</v>
      </c>
      <c r="T44" s="1351" t="s">
        <v>65</v>
      </c>
      <c r="U44" s="1352">
        <f t="shared" si="13"/>
        <v>100</v>
      </c>
      <c r="V44" s="1351" t="s">
        <v>65</v>
      </c>
      <c r="W44" s="1352">
        <f t="shared" si="14"/>
        <v>100</v>
      </c>
      <c r="X44" s="2218"/>
      <c r="Y44" s="3662"/>
      <c r="Z44" s="2217" t="str">
        <f t="shared" si="15"/>
        <v>内部装修维护情况</v>
      </c>
      <c r="AA44" s="1354">
        <f t="shared" si="3"/>
        <v>1</v>
      </c>
      <c r="AB44" s="1354">
        <f t="shared" si="4"/>
        <v>1</v>
      </c>
      <c r="AC44" s="2334">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4"/>
      <c r="M45" s="2256"/>
      <c r="N45" s="2256"/>
      <c r="O45" s="2256"/>
      <c r="P45" s="3660"/>
      <c r="Q45" s="2209">
        <f t="shared" si="11"/>
        <v>111</v>
      </c>
      <c r="R45" s="1341" t="s">
        <v>65</v>
      </c>
      <c r="S45" s="1342">
        <f t="shared" si="12"/>
        <v>100</v>
      </c>
      <c r="T45" s="1341" t="s">
        <v>65</v>
      </c>
      <c r="U45" s="1342">
        <f t="shared" si="13"/>
        <v>100</v>
      </c>
      <c r="V45" s="1341" t="s">
        <v>65</v>
      </c>
      <c r="W45" s="1342">
        <f t="shared" si="14"/>
        <v>100</v>
      </c>
      <c r="X45" s="287"/>
      <c r="Y45" s="3662"/>
      <c r="Z45" s="2208">
        <f t="shared" si="15"/>
        <v>111</v>
      </c>
      <c r="AA45" s="1343">
        <f t="shared" si="3"/>
        <v>1</v>
      </c>
      <c r="AB45" s="1343">
        <f t="shared" si="4"/>
        <v>1</v>
      </c>
      <c r="AC45" s="2333">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8"/>
      <c r="M46" s="2293"/>
      <c r="N46" s="2293"/>
      <c r="O46" s="2293"/>
      <c r="P46" s="3660"/>
      <c r="Q46" s="2216">
        <f t="shared" si="11"/>
        <v>111</v>
      </c>
      <c r="R46" s="1351" t="s">
        <v>65</v>
      </c>
      <c r="S46" s="1352">
        <f t="shared" si="12"/>
        <v>100</v>
      </c>
      <c r="T46" s="1351" t="s">
        <v>65</v>
      </c>
      <c r="U46" s="1352">
        <f t="shared" si="13"/>
        <v>100</v>
      </c>
      <c r="V46" s="1351" t="s">
        <v>65</v>
      </c>
      <c r="W46" s="1352">
        <f t="shared" si="14"/>
        <v>100</v>
      </c>
      <c r="X46" s="2218"/>
      <c r="Y46" s="3662"/>
      <c r="Z46" s="2217">
        <f t="shared" si="15"/>
        <v>111</v>
      </c>
      <c r="AA46" s="1354">
        <f t="shared" si="3"/>
        <v>1</v>
      </c>
      <c r="AB46" s="1354">
        <f t="shared" si="4"/>
        <v>1</v>
      </c>
      <c r="AC46" s="2334">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8"/>
      <c r="M47" s="2293"/>
      <c r="N47" s="2293"/>
      <c r="O47" s="2293"/>
      <c r="P47" s="3661"/>
      <c r="Q47" s="2216">
        <f t="shared" si="11"/>
        <v>111</v>
      </c>
      <c r="R47" s="1351" t="s">
        <v>65</v>
      </c>
      <c r="S47" s="1352">
        <f t="shared" si="12"/>
        <v>100</v>
      </c>
      <c r="T47" s="1351" t="s">
        <v>65</v>
      </c>
      <c r="U47" s="1352">
        <f t="shared" si="13"/>
        <v>100</v>
      </c>
      <c r="V47" s="1351" t="s">
        <v>65</v>
      </c>
      <c r="W47" s="1352">
        <f t="shared" si="14"/>
        <v>100</v>
      </c>
      <c r="X47" s="2218"/>
      <c r="Y47" s="3663"/>
      <c r="Z47" s="2217">
        <f t="shared" si="15"/>
        <v>111</v>
      </c>
      <c r="AA47" s="1354">
        <f t="shared" si="3"/>
        <v>1</v>
      </c>
      <c r="AB47" s="1354">
        <f t="shared" si="4"/>
        <v>1</v>
      </c>
      <c r="AC47" s="2334">
        <f t="shared" si="5"/>
        <v>1</v>
      </c>
    </row>
    <row r="48" spans="1:29" ht="15">
      <c r="A48" s="163" t="s">
        <v>1035</v>
      </c>
      <c r="B48" s="164"/>
      <c r="C48" s="2833" t="s">
        <v>23</v>
      </c>
      <c r="D48" s="2834"/>
      <c r="E48" s="2835"/>
      <c r="F48" s="2836"/>
      <c r="G48" s="2837"/>
      <c r="H48" s="2838"/>
      <c r="I48" s="2835"/>
      <c r="J48" s="827"/>
      <c r="K48" s="1392"/>
      <c r="L48" s="2300"/>
      <c r="M48" s="2293"/>
      <c r="N48" s="2293"/>
      <c r="O48" s="2293"/>
      <c r="P48" s="3667" t="str">
        <f>A48</f>
        <v>成交单价（元/平方米）</v>
      </c>
      <c r="Q48" s="3650"/>
      <c r="R48" s="3651">
        <f>E48</f>
        <v>0</v>
      </c>
      <c r="S48" s="3651"/>
      <c r="T48" s="3651">
        <f>G48</f>
        <v>0</v>
      </c>
      <c r="U48" s="3651"/>
      <c r="V48" s="3651">
        <f>I48</f>
        <v>0</v>
      </c>
      <c r="W48" s="3651"/>
      <c r="X48" s="156"/>
      <c r="Y48" s="1365"/>
      <c r="Z48" s="156"/>
      <c r="AA48" s="156"/>
      <c r="AB48" s="156"/>
      <c r="AC48" s="209"/>
    </row>
    <row r="49" spans="1:29" ht="15.75" thickBot="1">
      <c r="A49" s="165" t="s">
        <v>1036</v>
      </c>
      <c r="B49" s="166"/>
      <c r="C49" s="2839" t="e">
        <f>R50</f>
        <v>#DIV/0!</v>
      </c>
      <c r="D49" s="2840"/>
      <c r="E49" s="2841" t="e">
        <f>R49</f>
        <v>#DIV/0!</v>
      </c>
      <c r="F49" s="2841"/>
      <c r="G49" s="2839" t="e">
        <f>T49</f>
        <v>#DIV/0!</v>
      </c>
      <c r="H49" s="2840"/>
      <c r="I49" s="2841" t="e">
        <f>V49</f>
        <v>#DIV/0!</v>
      </c>
      <c r="J49" s="831"/>
      <c r="K49" s="1393"/>
      <c r="L49" s="2300"/>
      <c r="M49" s="2293"/>
      <c r="N49" s="2293"/>
      <c r="O49" s="2293"/>
      <c r="P49" s="3667"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156"/>
      <c r="Y49" s="156"/>
      <c r="Z49" s="156"/>
      <c r="AA49" s="156"/>
      <c r="AB49" s="156"/>
      <c r="AC49" s="209"/>
    </row>
    <row r="50" spans="1:29" ht="15.75" thickBot="1">
      <c r="A50" s="115" t="s">
        <v>3025</v>
      </c>
      <c r="B50" s="116"/>
      <c r="C50" s="2843" t="e">
        <f>R50</f>
        <v>#DIV/0!</v>
      </c>
      <c r="D50" s="2843"/>
      <c r="E50" s="2843"/>
      <c r="F50" s="2843"/>
      <c r="G50" s="2843"/>
      <c r="H50" s="2843"/>
      <c r="I50" s="2843"/>
      <c r="J50" s="836"/>
      <c r="K50" s="1394"/>
      <c r="L50" s="2300"/>
      <c r="M50" s="2293"/>
      <c r="N50" s="2293"/>
      <c r="O50" s="2293"/>
      <c r="P50" s="3745" t="str">
        <f>A50</f>
        <v>估价对象XX用房的比较价值（楼面单价，元/平方米）</v>
      </c>
      <c r="Q50" s="3746"/>
      <c r="R50" s="3747" t="e">
        <f>IF(F1="售价",ROUND(AVERAGE(R49:V49),0),ROUND(AVERAGE(R49:V49),1))</f>
        <v>#DIV/0!</v>
      </c>
      <c r="S50" s="3747"/>
      <c r="T50" s="3747"/>
      <c r="U50" s="3747"/>
      <c r="V50" s="3747"/>
      <c r="W50" s="3747"/>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9" t="s">
        <v>1005</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2"/>
      <c r="L53" s="2303"/>
      <c r="M53" s="2301"/>
      <c r="N53" s="2301"/>
      <c r="O53" s="2301"/>
    </row>
    <row r="54" spans="1:29" ht="13.5" customHeight="1">
      <c r="A54" s="2301"/>
      <c r="B54" s="2301"/>
      <c r="C54" s="839" t="s">
        <v>1006</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2"/>
      <c r="L54" s="2303"/>
      <c r="M54" s="2301"/>
      <c r="N54" s="2301"/>
      <c r="O54" s="2301"/>
    </row>
    <row r="55" spans="1:29" s="119" customFormat="1" ht="13.5" customHeight="1">
      <c r="A55" s="2306"/>
      <c r="B55" s="2306"/>
      <c r="C55" s="839" t="s">
        <v>1007</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1" t="s">
        <v>1037</v>
      </c>
      <c r="B58" s="1364"/>
      <c r="C58" s="1372"/>
      <c r="D58" s="1372"/>
      <c r="E58" s="1372"/>
      <c r="F58" s="1373"/>
      <c r="G58" s="1373"/>
      <c r="H58" s="1372"/>
      <c r="I58" s="1372"/>
      <c r="J58" s="1372"/>
      <c r="K58" s="1374"/>
      <c r="L58" s="2308"/>
      <c r="M58" s="2309"/>
      <c r="N58" s="2309"/>
      <c r="O58" s="2309"/>
      <c r="P58" s="2323"/>
      <c r="Q58" s="121"/>
    </row>
    <row r="59" spans="1:29" s="850" customFormat="1" ht="15">
      <c r="A59" s="847" t="s">
        <v>2800</v>
      </c>
      <c r="B59" s="848"/>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4"/>
      <c r="B60" s="1045"/>
      <c r="C60" s="3040">
        <v>100</v>
      </c>
      <c r="D60" s="854"/>
      <c r="E60" s="854"/>
      <c r="F60" s="854"/>
      <c r="G60" s="854"/>
      <c r="H60" s="854"/>
      <c r="I60" s="854"/>
      <c r="J60" s="854"/>
      <c r="K60" s="854"/>
      <c r="L60" s="854"/>
      <c r="M60" s="855"/>
      <c r="N60" s="854"/>
      <c r="O60" s="855"/>
      <c r="P60" s="2324"/>
    </row>
    <row r="61" spans="1:29" s="40" customFormat="1" ht="15" thickBot="1">
      <c r="A61" s="1046" t="s">
        <v>1038</v>
      </c>
      <c r="B61" s="1047"/>
      <c r="C61" s="859"/>
      <c r="D61" s="860"/>
      <c r="E61" s="860"/>
      <c r="F61" s="860"/>
      <c r="G61" s="860"/>
      <c r="H61" s="860"/>
      <c r="I61" s="860"/>
      <c r="J61" s="860"/>
      <c r="K61" s="860"/>
      <c r="L61" s="860"/>
      <c r="M61" s="861"/>
      <c r="N61" s="860"/>
      <c r="O61" s="861"/>
      <c r="P61" s="2324"/>
      <c r="Q61" s="121"/>
    </row>
    <row r="62" spans="1:29" s="40" customFormat="1">
      <c r="A62" s="1048" t="s">
        <v>1039</v>
      </c>
      <c r="B62" s="1045"/>
      <c r="C62" s="1049" t="s">
        <v>1040</v>
      </c>
      <c r="D62" s="140"/>
      <c r="E62" s="140"/>
      <c r="F62" s="140"/>
      <c r="G62" s="140"/>
      <c r="H62" s="140"/>
      <c r="I62" s="140"/>
      <c r="J62" s="140"/>
      <c r="K62" s="140"/>
      <c r="L62" s="141"/>
      <c r="M62" s="1050"/>
      <c r="N62" s="1387"/>
      <c r="O62" s="1387"/>
      <c r="P62" s="2325"/>
      <c r="Q62" s="121"/>
    </row>
    <row r="63" spans="1:29" s="40" customFormat="1" ht="15" thickBot="1">
      <c r="A63" s="1048"/>
      <c r="B63" s="1045"/>
      <c r="C63" s="853">
        <v>100</v>
      </c>
      <c r="D63" s="854"/>
      <c r="E63" s="854"/>
      <c r="F63" s="854"/>
      <c r="G63" s="854"/>
      <c r="H63" s="854"/>
      <c r="I63" s="854"/>
      <c r="J63" s="854"/>
      <c r="K63" s="854"/>
      <c r="L63" s="854"/>
      <c r="M63" s="856"/>
      <c r="N63" s="1387"/>
      <c r="O63" s="1387"/>
      <c r="P63" s="2324"/>
      <c r="Q63" s="121"/>
    </row>
    <row r="64" spans="1:29">
      <c r="A64" s="172" t="s">
        <v>1041</v>
      </c>
      <c r="B64" s="286" t="s">
        <v>1042</v>
      </c>
      <c r="C64" s="176">
        <f>C9</f>
        <v>0</v>
      </c>
      <c r="D64" s="122"/>
      <c r="E64" s="122"/>
      <c r="F64" s="122"/>
      <c r="G64" s="122"/>
      <c r="H64" s="122"/>
      <c r="I64" s="122"/>
      <c r="J64" s="122"/>
      <c r="K64" s="123"/>
      <c r="L64" s="124"/>
      <c r="M64" s="125"/>
      <c r="N64" s="1388"/>
      <c r="O64" s="1388"/>
      <c r="P64" s="2326"/>
      <c r="Q64" s="121"/>
    </row>
    <row r="65" spans="1:17" ht="15" thickBot="1">
      <c r="A65" s="173"/>
      <c r="B65" s="1052"/>
      <c r="C65" s="878">
        <v>100</v>
      </c>
      <c r="D65" s="878"/>
      <c r="E65" s="878"/>
      <c r="F65" s="878"/>
      <c r="G65" s="878"/>
      <c r="H65" s="878"/>
      <c r="I65" s="878"/>
      <c r="J65" s="878"/>
      <c r="K65" s="878"/>
      <c r="L65" s="878"/>
      <c r="M65" s="879"/>
      <c r="N65" s="1389"/>
      <c r="O65" s="1389"/>
      <c r="P65" s="2326"/>
      <c r="Q65" s="121"/>
    </row>
    <row r="66" spans="1:17" ht="27.75" thickTop="1">
      <c r="A66" s="173"/>
      <c r="B66" s="1053" t="s">
        <v>1043</v>
      </c>
      <c r="C66" s="881" t="s">
        <v>1008</v>
      </c>
      <c r="D66" s="881" t="s">
        <v>1009</v>
      </c>
      <c r="E66" s="881" t="s">
        <v>1010</v>
      </c>
      <c r="F66" s="881" t="s">
        <v>1011</v>
      </c>
      <c r="G66" s="881" t="s">
        <v>1012</v>
      </c>
      <c r="H66" s="881" t="s">
        <v>1013</v>
      </c>
      <c r="I66" s="881" t="s">
        <v>1014</v>
      </c>
      <c r="J66" s="881"/>
      <c r="K66" s="882"/>
      <c r="L66" s="883"/>
      <c r="M66" s="884"/>
      <c r="N66" s="1388"/>
      <c r="O66" s="1388"/>
      <c r="P66" s="2326"/>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6"/>
      <c r="Q67" s="121"/>
    </row>
    <row r="68" spans="1:17" ht="15" thickTop="1">
      <c r="A68" s="173"/>
      <c r="B68" s="1055" t="s">
        <v>1044</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6"/>
      <c r="Q68" s="121"/>
    </row>
    <row r="69" spans="1:17" ht="14.25">
      <c r="A69" s="173"/>
      <c r="B69" s="1056"/>
      <c r="C69" s="891"/>
      <c r="D69" s="891"/>
      <c r="E69" s="891"/>
      <c r="F69" s="891"/>
      <c r="G69" s="891"/>
      <c r="H69" s="891"/>
      <c r="I69" s="891"/>
      <c r="J69" s="891"/>
      <c r="K69" s="892"/>
      <c r="L69" s="893"/>
      <c r="M69" s="894"/>
      <c r="N69" s="1388"/>
      <c r="O69" s="1388"/>
      <c r="P69" s="2326"/>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6"/>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7"/>
      <c r="Q71" s="1062"/>
    </row>
    <row r="72" spans="1:17" s="1038" customFormat="1" ht="15" thickBot="1">
      <c r="A72" s="1057"/>
      <c r="B72" s="1054"/>
      <c r="C72" s="902"/>
      <c r="D72" s="878"/>
      <c r="E72" s="878"/>
      <c r="F72" s="878"/>
      <c r="G72" s="878"/>
      <c r="H72" s="878"/>
      <c r="I72" s="878"/>
      <c r="J72" s="878"/>
      <c r="K72" s="878"/>
      <c r="L72" s="878"/>
      <c r="M72" s="879"/>
      <c r="N72" s="1389"/>
      <c r="O72" s="1389"/>
      <c r="P72" s="2327"/>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8"/>
      <c r="Q73" s="1064"/>
    </row>
    <row r="74" spans="1:17" s="1038" customFormat="1" ht="15" thickBot="1">
      <c r="A74" s="1057"/>
      <c r="B74" s="1054"/>
      <c r="C74" s="902"/>
      <c r="D74" s="902"/>
      <c r="E74" s="902"/>
      <c r="F74" s="902"/>
      <c r="G74" s="902"/>
      <c r="H74" s="904"/>
      <c r="I74" s="904"/>
      <c r="J74" s="904"/>
      <c r="K74" s="904"/>
      <c r="L74" s="904"/>
      <c r="M74" s="905"/>
      <c r="N74" s="1390"/>
      <c r="O74" s="1390"/>
      <c r="P74" s="2327"/>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9"/>
      <c r="Q75" s="1062"/>
    </row>
    <row r="76" spans="1:17" s="1038" customFormat="1" ht="15" thickBot="1">
      <c r="A76" s="1069"/>
      <c r="B76" s="1070"/>
      <c r="C76" s="912"/>
      <c r="D76" s="912"/>
      <c r="E76" s="912"/>
      <c r="F76" s="912"/>
      <c r="G76" s="912"/>
      <c r="H76" s="913"/>
      <c r="I76" s="913"/>
      <c r="J76" s="913"/>
      <c r="K76" s="913"/>
      <c r="L76" s="913"/>
      <c r="M76" s="914"/>
      <c r="N76" s="1390"/>
      <c r="O76" s="1390"/>
      <c r="P76" s="2327"/>
      <c r="Q76" s="1062"/>
    </row>
    <row r="77" spans="1:17" ht="14.25">
      <c r="A77" s="172" t="s">
        <v>1045</v>
      </c>
      <c r="B77" s="286" t="s">
        <v>1095</v>
      </c>
      <c r="C77" s="915" t="s">
        <v>1015</v>
      </c>
      <c r="D77" s="915" t="s">
        <v>1016</v>
      </c>
      <c r="E77" s="915" t="s">
        <v>1017</v>
      </c>
      <c r="F77" s="915" t="s">
        <v>1018</v>
      </c>
      <c r="G77" s="915" t="s">
        <v>1019</v>
      </c>
      <c r="H77" s="871"/>
      <c r="I77" s="871"/>
      <c r="J77" s="871"/>
      <c r="K77" s="916"/>
      <c r="L77" s="917"/>
      <c r="M77" s="918"/>
      <c r="N77" s="1388"/>
      <c r="O77" s="1388"/>
      <c r="P77" s="2330"/>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6"/>
      <c r="Q78" s="121"/>
    </row>
    <row r="79" spans="1:17" ht="15" thickTop="1">
      <c r="A79" s="173"/>
      <c r="B79" s="1053" t="s">
        <v>1052</v>
      </c>
      <c r="C79" s="920" t="s">
        <v>1015</v>
      </c>
      <c r="D79" s="920" t="s">
        <v>1016</v>
      </c>
      <c r="E79" s="920" t="s">
        <v>1017</v>
      </c>
      <c r="F79" s="920" t="s">
        <v>1104</v>
      </c>
      <c r="G79" s="920" t="s">
        <v>1019</v>
      </c>
      <c r="H79" s="881"/>
      <c r="I79" s="881"/>
      <c r="J79" s="881"/>
      <c r="K79" s="882"/>
      <c r="L79" s="883"/>
      <c r="M79" s="884"/>
      <c r="N79" s="1388"/>
      <c r="O79" s="1388"/>
      <c r="P79" s="2326"/>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6"/>
      <c r="Q80" s="121"/>
    </row>
    <row r="81" spans="1:17" ht="15" thickTop="1">
      <c r="A81" s="173"/>
      <c r="B81" s="1053" t="s">
        <v>31</v>
      </c>
      <c r="C81" s="920" t="s">
        <v>1015</v>
      </c>
      <c r="D81" s="920" t="s">
        <v>1016</v>
      </c>
      <c r="E81" s="920" t="s">
        <v>1017</v>
      </c>
      <c r="F81" s="920" t="s">
        <v>1018</v>
      </c>
      <c r="G81" s="920" t="s">
        <v>1019</v>
      </c>
      <c r="H81" s="881"/>
      <c r="I81" s="881"/>
      <c r="J81" s="881"/>
      <c r="K81" s="882"/>
      <c r="L81" s="883"/>
      <c r="M81" s="884"/>
      <c r="N81" s="1388"/>
      <c r="O81" s="1388"/>
      <c r="P81" s="2326"/>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6"/>
      <c r="Q82" s="121"/>
    </row>
    <row r="83" spans="1:17" ht="15" thickTop="1">
      <c r="A83" s="173"/>
      <c r="B83" s="1055" t="s">
        <v>2670</v>
      </c>
      <c r="C83" s="213" t="s">
        <v>2663</v>
      </c>
      <c r="D83" s="213" t="s">
        <v>2664</v>
      </c>
      <c r="E83" s="213" t="s">
        <v>2665</v>
      </c>
      <c r="F83" s="213" t="s">
        <v>2666</v>
      </c>
      <c r="G83" s="213" t="s">
        <v>2667</v>
      </c>
      <c r="H83" s="881"/>
      <c r="I83" s="881"/>
      <c r="J83" s="881"/>
      <c r="K83" s="881"/>
      <c r="L83" s="881"/>
      <c r="M83" s="2762"/>
      <c r="N83" s="1389"/>
      <c r="O83" s="1389"/>
      <c r="P83" s="2326"/>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6"/>
      <c r="Q84" s="121"/>
    </row>
    <row r="85" spans="1:17" ht="15" thickTop="1">
      <c r="A85" s="173"/>
      <c r="B85" s="1053" t="s">
        <v>1096</v>
      </c>
      <c r="C85" s="920" t="s">
        <v>1015</v>
      </c>
      <c r="D85" s="920" t="s">
        <v>1016</v>
      </c>
      <c r="E85" s="920" t="s">
        <v>1017</v>
      </c>
      <c r="F85" s="920" t="s">
        <v>1018</v>
      </c>
      <c r="G85" s="920" t="s">
        <v>1019</v>
      </c>
      <c r="H85" s="881"/>
      <c r="I85" s="881"/>
      <c r="J85" s="881"/>
      <c r="K85" s="882"/>
      <c r="L85" s="883"/>
      <c r="M85" s="884"/>
      <c r="N85" s="1388"/>
      <c r="O85" s="1388"/>
      <c r="P85" s="2326"/>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6"/>
      <c r="Q86" s="121"/>
    </row>
    <row r="87" spans="1:17" s="40" customFormat="1" ht="27.75" thickTop="1">
      <c r="A87" s="1071"/>
      <c r="B87" s="1053" t="s">
        <v>1097</v>
      </c>
      <c r="C87" s="139"/>
      <c r="D87" s="139"/>
      <c r="E87" s="139"/>
      <c r="F87" s="139"/>
      <c r="G87" s="139"/>
      <c r="H87" s="139"/>
      <c r="I87" s="139"/>
      <c r="J87" s="139"/>
      <c r="K87" s="139"/>
      <c r="L87" s="1383"/>
      <c r="M87" s="1384"/>
      <c r="N87" s="1387"/>
      <c r="O87" s="1387"/>
      <c r="P87" s="2326"/>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6"/>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6"/>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6"/>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7"/>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7"/>
      <c r="Q92" s="1062"/>
    </row>
    <row r="93" spans="1:17" ht="14.25" thickTop="1">
      <c r="A93" s="173"/>
      <c r="B93" s="1053">
        <f>B29</f>
        <v>111</v>
      </c>
      <c r="C93" s="139"/>
      <c r="D93" s="139"/>
      <c r="E93" s="139"/>
      <c r="F93" s="139"/>
      <c r="G93" s="139"/>
      <c r="H93" s="139"/>
      <c r="I93" s="139"/>
      <c r="J93" s="139"/>
      <c r="K93" s="139"/>
      <c r="L93" s="1383"/>
      <c r="M93" s="1384"/>
      <c r="N93" s="1388"/>
      <c r="O93" s="1388"/>
      <c r="P93" s="2326"/>
      <c r="Q93" s="121"/>
    </row>
    <row r="94" spans="1:17" ht="15" thickBot="1">
      <c r="A94" s="173"/>
      <c r="B94" s="1054"/>
      <c r="C94" s="902"/>
      <c r="D94" s="878"/>
      <c r="E94" s="878"/>
      <c r="F94" s="878"/>
      <c r="G94" s="878"/>
      <c r="H94" s="878"/>
      <c r="I94" s="878"/>
      <c r="J94" s="878"/>
      <c r="K94" s="878"/>
      <c r="L94" s="878"/>
      <c r="M94" s="879"/>
      <c r="N94" s="1389"/>
      <c r="O94" s="1389"/>
      <c r="P94" s="2326"/>
      <c r="Q94" s="121"/>
    </row>
    <row r="95" spans="1:17" ht="14.25" thickTop="1">
      <c r="A95" s="173"/>
      <c r="B95" s="1053">
        <f>B30</f>
        <v>111</v>
      </c>
      <c r="C95" s="139"/>
      <c r="D95" s="139"/>
      <c r="E95" s="139"/>
      <c r="F95" s="139"/>
      <c r="G95" s="131"/>
      <c r="H95" s="131"/>
      <c r="I95" s="131"/>
      <c r="J95" s="131"/>
      <c r="K95" s="132"/>
      <c r="L95" s="133"/>
      <c r="M95" s="134"/>
      <c r="N95" s="1388"/>
      <c r="O95" s="1388"/>
      <c r="P95" s="2326"/>
      <c r="Q95" s="121"/>
    </row>
    <row r="96" spans="1:17" ht="15" thickBot="1">
      <c r="A96" s="173"/>
      <c r="B96" s="1054"/>
      <c r="C96" s="902"/>
      <c r="D96" s="902"/>
      <c r="E96" s="902"/>
      <c r="F96" s="902"/>
      <c r="G96" s="878"/>
      <c r="H96" s="878"/>
      <c r="I96" s="878"/>
      <c r="J96" s="878"/>
      <c r="K96" s="878"/>
      <c r="L96" s="878"/>
      <c r="M96" s="879"/>
      <c r="N96" s="1389"/>
      <c r="O96" s="1389"/>
      <c r="P96" s="2326"/>
      <c r="Q96" s="121"/>
    </row>
    <row r="97" spans="1:17" ht="14.25" thickTop="1">
      <c r="A97" s="173"/>
      <c r="B97" s="1053">
        <f>B31</f>
        <v>111</v>
      </c>
      <c r="C97" s="139"/>
      <c r="D97" s="139"/>
      <c r="E97" s="139"/>
      <c r="F97" s="139"/>
      <c r="G97" s="131"/>
      <c r="H97" s="131"/>
      <c r="I97" s="131"/>
      <c r="J97" s="131"/>
      <c r="K97" s="132"/>
      <c r="L97" s="133"/>
      <c r="M97" s="134"/>
      <c r="N97" s="1388"/>
      <c r="O97" s="1388"/>
      <c r="P97" s="2326"/>
      <c r="Q97" s="121"/>
    </row>
    <row r="98" spans="1:17" ht="15" thickBot="1">
      <c r="A98" s="173"/>
      <c r="B98" s="1054"/>
      <c r="C98" s="902"/>
      <c r="D98" s="878"/>
      <c r="E98" s="878"/>
      <c r="F98" s="878"/>
      <c r="G98" s="878"/>
      <c r="H98" s="878"/>
      <c r="I98" s="878"/>
      <c r="J98" s="878"/>
      <c r="K98" s="878"/>
      <c r="L98" s="878"/>
      <c r="M98" s="879"/>
      <c r="N98" s="1389"/>
      <c r="O98" s="1389"/>
      <c r="P98" s="2326"/>
      <c r="Q98" s="121"/>
    </row>
    <row r="99" spans="1:17" ht="14.25" thickTop="1">
      <c r="A99" s="173"/>
      <c r="B99" s="1055">
        <f>B32</f>
        <v>111</v>
      </c>
      <c r="C99" s="140"/>
      <c r="D99" s="140"/>
      <c r="E99" s="140"/>
      <c r="F99" s="140"/>
      <c r="G99" s="135"/>
      <c r="H99" s="135"/>
      <c r="I99" s="135"/>
      <c r="J99" s="135"/>
      <c r="K99" s="136"/>
      <c r="L99" s="137"/>
      <c r="M99" s="138"/>
      <c r="N99" s="1388"/>
      <c r="O99" s="1388"/>
      <c r="P99" s="2326"/>
      <c r="Q99" s="121"/>
    </row>
    <row r="100" spans="1:17" ht="15" thickBot="1">
      <c r="A100" s="174"/>
      <c r="B100" s="1070"/>
      <c r="C100" s="912"/>
      <c r="D100" s="912"/>
      <c r="E100" s="912"/>
      <c r="F100" s="912"/>
      <c r="G100" s="933"/>
      <c r="H100" s="933"/>
      <c r="I100" s="933"/>
      <c r="J100" s="933"/>
      <c r="K100" s="933"/>
      <c r="L100" s="933"/>
      <c r="M100" s="934"/>
      <c r="N100" s="1389"/>
      <c r="O100" s="1389"/>
      <c r="P100" s="2326"/>
      <c r="Q100" s="121"/>
    </row>
    <row r="101" spans="1:17">
      <c r="A101" s="172" t="s">
        <v>1055</v>
      </c>
      <c r="B101" s="286" t="s">
        <v>1098</v>
      </c>
      <c r="C101" s="122"/>
      <c r="D101" s="122"/>
      <c r="E101" s="122"/>
      <c r="F101" s="122"/>
      <c r="G101" s="122"/>
      <c r="H101" s="122"/>
      <c r="I101" s="122"/>
      <c r="J101" s="122"/>
      <c r="K101" s="123"/>
      <c r="L101" s="124"/>
      <c r="M101" s="125"/>
      <c r="N101" s="1388"/>
      <c r="O101" s="1388"/>
      <c r="P101" s="2326"/>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6"/>
      <c r="Q102" s="121"/>
    </row>
    <row r="103" spans="1:17" ht="15" thickTop="1">
      <c r="A103" s="173"/>
      <c r="B103" s="1053" t="s">
        <v>1057</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6"/>
      <c r="Q103" s="121"/>
    </row>
    <row r="104" spans="1:17" s="1038" customFormat="1" ht="14.25">
      <c r="A104" s="1072"/>
      <c r="B104" s="1073"/>
      <c r="C104" s="937"/>
      <c r="D104" s="937"/>
      <c r="E104" s="937"/>
      <c r="F104" s="937"/>
      <c r="G104" s="937"/>
      <c r="H104" s="937"/>
      <c r="I104" s="937"/>
      <c r="J104" s="938"/>
      <c r="K104" s="938"/>
      <c r="L104" s="939"/>
      <c r="M104" s="940"/>
      <c r="N104" s="1390"/>
      <c r="O104" s="1390"/>
      <c r="P104" s="2327"/>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7"/>
      <c r="Q105" s="1062"/>
    </row>
    <row r="106" spans="1:17" ht="14.25" thickTop="1">
      <c r="A106" s="175"/>
      <c r="B106" s="1053" t="s">
        <v>1058</v>
      </c>
      <c r="C106" s="139"/>
      <c r="D106" s="139"/>
      <c r="E106" s="131"/>
      <c r="F106" s="131"/>
      <c r="G106" s="131"/>
      <c r="H106" s="131"/>
      <c r="I106" s="131"/>
      <c r="J106" s="131"/>
      <c r="K106" s="132"/>
      <c r="L106" s="133"/>
      <c r="M106" s="134"/>
      <c r="N106" s="1388"/>
      <c r="O106" s="1388"/>
      <c r="P106" s="2326"/>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6"/>
      <c r="Q107" s="121"/>
    </row>
    <row r="108" spans="1:17" ht="14.25" thickTop="1">
      <c r="A108" s="175"/>
      <c r="B108" s="1053" t="s">
        <v>1059</v>
      </c>
      <c r="C108" s="139"/>
      <c r="D108" s="139"/>
      <c r="E108" s="139"/>
      <c r="F108" s="131"/>
      <c r="G108" s="131"/>
      <c r="H108" s="131"/>
      <c r="I108" s="131"/>
      <c r="J108" s="131"/>
      <c r="K108" s="132"/>
      <c r="L108" s="133"/>
      <c r="M108" s="134"/>
      <c r="N108" s="1388"/>
      <c r="O108" s="1388"/>
      <c r="P108" s="2326"/>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6"/>
      <c r="Q109" s="121"/>
    </row>
    <row r="110" spans="1:17" ht="15" thickTop="1">
      <c r="A110" s="175"/>
      <c r="B110" s="1053" t="s">
        <v>1060</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6"/>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6"/>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6"/>
      <c r="Q112" s="121"/>
    </row>
    <row r="113" spans="1:17" s="1038" customFormat="1" ht="14.25" thickTop="1">
      <c r="A113" s="1072"/>
      <c r="B113" s="1053" t="s">
        <v>1099</v>
      </c>
      <c r="C113" s="139"/>
      <c r="D113" s="139"/>
      <c r="E113" s="139"/>
      <c r="F113" s="139"/>
      <c r="G113" s="139"/>
      <c r="H113" s="131"/>
      <c r="I113" s="131"/>
      <c r="J113" s="131"/>
      <c r="K113" s="132"/>
      <c r="L113" s="133"/>
      <c r="M113" s="134"/>
      <c r="N113" s="1390"/>
      <c r="O113" s="1390"/>
      <c r="P113" s="2327"/>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7"/>
      <c r="Q114" s="1062"/>
    </row>
    <row r="115" spans="1:17" ht="14.25" thickTop="1">
      <c r="A115" s="175"/>
      <c r="B115" s="1053" t="s">
        <v>1100</v>
      </c>
      <c r="C115" s="139"/>
      <c r="D115" s="139"/>
      <c r="E115" s="131"/>
      <c r="F115" s="131"/>
      <c r="G115" s="131"/>
      <c r="H115" s="131"/>
      <c r="I115" s="131"/>
      <c r="J115" s="131"/>
      <c r="K115" s="132"/>
      <c r="L115" s="133"/>
      <c r="M115" s="134"/>
      <c r="N115" s="1388"/>
      <c r="O115" s="1388"/>
      <c r="P115" s="2326"/>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6"/>
      <c r="Q116" s="121"/>
    </row>
    <row r="117" spans="1:17" ht="14.25" thickTop="1">
      <c r="A117" s="175"/>
      <c r="B117" s="1053" t="s">
        <v>2645</v>
      </c>
      <c r="C117" s="139"/>
      <c r="D117" s="139"/>
      <c r="E117" s="139"/>
      <c r="F117" s="139"/>
      <c r="G117" s="139"/>
      <c r="H117" s="131"/>
      <c r="I117" s="131"/>
      <c r="J117" s="131"/>
      <c r="K117" s="132"/>
      <c r="L117" s="133"/>
      <c r="M117" s="134"/>
      <c r="N117" s="1388"/>
      <c r="O117" s="1388"/>
      <c r="P117" s="2326"/>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6"/>
      <c r="Q118" s="121"/>
    </row>
    <row r="119" spans="1:17" ht="14.25" thickTop="1">
      <c r="A119" s="175"/>
      <c r="B119" s="211" t="s">
        <v>1062</v>
      </c>
      <c r="C119" s="131"/>
      <c r="D119" s="131"/>
      <c r="E119" s="131"/>
      <c r="F119" s="131"/>
      <c r="G119" s="131"/>
      <c r="H119" s="131"/>
      <c r="I119" s="131"/>
      <c r="J119" s="131"/>
      <c r="K119" s="131"/>
      <c r="L119" s="198"/>
      <c r="M119" s="199"/>
      <c r="N119" s="1389"/>
      <c r="O119" s="1389"/>
      <c r="P119" s="2331"/>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6"/>
      <c r="Q120" s="121"/>
    </row>
    <row r="121" spans="1:17" s="1038" customFormat="1" ht="15" thickTop="1">
      <c r="A121" s="1072"/>
      <c r="B121" s="1053" t="s">
        <v>1063</v>
      </c>
      <c r="C121" s="896"/>
      <c r="D121" s="896"/>
      <c r="E121" s="896"/>
      <c r="F121" s="925"/>
      <c r="G121" s="897"/>
      <c r="H121" s="897"/>
      <c r="I121" s="897"/>
      <c r="J121" s="897"/>
      <c r="K121" s="897"/>
      <c r="L121" s="898"/>
      <c r="M121" s="899"/>
      <c r="N121" s="1390"/>
      <c r="O121" s="1390"/>
      <c r="P121" s="2327"/>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7"/>
      <c r="Q122" s="1062"/>
    </row>
    <row r="123" spans="1:17" ht="14.25" thickTop="1">
      <c r="A123" s="175"/>
      <c r="B123" s="1053" t="s">
        <v>1065</v>
      </c>
      <c r="C123" s="139"/>
      <c r="D123" s="139"/>
      <c r="E123" s="139"/>
      <c r="F123" s="131"/>
      <c r="G123" s="131"/>
      <c r="H123" s="131"/>
      <c r="I123" s="131"/>
      <c r="J123" s="131"/>
      <c r="K123" s="132"/>
      <c r="L123" s="133"/>
      <c r="M123" s="134"/>
      <c r="N123" s="1388"/>
      <c r="O123" s="1388"/>
      <c r="P123" s="2326"/>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6"/>
      <c r="Q124" s="121"/>
    </row>
    <row r="125" spans="1:17" ht="27.75" thickTop="1">
      <c r="A125" s="175"/>
      <c r="B125" s="1053" t="s">
        <v>1066</v>
      </c>
      <c r="C125" s="920" t="s">
        <v>1015</v>
      </c>
      <c r="D125" s="920" t="s">
        <v>1016</v>
      </c>
      <c r="E125" s="920" t="s">
        <v>1017</v>
      </c>
      <c r="F125" s="920" t="s">
        <v>1018</v>
      </c>
      <c r="G125" s="920" t="s">
        <v>1019</v>
      </c>
      <c r="H125" s="881"/>
      <c r="I125" s="881"/>
      <c r="J125" s="881"/>
      <c r="K125" s="882"/>
      <c r="L125" s="883"/>
      <c r="M125" s="884"/>
      <c r="N125" s="1388"/>
      <c r="O125" s="1388"/>
      <c r="P125" s="2327"/>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6"/>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7"/>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7"/>
      <c r="Q128" s="1062"/>
    </row>
    <row r="129" spans="1:17" ht="14.25" thickTop="1">
      <c r="A129" s="175"/>
      <c r="B129" s="1053">
        <f>B46</f>
        <v>111</v>
      </c>
      <c r="C129" s="139"/>
      <c r="D129" s="139"/>
      <c r="E129" s="139"/>
      <c r="F129" s="139"/>
      <c r="G129" s="131"/>
      <c r="H129" s="131"/>
      <c r="I129" s="131"/>
      <c r="J129" s="131"/>
      <c r="K129" s="132"/>
      <c r="L129" s="133"/>
      <c r="M129" s="134"/>
      <c r="N129" s="1388"/>
      <c r="O129" s="1388"/>
      <c r="P129" s="2326"/>
      <c r="Q129" s="121"/>
    </row>
    <row r="130" spans="1:17" ht="15" thickBot="1">
      <c r="A130" s="173"/>
      <c r="B130" s="1054"/>
      <c r="C130" s="902"/>
      <c r="D130" s="902"/>
      <c r="E130" s="902"/>
      <c r="F130" s="902"/>
      <c r="G130" s="878"/>
      <c r="H130" s="878"/>
      <c r="I130" s="878"/>
      <c r="J130" s="878"/>
      <c r="K130" s="878"/>
      <c r="L130" s="878"/>
      <c r="M130" s="879"/>
      <c r="N130" s="1389"/>
      <c r="O130" s="1389"/>
      <c r="P130" s="2326"/>
      <c r="Q130" s="121"/>
    </row>
    <row r="131" spans="1:17" ht="14.25" thickTop="1">
      <c r="A131" s="175"/>
      <c r="B131" s="1055">
        <f>B47</f>
        <v>111</v>
      </c>
      <c r="C131" s="140"/>
      <c r="D131" s="140"/>
      <c r="E131" s="140"/>
      <c r="F131" s="140"/>
      <c r="G131" s="135"/>
      <c r="H131" s="135"/>
      <c r="I131" s="135"/>
      <c r="J131" s="135"/>
      <c r="K131" s="140"/>
      <c r="L131" s="141"/>
      <c r="M131" s="138"/>
      <c r="N131" s="1388"/>
      <c r="O131" s="1388"/>
      <c r="P131" s="2326"/>
      <c r="Q131" s="121"/>
    </row>
    <row r="132" spans="1:17" ht="15" thickBot="1">
      <c r="A132" s="174"/>
      <c r="B132" s="1070"/>
      <c r="C132" s="912"/>
      <c r="D132" s="912"/>
      <c r="E132" s="912"/>
      <c r="F132" s="912"/>
      <c r="G132" s="933"/>
      <c r="H132" s="933"/>
      <c r="I132" s="933"/>
      <c r="J132" s="933"/>
      <c r="K132" s="933"/>
      <c r="L132" s="933"/>
      <c r="M132" s="934"/>
      <c r="N132" s="1389"/>
      <c r="O132" s="1389"/>
      <c r="P132" s="232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1105</v>
      </c>
      <c r="B1" s="3119" t="s">
        <v>1106</v>
      </c>
      <c r="C1" s="3113" t="s">
        <v>1107</v>
      </c>
      <c r="D1" s="3104"/>
      <c r="E1" s="3109"/>
      <c r="F1" s="3106"/>
      <c r="G1" s="3108" t="s">
        <v>1108</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1109</v>
      </c>
      <c r="B2" s="2844" t="e">
        <f ca="1">IF(C2="——",ROUND(C43*D3/10000,0),ROUND(C43*D3/10000,0)-D2)</f>
        <v>#DIV/0!</v>
      </c>
      <c r="C2" s="3098"/>
      <c r="D2" s="2339" t="e">
        <f ca="1">SUMIF(INDIRECT("'"&amp;F2&amp;"'"&amp;"!A:A"),"承租人权益价值",INDIRECT("'"&amp;F2&amp;"'"&amp;"!c:c"))</f>
        <v>#REF!</v>
      </c>
      <c r="E2" s="3099" t="s">
        <v>867</v>
      </c>
      <c r="F2" s="3100"/>
      <c r="G2" s="2315"/>
      <c r="H2" s="2315"/>
      <c r="I2" s="2315"/>
      <c r="J2" s="2315"/>
      <c r="K2" s="2315"/>
      <c r="L2" s="2316"/>
      <c r="M2" s="2317"/>
      <c r="N2" s="2317"/>
      <c r="O2" s="2317"/>
      <c r="P2" s="1333"/>
      <c r="Q2" s="1333"/>
      <c r="R2" s="1333"/>
      <c r="S2" s="1333"/>
      <c r="T2" s="1333"/>
      <c r="U2" s="1333"/>
      <c r="V2" s="1333"/>
      <c r="W2" s="1333"/>
      <c r="X2" s="1333"/>
      <c r="Y2" s="1333"/>
      <c r="Z2" s="1333"/>
      <c r="AA2" s="1333"/>
      <c r="AB2" s="1333"/>
      <c r="AC2" s="1391"/>
    </row>
    <row r="3" spans="1:29" s="90" customFormat="1" ht="28.5" customHeight="1" thickBot="1">
      <c r="A3" s="87" t="s">
        <v>1110</v>
      </c>
      <c r="B3" s="951" t="e">
        <f ca="1">IF(C2="——",C43,ROUND(B2*10000/D3,0))</f>
        <v>#DIV/0!</v>
      </c>
      <c r="C3" s="142" t="s">
        <v>1111</v>
      </c>
      <c r="D3" s="742">
        <f>IF(D1="",'数据-汇总表'!E3,SUMIF('数据-汇总表'!$C19:$C33,D1,'数据-汇总表'!$E19:$E33))</f>
        <v>31303.89</v>
      </c>
      <c r="E3" s="2315"/>
      <c r="F3" s="2314"/>
      <c r="G3" s="2315"/>
      <c r="H3" s="2315"/>
      <c r="I3" s="2315"/>
      <c r="J3" s="2315"/>
      <c r="K3" s="2318"/>
      <c r="L3" s="2316"/>
      <c r="M3" s="2317"/>
      <c r="N3" s="2317"/>
      <c r="O3" s="2317"/>
      <c r="P3" s="1333"/>
      <c r="Q3" s="1333"/>
      <c r="R3" s="1333"/>
      <c r="S3" s="1333"/>
      <c r="T3" s="1333"/>
      <c r="U3" s="1333"/>
      <c r="V3" s="1333"/>
      <c r="W3" s="1333"/>
      <c r="X3" s="1333"/>
      <c r="Y3" s="1333"/>
      <c r="Z3" s="1333"/>
      <c r="AA3" s="1333"/>
      <c r="AB3" s="1409"/>
      <c r="AC3" s="1391"/>
    </row>
    <row r="4" spans="1:29">
      <c r="A4" s="143" t="s">
        <v>1112</v>
      </c>
      <c r="B4" s="144"/>
      <c r="C4" s="3678" t="s">
        <v>1113</v>
      </c>
      <c r="D4" s="3679"/>
      <c r="E4" s="3680" t="s">
        <v>1114</v>
      </c>
      <c r="F4" s="3681"/>
      <c r="G4" s="3678" t="s">
        <v>1115</v>
      </c>
      <c r="H4" s="3679"/>
      <c r="I4" s="3678" t="s">
        <v>1116</v>
      </c>
      <c r="J4" s="3679"/>
      <c r="K4" s="187" t="s">
        <v>1117</v>
      </c>
      <c r="L4" s="2292"/>
      <c r="M4" s="2293"/>
      <c r="N4" s="2293"/>
      <c r="O4" s="2293"/>
      <c r="P4" s="3682" t="s">
        <v>1112</v>
      </c>
      <c r="Q4" s="3683"/>
      <c r="R4" s="3668" t="s">
        <v>1114</v>
      </c>
      <c r="S4" s="3669"/>
      <c r="T4" s="3668" t="s">
        <v>1115</v>
      </c>
      <c r="U4" s="3669"/>
      <c r="V4" s="3664" t="s">
        <v>1116</v>
      </c>
      <c r="W4" s="3664"/>
      <c r="X4" s="1339"/>
      <c r="Y4" s="3668" t="s">
        <v>1112</v>
      </c>
      <c r="Z4" s="3669"/>
      <c r="AA4" s="3674" t="s">
        <v>1114</v>
      </c>
      <c r="AB4" s="3675" t="s">
        <v>1115</v>
      </c>
      <c r="AC4" s="3674" t="s">
        <v>1116</v>
      </c>
    </row>
    <row r="5" spans="1:29">
      <c r="A5" s="146"/>
      <c r="B5" s="147"/>
      <c r="C5" s="3688" t="s">
        <v>1118</v>
      </c>
      <c r="D5" s="3689"/>
      <c r="E5" s="3690" t="s">
        <v>1119</v>
      </c>
      <c r="F5" s="3691"/>
      <c r="G5" s="3688" t="s">
        <v>1120</v>
      </c>
      <c r="H5" s="3689"/>
      <c r="I5" s="3688" t="s">
        <v>1121</v>
      </c>
      <c r="J5" s="3689"/>
      <c r="K5" s="187"/>
      <c r="L5" s="2292"/>
      <c r="M5" s="2293"/>
      <c r="N5" s="2293"/>
      <c r="O5" s="2293"/>
      <c r="P5" s="3684"/>
      <c r="Q5" s="3685"/>
      <c r="R5" s="3670"/>
      <c r="S5" s="3671"/>
      <c r="T5" s="3670"/>
      <c r="U5" s="3671"/>
      <c r="V5" s="3664"/>
      <c r="W5" s="3664"/>
      <c r="X5" s="1339"/>
      <c r="Y5" s="3670"/>
      <c r="Z5" s="3671"/>
      <c r="AA5" s="3675"/>
      <c r="AB5" s="3675"/>
      <c r="AC5" s="3675"/>
    </row>
    <row r="6" spans="1:29" ht="14.25" thickBot="1">
      <c r="A6" s="148"/>
      <c r="B6" s="149"/>
      <c r="C6" s="3692" t="s">
        <v>1122</v>
      </c>
      <c r="D6" s="3693"/>
      <c r="E6" s="3694" t="s">
        <v>1122</v>
      </c>
      <c r="F6" s="3695"/>
      <c r="G6" s="3692" t="s">
        <v>1122</v>
      </c>
      <c r="H6" s="3693"/>
      <c r="I6" s="3692" t="s">
        <v>1122</v>
      </c>
      <c r="J6" s="3693"/>
      <c r="K6" s="187" t="s">
        <v>1123</v>
      </c>
      <c r="L6" s="2292"/>
      <c r="M6" s="2293"/>
      <c r="N6" s="2293"/>
      <c r="O6" s="2293"/>
      <c r="P6" s="3686"/>
      <c r="Q6" s="3687"/>
      <c r="R6" s="3670"/>
      <c r="S6" s="3671"/>
      <c r="T6" s="3672"/>
      <c r="U6" s="3673"/>
      <c r="V6" s="3664"/>
      <c r="W6" s="3664"/>
      <c r="X6" s="1339"/>
      <c r="Y6" s="3672"/>
      <c r="Z6" s="3673"/>
      <c r="AA6" s="3676"/>
      <c r="AB6" s="3676"/>
      <c r="AC6" s="3676"/>
    </row>
    <row r="7" spans="1:29" s="40" customFormat="1" ht="15" thickBot="1">
      <c r="A7" s="1013" t="s">
        <v>1124</v>
      </c>
      <c r="B7" s="1014"/>
      <c r="C7" s="753">
        <f>'数据-取费表'!B2</f>
        <v>42935</v>
      </c>
      <c r="D7" s="754">
        <v>100</v>
      </c>
      <c r="E7" s="1016"/>
      <c r="F7" s="756">
        <f>SUMIF(52:52,YEAR(E7)&amp;"-"&amp;MONTH(E7),53:53)</f>
        <v>0</v>
      </c>
      <c r="G7" s="1016"/>
      <c r="H7" s="754">
        <f>SUMIF(52:52,YEAR(G7)&amp;"-"&amp;MONTH(G7),53:53)</f>
        <v>0</v>
      </c>
      <c r="I7" s="1016"/>
      <c r="J7" s="754">
        <f>SUMIF(52:52,YEAR(I7)&amp;"-"&amp;MONTH(I7),53:53)</f>
        <v>0</v>
      </c>
      <c r="K7" s="1018"/>
      <c r="L7" s="2294"/>
      <c r="M7" s="2256"/>
      <c r="N7" s="2256"/>
      <c r="O7" s="2256"/>
      <c r="P7" s="3665" t="s">
        <v>1124</v>
      </c>
      <c r="Q7" s="3677"/>
      <c r="R7" s="1341" t="s">
        <v>65</v>
      </c>
      <c r="S7" s="1342">
        <f t="shared" ref="S7:S15" si="0">F7</f>
        <v>0</v>
      </c>
      <c r="T7" s="1341" t="s">
        <v>65</v>
      </c>
      <c r="U7" s="1342">
        <f t="shared" ref="U7:U15" si="1">H7</f>
        <v>0</v>
      </c>
      <c r="V7" s="1341" t="s">
        <v>65</v>
      </c>
      <c r="W7" s="1342">
        <f t="shared" ref="W7:W15" si="2">J7</f>
        <v>0</v>
      </c>
      <c r="X7" s="287"/>
      <c r="Y7" s="3665" t="s">
        <v>1124</v>
      </c>
      <c r="Z7" s="3666"/>
      <c r="AA7" s="1343" t="e">
        <f>D7/F7</f>
        <v>#DIV/0!</v>
      </c>
      <c r="AB7" s="1343" t="e">
        <f>D7/H7</f>
        <v>#DIV/0!</v>
      </c>
      <c r="AC7" s="1343" t="e">
        <f>D7/J7</f>
        <v>#DIV/0!</v>
      </c>
    </row>
    <row r="8" spans="1:29" s="40" customFormat="1" ht="15" thickBot="1">
      <c r="A8" s="1013" t="s">
        <v>1125</v>
      </c>
      <c r="B8" s="1014"/>
      <c r="C8" s="1019" t="s">
        <v>155</v>
      </c>
      <c r="D8" s="754">
        <v>100</v>
      </c>
      <c r="E8" s="1019"/>
      <c r="F8" s="756">
        <f>SUMIF(55:55,E8,56:56)-SUMIF(55:55,C8,56:56)+100</f>
        <v>0</v>
      </c>
      <c r="G8" s="1019"/>
      <c r="H8" s="754">
        <f>SUMIF(55:55,G8,56:56)-SUMIF(55:55,C8,56:56)+100</f>
        <v>0</v>
      </c>
      <c r="I8" s="1019"/>
      <c r="J8" s="754">
        <f>SUMIF(55:55,I8,56:56)-SUMIF(55:55,C8,56:56)+100</f>
        <v>0</v>
      </c>
      <c r="K8" s="1018"/>
      <c r="L8" s="2294"/>
      <c r="M8" s="2256"/>
      <c r="N8" s="2256"/>
      <c r="O8" s="2256"/>
      <c r="P8" s="3665" t="s">
        <v>1020</v>
      </c>
      <c r="Q8" s="3666"/>
      <c r="R8" s="1341" t="s">
        <v>65</v>
      </c>
      <c r="S8" s="1342">
        <f t="shared" si="0"/>
        <v>0</v>
      </c>
      <c r="T8" s="1341" t="s">
        <v>65</v>
      </c>
      <c r="U8" s="1342">
        <f t="shared" si="1"/>
        <v>0</v>
      </c>
      <c r="V8" s="1341" t="s">
        <v>65</v>
      </c>
      <c r="W8" s="1342">
        <f t="shared" si="2"/>
        <v>0</v>
      </c>
      <c r="X8" s="287"/>
      <c r="Y8" s="3665" t="s">
        <v>1020</v>
      </c>
      <c r="Z8" s="3666"/>
      <c r="AA8" s="1343" t="e">
        <f t="shared" ref="AA8:AA40" si="3">D8/F8</f>
        <v>#DIV/0!</v>
      </c>
      <c r="AB8" s="1343" t="e">
        <f t="shared" ref="AB8:AB40" si="4">D8/H8</f>
        <v>#DIV/0!</v>
      </c>
      <c r="AC8" s="1343" t="e">
        <f t="shared" ref="AC8:AC40" si="5">D8/J8</f>
        <v>#DIV/0!</v>
      </c>
    </row>
    <row r="9" spans="1:29" s="40" customFormat="1" ht="14.25">
      <c r="A9" s="1020" t="s">
        <v>1021</v>
      </c>
      <c r="B9" s="62" t="s">
        <v>1022</v>
      </c>
      <c r="C9" s="1345"/>
      <c r="D9" s="425">
        <v>100</v>
      </c>
      <c r="E9" s="1347"/>
      <c r="F9" s="425">
        <f>SUMIF(57:57,E9,58:58)-SUMIF(57:57,C9,58:58)+100</f>
        <v>100</v>
      </c>
      <c r="G9" s="1346"/>
      <c r="H9" s="425">
        <f>SUMIF(57:57,G9,58:58)-SUMIF(57:57,C9,58:58)+100</f>
        <v>100</v>
      </c>
      <c r="I9" s="1346"/>
      <c r="J9" s="425">
        <f>SUMIF(57:57,I9,58:58)-SUMIF(57:57,C9,58:58)+100</f>
        <v>100</v>
      </c>
      <c r="K9" s="1018"/>
      <c r="L9" s="2294"/>
      <c r="M9" s="2256"/>
      <c r="N9" s="2256"/>
      <c r="O9" s="2335"/>
      <c r="P9" s="3650" t="s">
        <v>67</v>
      </c>
      <c r="Q9" s="7" t="str">
        <f t="shared" ref="Q9:Q15" si="6">B9</f>
        <v>用途</v>
      </c>
      <c r="R9" s="1341" t="s">
        <v>65</v>
      </c>
      <c r="S9" s="1342">
        <f t="shared" si="0"/>
        <v>100</v>
      </c>
      <c r="T9" s="1341" t="s">
        <v>65</v>
      </c>
      <c r="U9" s="1342">
        <f t="shared" si="1"/>
        <v>100</v>
      </c>
      <c r="V9" s="1341" t="s">
        <v>65</v>
      </c>
      <c r="W9" s="1342">
        <f t="shared" si="2"/>
        <v>100</v>
      </c>
      <c r="X9" s="287"/>
      <c r="Y9" s="3482"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5"/>
      <c r="M10" s="2296"/>
      <c r="N10" s="2296"/>
      <c r="O10" s="2336"/>
      <c r="P10" s="3650"/>
      <c r="Q10" s="7" t="str">
        <f t="shared" si="6"/>
        <v>土地使用年限（年）</v>
      </c>
      <c r="R10" s="1341" t="s">
        <v>65</v>
      </c>
      <c r="S10" s="1342">
        <f t="shared" si="0"/>
        <v>100</v>
      </c>
      <c r="T10" s="1341" t="s">
        <v>65</v>
      </c>
      <c r="U10" s="1342">
        <f t="shared" si="1"/>
        <v>100</v>
      </c>
      <c r="V10" s="1341" t="s">
        <v>65</v>
      </c>
      <c r="W10" s="1342">
        <f t="shared" si="2"/>
        <v>100</v>
      </c>
      <c r="X10" s="287"/>
      <c r="Y10" s="3482"/>
      <c r="Z10" s="288" t="str">
        <f t="shared" si="7"/>
        <v>土地使用年限（年）</v>
      </c>
      <c r="AA10" s="1343">
        <f t="shared" si="3"/>
        <v>1</v>
      </c>
      <c r="AB10" s="1343">
        <f t="shared" si="4"/>
        <v>1</v>
      </c>
      <c r="AC10" s="1343">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7"/>
      <c r="M11" s="2293"/>
      <c r="N11" s="2293"/>
      <c r="O11" s="2337"/>
      <c r="P11" s="3650"/>
      <c r="Q11" s="7" t="str">
        <f t="shared" si="6"/>
        <v>容积率</v>
      </c>
      <c r="R11" s="1341" t="s">
        <v>65</v>
      </c>
      <c r="S11" s="1342" t="e">
        <f t="shared" si="0"/>
        <v>#N/A</v>
      </c>
      <c r="T11" s="1341" t="s">
        <v>65</v>
      </c>
      <c r="U11" s="1342" t="e">
        <f t="shared" si="1"/>
        <v>#N/A</v>
      </c>
      <c r="V11" s="1341" t="s">
        <v>65</v>
      </c>
      <c r="W11" s="1342" t="e">
        <f t="shared" si="2"/>
        <v>#N/A</v>
      </c>
      <c r="X11" s="287"/>
      <c r="Y11" s="348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4"/>
      <c r="M12" s="2256"/>
      <c r="N12" s="2256"/>
      <c r="O12" s="2335"/>
      <c r="P12" s="3650"/>
      <c r="Q12" s="7">
        <f t="shared" si="6"/>
        <v>111</v>
      </c>
      <c r="R12" s="1341" t="s">
        <v>65</v>
      </c>
      <c r="S12" s="1342">
        <f t="shared" si="0"/>
        <v>100</v>
      </c>
      <c r="T12" s="1341" t="s">
        <v>65</v>
      </c>
      <c r="U12" s="1342">
        <f t="shared" si="1"/>
        <v>100</v>
      </c>
      <c r="V12" s="1341" t="s">
        <v>65</v>
      </c>
      <c r="W12" s="1342">
        <f t="shared" si="2"/>
        <v>100</v>
      </c>
      <c r="X12" s="287"/>
      <c r="Y12" s="3482"/>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298"/>
      <c r="M13" s="2293"/>
      <c r="N13" s="2293"/>
      <c r="O13" s="2337"/>
      <c r="P13" s="3650"/>
      <c r="Q13" s="7">
        <f t="shared" si="6"/>
        <v>111</v>
      </c>
      <c r="R13" s="1341" t="s">
        <v>65</v>
      </c>
      <c r="S13" s="1342">
        <f t="shared" si="0"/>
        <v>100</v>
      </c>
      <c r="T13" s="1341" t="s">
        <v>65</v>
      </c>
      <c r="U13" s="1342">
        <f t="shared" si="1"/>
        <v>100</v>
      </c>
      <c r="V13" s="1341" t="s">
        <v>65</v>
      </c>
      <c r="W13" s="1342">
        <f t="shared" si="2"/>
        <v>100</v>
      </c>
      <c r="X13" s="287"/>
      <c r="Y13" s="3482"/>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8"/>
      <c r="M14" s="2293"/>
      <c r="N14" s="2293"/>
      <c r="O14" s="2337"/>
      <c r="P14" s="3650"/>
      <c r="Q14" s="7">
        <f t="shared" si="6"/>
        <v>111</v>
      </c>
      <c r="R14" s="1341" t="s">
        <v>65</v>
      </c>
      <c r="S14" s="1342">
        <f t="shared" si="0"/>
        <v>100</v>
      </c>
      <c r="T14" s="1341" t="s">
        <v>65</v>
      </c>
      <c r="U14" s="1342">
        <f t="shared" si="1"/>
        <v>100</v>
      </c>
      <c r="V14" s="1341" t="s">
        <v>65</v>
      </c>
      <c r="W14" s="1342">
        <f t="shared" si="2"/>
        <v>100</v>
      </c>
      <c r="X14" s="287"/>
      <c r="Y14" s="3482"/>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8"/>
      <c r="M15" s="2293"/>
      <c r="N15" s="2293"/>
      <c r="O15" s="2337"/>
      <c r="P15" s="3657" t="s">
        <v>69</v>
      </c>
      <c r="Q15" s="1350" t="str">
        <f t="shared" si="6"/>
        <v>产业集聚程度</v>
      </c>
      <c r="R15" s="1351" t="s">
        <v>65</v>
      </c>
      <c r="S15" s="1352">
        <f t="shared" si="0"/>
        <v>100</v>
      </c>
      <c r="T15" s="1351" t="s">
        <v>65</v>
      </c>
      <c r="U15" s="1352">
        <f t="shared" si="1"/>
        <v>100</v>
      </c>
      <c r="V15" s="1351" t="s">
        <v>65</v>
      </c>
      <c r="W15" s="1352">
        <f t="shared" si="2"/>
        <v>100</v>
      </c>
      <c r="X15" s="1339"/>
      <c r="Y15" s="3657"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8"/>
      <c r="M16" s="2293"/>
      <c r="N16" s="2293"/>
      <c r="O16" s="2337"/>
      <c r="P16" s="3658"/>
      <c r="Q16" s="1350"/>
      <c r="R16" s="1351"/>
      <c r="S16" s="1352"/>
      <c r="T16" s="1351"/>
      <c r="U16" s="1352"/>
      <c r="V16" s="1351"/>
      <c r="W16" s="1352"/>
      <c r="X16" s="1339"/>
      <c r="Y16" s="365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8"/>
      <c r="M17" s="2293"/>
      <c r="N17" s="2293"/>
      <c r="O17" s="2337"/>
      <c r="P17" s="3658"/>
      <c r="Q17" s="1350" t="str">
        <f>B17</f>
        <v>交通便捷度</v>
      </c>
      <c r="R17" s="1351" t="s">
        <v>65</v>
      </c>
      <c r="S17" s="1352">
        <f>F17</f>
        <v>100</v>
      </c>
      <c r="T17" s="1351" t="s">
        <v>65</v>
      </c>
      <c r="U17" s="1352">
        <f>H17</f>
        <v>100</v>
      </c>
      <c r="V17" s="1351" t="s">
        <v>65</v>
      </c>
      <c r="W17" s="1352">
        <f>J17</f>
        <v>100</v>
      </c>
      <c r="X17" s="1339"/>
      <c r="Y17" s="3658"/>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8"/>
      <c r="M18" s="2293"/>
      <c r="N18" s="2293"/>
      <c r="O18" s="2337"/>
      <c r="P18" s="3658"/>
      <c r="Q18" s="1350"/>
      <c r="R18" s="1351"/>
      <c r="S18" s="1352"/>
      <c r="T18" s="1351"/>
      <c r="U18" s="1352"/>
      <c r="V18" s="1351"/>
      <c r="W18" s="1352"/>
      <c r="X18" s="1339"/>
      <c r="Y18" s="3658"/>
      <c r="Z18" s="1353"/>
      <c r="AA18" s="1354">
        <v>1</v>
      </c>
      <c r="AB18" s="1354">
        <v>1</v>
      </c>
      <c r="AC18" s="1354">
        <v>1</v>
      </c>
    </row>
    <row r="19" spans="1:29" ht="40.5">
      <c r="A19" s="151"/>
      <c r="B19" s="1355" t="s">
        <v>2668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8"/>
      <c r="M19" s="2293"/>
      <c r="N19" s="2293"/>
      <c r="O19" s="2337"/>
      <c r="P19" s="3658"/>
      <c r="Q19" s="1350" t="str">
        <f>B19</f>
        <v>公共配套设施</v>
      </c>
      <c r="R19" s="1351" t="s">
        <v>65</v>
      </c>
      <c r="S19" s="1352">
        <f>F19</f>
        <v>100</v>
      </c>
      <c r="T19" s="1351" t="s">
        <v>65</v>
      </c>
      <c r="U19" s="1352">
        <f>H19</f>
        <v>100</v>
      </c>
      <c r="V19" s="1351" t="s">
        <v>65</v>
      </c>
      <c r="W19" s="1352">
        <f>J19</f>
        <v>100</v>
      </c>
      <c r="X19" s="1339"/>
      <c r="Y19" s="3658"/>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8"/>
      <c r="M20" s="2293"/>
      <c r="N20" s="2293"/>
      <c r="O20" s="2337"/>
      <c r="P20" s="3658"/>
      <c r="Q20" s="1350"/>
      <c r="R20" s="1351"/>
      <c r="S20" s="1352"/>
      <c r="T20" s="1351"/>
      <c r="U20" s="1352"/>
      <c r="V20" s="1351"/>
      <c r="W20" s="1352"/>
      <c r="X20" s="1339"/>
      <c r="Y20" s="3658"/>
      <c r="Z20" s="1353"/>
      <c r="AA20" s="1354">
        <v>1</v>
      </c>
      <c r="AB20" s="1354">
        <v>1</v>
      </c>
      <c r="AC20" s="1354">
        <v>1</v>
      </c>
    </row>
    <row r="21" spans="1:29" ht="40.5">
      <c r="A21" s="151"/>
      <c r="B21" s="1411" t="s">
        <v>2671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8"/>
      <c r="M21" s="2293"/>
      <c r="N21" s="2293"/>
      <c r="O21" s="2337"/>
      <c r="P21" s="3658"/>
      <c r="Q21" s="2743" t="str">
        <f>B21</f>
        <v>基础设施水平</v>
      </c>
      <c r="R21" s="1351" t="s">
        <v>65</v>
      </c>
      <c r="S21" s="1352">
        <f>F21</f>
        <v>100</v>
      </c>
      <c r="T21" s="1351" t="s">
        <v>65</v>
      </c>
      <c r="U21" s="1352">
        <f>H21</f>
        <v>100</v>
      </c>
      <c r="V21" s="1351" t="s">
        <v>65</v>
      </c>
      <c r="W21" s="1352">
        <f>J21</f>
        <v>100</v>
      </c>
      <c r="X21" s="2745"/>
      <c r="Y21" s="3658"/>
      <c r="Z21" s="2744"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3"/>
      <c r="L22" s="2298"/>
      <c r="M22" s="2293"/>
      <c r="N22" s="2293"/>
      <c r="O22" s="2337"/>
      <c r="P22" s="3658"/>
      <c r="Q22" s="2743"/>
      <c r="R22" s="1351"/>
      <c r="S22" s="1352"/>
      <c r="T22" s="1351"/>
      <c r="U22" s="1352"/>
      <c r="V22" s="1351"/>
      <c r="W22" s="1352"/>
      <c r="X22" s="2745"/>
      <c r="Y22" s="3658"/>
      <c r="Z22" s="2744"/>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8"/>
      <c r="M23" s="2293"/>
      <c r="N23" s="2293"/>
      <c r="O23" s="2337"/>
      <c r="P23" s="3658"/>
      <c r="Q23" s="1350" t="str">
        <f>B23</f>
        <v>环境质量</v>
      </c>
      <c r="R23" s="1351" t="s">
        <v>65</v>
      </c>
      <c r="S23" s="1352">
        <f>F23</f>
        <v>100</v>
      </c>
      <c r="T23" s="1351" t="s">
        <v>65</v>
      </c>
      <c r="U23" s="1352">
        <f>H23</f>
        <v>100</v>
      </c>
      <c r="V23" s="1351" t="s">
        <v>65</v>
      </c>
      <c r="W23" s="1352">
        <f>J23</f>
        <v>100</v>
      </c>
      <c r="X23" s="1339"/>
      <c r="Y23" s="3658"/>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8"/>
      <c r="M24" s="2293"/>
      <c r="N24" s="2293"/>
      <c r="O24" s="2337"/>
      <c r="P24" s="3658"/>
      <c r="Q24" s="1350"/>
      <c r="R24" s="1351"/>
      <c r="S24" s="1352"/>
      <c r="T24" s="1351"/>
      <c r="U24" s="1352"/>
      <c r="V24" s="1351"/>
      <c r="W24" s="1352"/>
      <c r="X24" s="1339"/>
      <c r="Y24" s="3658"/>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8"/>
      <c r="M25" s="2293"/>
      <c r="N25" s="2293"/>
      <c r="O25" s="2337"/>
      <c r="P25" s="3658"/>
      <c r="Q25" s="1350">
        <f>B25</f>
        <v>111</v>
      </c>
      <c r="R25" s="1351" t="s">
        <v>65</v>
      </c>
      <c r="S25" s="1352">
        <f>F25</f>
        <v>100</v>
      </c>
      <c r="T25" s="1351" t="s">
        <v>65</v>
      </c>
      <c r="U25" s="1352">
        <f>H25</f>
        <v>100</v>
      </c>
      <c r="V25" s="1351" t="s">
        <v>65</v>
      </c>
      <c r="W25" s="1352">
        <f>J25</f>
        <v>100</v>
      </c>
      <c r="X25" s="1339"/>
      <c r="Y25" s="3658"/>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8"/>
      <c r="M26" s="2293"/>
      <c r="N26" s="2293"/>
      <c r="O26" s="2337"/>
      <c r="P26" s="3658"/>
      <c r="Q26" s="1350">
        <f t="shared" ref="Q26:Q40" si="11">B26</f>
        <v>111</v>
      </c>
      <c r="R26" s="1351" t="s">
        <v>65</v>
      </c>
      <c r="S26" s="1352">
        <f>F26</f>
        <v>100</v>
      </c>
      <c r="T26" s="1351" t="s">
        <v>65</v>
      </c>
      <c r="U26" s="1352">
        <f>H26</f>
        <v>100</v>
      </c>
      <c r="V26" s="1351" t="s">
        <v>65</v>
      </c>
      <c r="W26" s="1352">
        <f>J26</f>
        <v>100</v>
      </c>
      <c r="X26" s="1339"/>
      <c r="Y26" s="3658"/>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4"/>
      <c r="M27" s="2256"/>
      <c r="N27" s="2256"/>
      <c r="O27" s="2335"/>
      <c r="P27" s="3658"/>
      <c r="Q27" s="7">
        <f t="shared" si="11"/>
        <v>111</v>
      </c>
      <c r="R27" s="1341" t="s">
        <v>65</v>
      </c>
      <c r="S27" s="1342">
        <f>F27</f>
        <v>100</v>
      </c>
      <c r="T27" s="1341" t="s">
        <v>65</v>
      </c>
      <c r="U27" s="1342">
        <f>H27</f>
        <v>100</v>
      </c>
      <c r="V27" s="1341" t="s">
        <v>65</v>
      </c>
      <c r="W27" s="1342">
        <f>J27</f>
        <v>100</v>
      </c>
      <c r="X27" s="287"/>
      <c r="Y27" s="3658"/>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8"/>
      <c r="M28" s="2293"/>
      <c r="N28" s="2293"/>
      <c r="O28" s="2337"/>
      <c r="P28" s="3658"/>
      <c r="Q28" s="1350">
        <f t="shared" si="11"/>
        <v>111</v>
      </c>
      <c r="R28" s="1351" t="s">
        <v>65</v>
      </c>
      <c r="S28" s="1352">
        <f t="shared" ref="S28:S40" si="12">F28</f>
        <v>100</v>
      </c>
      <c r="T28" s="1351" t="s">
        <v>65</v>
      </c>
      <c r="U28" s="1352">
        <f t="shared" ref="U28:U40" si="13">H28</f>
        <v>100</v>
      </c>
      <c r="V28" s="1351" t="s">
        <v>65</v>
      </c>
      <c r="W28" s="1352">
        <f t="shared" ref="W28:W40" si="14">J28</f>
        <v>100</v>
      </c>
      <c r="X28" s="1339"/>
      <c r="Y28" s="3658"/>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8"/>
      <c r="M29" s="2293"/>
      <c r="N29" s="2293"/>
      <c r="O29" s="2337"/>
      <c r="P29" s="3748" t="s">
        <v>1126</v>
      </c>
      <c r="Q29" s="1350" t="str">
        <f t="shared" si="11"/>
        <v>建筑类型</v>
      </c>
      <c r="R29" s="1351" t="s">
        <v>65</v>
      </c>
      <c r="S29" s="1352">
        <f t="shared" si="12"/>
        <v>100</v>
      </c>
      <c r="T29" s="1351" t="s">
        <v>65</v>
      </c>
      <c r="U29" s="1352">
        <f t="shared" si="13"/>
        <v>100</v>
      </c>
      <c r="V29" s="1351" t="s">
        <v>65</v>
      </c>
      <c r="W29" s="1352">
        <f t="shared" si="14"/>
        <v>100</v>
      </c>
      <c r="X29" s="1339"/>
      <c r="Y29" s="3662" t="s">
        <v>1126</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7"/>
      <c r="M30" s="2299"/>
      <c r="N30" s="2299"/>
      <c r="O30" s="2338"/>
      <c r="P30" s="3662"/>
      <c r="Q30" s="1358" t="str">
        <f t="shared" si="11"/>
        <v>项目建筑规模</v>
      </c>
      <c r="R30" s="1359" t="s">
        <v>65</v>
      </c>
      <c r="S30" s="1360" t="e">
        <f t="shared" si="12"/>
        <v>#N/A</v>
      </c>
      <c r="T30" s="1359" t="s">
        <v>65</v>
      </c>
      <c r="U30" s="1360" t="e">
        <f t="shared" si="13"/>
        <v>#N/A</v>
      </c>
      <c r="V30" s="1359" t="s">
        <v>65</v>
      </c>
      <c r="W30" s="1360" t="e">
        <f t="shared" si="14"/>
        <v>#N/A</v>
      </c>
      <c r="X30" s="1361"/>
      <c r="Y30" s="3662"/>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8"/>
      <c r="M31" s="2293"/>
      <c r="N31" s="2293"/>
      <c r="O31" s="2337"/>
      <c r="P31" s="3662"/>
      <c r="Q31" s="1350" t="str">
        <f t="shared" si="11"/>
        <v>建筑结构</v>
      </c>
      <c r="R31" s="1351" t="s">
        <v>65</v>
      </c>
      <c r="S31" s="1352">
        <f t="shared" si="12"/>
        <v>100</v>
      </c>
      <c r="T31" s="1351" t="s">
        <v>65</v>
      </c>
      <c r="U31" s="1352">
        <f t="shared" si="13"/>
        <v>100</v>
      </c>
      <c r="V31" s="1351" t="s">
        <v>65</v>
      </c>
      <c r="W31" s="1352">
        <f t="shared" si="14"/>
        <v>100</v>
      </c>
      <c r="X31" s="1339"/>
      <c r="Y31" s="3662"/>
      <c r="Z31" s="1353" t="str">
        <f t="shared" si="15"/>
        <v>建筑结构</v>
      </c>
      <c r="AA31" s="1354">
        <f t="shared" si="3"/>
        <v>1</v>
      </c>
      <c r="AB31" s="1354">
        <f t="shared" si="4"/>
        <v>1</v>
      </c>
      <c r="AC31" s="1354">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4"/>
      <c r="L32" s="2298"/>
      <c r="M32" s="2293"/>
      <c r="N32" s="2293"/>
      <c r="O32" s="2337"/>
      <c r="P32" s="3662"/>
      <c r="Q32" s="1350" t="str">
        <f t="shared" si="11"/>
        <v>公共部分装修</v>
      </c>
      <c r="R32" s="1351" t="s">
        <v>65</v>
      </c>
      <c r="S32" s="1352">
        <f t="shared" si="12"/>
        <v>100</v>
      </c>
      <c r="T32" s="1351" t="s">
        <v>65</v>
      </c>
      <c r="U32" s="1352">
        <f t="shared" si="13"/>
        <v>100</v>
      </c>
      <c r="V32" s="1351" t="s">
        <v>65</v>
      </c>
      <c r="W32" s="1352">
        <f t="shared" si="14"/>
        <v>100</v>
      </c>
      <c r="X32" s="1339"/>
      <c r="Y32" s="3662"/>
      <c r="Z32" s="1353" t="str">
        <f t="shared" si="15"/>
        <v>公共部分装修</v>
      </c>
      <c r="AA32" s="1354">
        <f t="shared" si="3"/>
        <v>1</v>
      </c>
      <c r="AB32" s="1354">
        <f t="shared" si="4"/>
        <v>1</v>
      </c>
      <c r="AC32" s="1354">
        <f t="shared" si="5"/>
        <v>1</v>
      </c>
    </row>
    <row r="33" spans="1:29" ht="15">
      <c r="A33" s="161"/>
      <c r="B33" s="12" t="s">
        <v>1029</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8"/>
      <c r="M33" s="2293"/>
      <c r="N33" s="2293"/>
      <c r="O33" s="2337"/>
      <c r="P33" s="3662"/>
      <c r="Q33" s="1350" t="str">
        <f t="shared" si="11"/>
        <v>成新度</v>
      </c>
      <c r="R33" s="1351" t="s">
        <v>65</v>
      </c>
      <c r="S33" s="1352" t="e">
        <f t="shared" si="12"/>
        <v>#N/A</v>
      </c>
      <c r="T33" s="1351" t="s">
        <v>65</v>
      </c>
      <c r="U33" s="1352" t="e">
        <f t="shared" si="13"/>
        <v>#N/A</v>
      </c>
      <c r="V33" s="1351" t="s">
        <v>65</v>
      </c>
      <c r="W33" s="1352" t="e">
        <f t="shared" si="14"/>
        <v>#N/A</v>
      </c>
      <c r="X33" s="1339"/>
      <c r="Y33" s="3662"/>
      <c r="Z33" s="1353" t="str">
        <f t="shared" si="15"/>
        <v>成新度</v>
      </c>
      <c r="AA33" s="1354" t="e">
        <f t="shared" si="3"/>
        <v>#N/A</v>
      </c>
      <c r="AB33" s="1354" t="e">
        <f t="shared" si="4"/>
        <v>#N/A</v>
      </c>
      <c r="AC33" s="1354" t="e">
        <f t="shared" si="5"/>
        <v>#N/A</v>
      </c>
    </row>
    <row r="34" spans="1:29" s="40" customFormat="1" ht="15">
      <c r="A34" s="1040"/>
      <c r="B34" s="12" t="s">
        <v>1127</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4"/>
      <c r="M34" s="2256"/>
      <c r="N34" s="2256"/>
      <c r="O34" s="2335"/>
      <c r="P34" s="3662"/>
      <c r="Q34" s="7" t="str">
        <f t="shared" si="11"/>
        <v>物业管理</v>
      </c>
      <c r="R34" s="1341" t="s">
        <v>65</v>
      </c>
      <c r="S34" s="1342">
        <f t="shared" si="12"/>
        <v>100</v>
      </c>
      <c r="T34" s="1341" t="s">
        <v>65</v>
      </c>
      <c r="U34" s="1342">
        <f t="shared" si="13"/>
        <v>100</v>
      </c>
      <c r="V34" s="1341" t="s">
        <v>65</v>
      </c>
      <c r="W34" s="1342">
        <f t="shared" si="14"/>
        <v>100</v>
      </c>
      <c r="X34" s="287"/>
      <c r="Y34" s="3662"/>
      <c r="Z34" s="288" t="str">
        <f t="shared" si="15"/>
        <v>物业管理</v>
      </c>
      <c r="AA34" s="1343">
        <f t="shared" si="3"/>
        <v>1</v>
      </c>
      <c r="AB34" s="1343">
        <f t="shared" si="4"/>
        <v>1</v>
      </c>
      <c r="AC34" s="1343">
        <f t="shared" si="5"/>
        <v>1</v>
      </c>
    </row>
    <row r="35" spans="1:29" ht="15">
      <c r="A35" s="161"/>
      <c r="B35" s="12" t="s">
        <v>2661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8"/>
      <c r="M35" s="2293"/>
      <c r="N35" s="2293"/>
      <c r="O35" s="2337"/>
      <c r="P35" s="3662" t="s">
        <v>70</v>
      </c>
      <c r="Q35" s="1350" t="str">
        <f t="shared" si="11"/>
        <v>市政基础设施</v>
      </c>
      <c r="R35" s="1351" t="s">
        <v>65</v>
      </c>
      <c r="S35" s="1352">
        <f t="shared" si="12"/>
        <v>100</v>
      </c>
      <c r="T35" s="1351" t="s">
        <v>65</v>
      </c>
      <c r="U35" s="1352">
        <f t="shared" si="13"/>
        <v>100</v>
      </c>
      <c r="V35" s="1351" t="s">
        <v>65</v>
      </c>
      <c r="W35" s="1352">
        <f t="shared" si="14"/>
        <v>100</v>
      </c>
      <c r="X35" s="1339"/>
      <c r="Y35" s="3662"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8"/>
      <c r="M36" s="2293"/>
      <c r="N36" s="2293"/>
      <c r="O36" s="2337"/>
      <c r="P36" s="3662"/>
      <c r="Q36" s="1350" t="str">
        <f t="shared" si="11"/>
        <v>内部装修</v>
      </c>
      <c r="R36" s="1351" t="s">
        <v>65</v>
      </c>
      <c r="S36" s="1352">
        <f t="shared" si="12"/>
        <v>100</v>
      </c>
      <c r="T36" s="1351" t="s">
        <v>65</v>
      </c>
      <c r="U36" s="1352">
        <f t="shared" si="13"/>
        <v>100</v>
      </c>
      <c r="V36" s="1351" t="s">
        <v>65</v>
      </c>
      <c r="W36" s="1352">
        <f t="shared" si="14"/>
        <v>100</v>
      </c>
      <c r="X36" s="1339"/>
      <c r="Y36" s="3662"/>
      <c r="Z36" s="1353" t="str">
        <f t="shared" si="15"/>
        <v>内部装修</v>
      </c>
      <c r="AA36" s="1354">
        <f t="shared" si="3"/>
        <v>1</v>
      </c>
      <c r="AB36" s="1354">
        <f t="shared" si="4"/>
        <v>1</v>
      </c>
      <c r="AC36" s="1354">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8"/>
      <c r="M37" s="2293"/>
      <c r="N37" s="2293"/>
      <c r="O37" s="2337"/>
      <c r="P37" s="3662"/>
      <c r="Q37" s="1350" t="str">
        <f t="shared" si="11"/>
        <v>内部装修状况</v>
      </c>
      <c r="R37" s="1351" t="s">
        <v>65</v>
      </c>
      <c r="S37" s="1352">
        <f t="shared" si="12"/>
        <v>100</v>
      </c>
      <c r="T37" s="1351" t="s">
        <v>65</v>
      </c>
      <c r="U37" s="1352">
        <f t="shared" si="13"/>
        <v>100</v>
      </c>
      <c r="V37" s="1351" t="s">
        <v>65</v>
      </c>
      <c r="W37" s="1352">
        <f t="shared" si="14"/>
        <v>100</v>
      </c>
      <c r="X37" s="1339"/>
      <c r="Y37" s="3662"/>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7"/>
      <c r="M38" s="2299"/>
      <c r="N38" s="2299"/>
      <c r="O38" s="2338"/>
      <c r="P38" s="3662"/>
      <c r="Q38" s="1358">
        <f t="shared" si="11"/>
        <v>111</v>
      </c>
      <c r="R38" s="1359" t="s">
        <v>65</v>
      </c>
      <c r="S38" s="1360">
        <f t="shared" si="12"/>
        <v>100</v>
      </c>
      <c r="T38" s="1359" t="s">
        <v>65</v>
      </c>
      <c r="U38" s="1360">
        <f t="shared" si="13"/>
        <v>100</v>
      </c>
      <c r="V38" s="1359" t="s">
        <v>65</v>
      </c>
      <c r="W38" s="1360">
        <f t="shared" si="14"/>
        <v>100</v>
      </c>
      <c r="X38" s="1361"/>
      <c r="Y38" s="3662"/>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8"/>
      <c r="M39" s="2293"/>
      <c r="N39" s="2293"/>
      <c r="O39" s="2337"/>
      <c r="P39" s="3662"/>
      <c r="Q39" s="1350">
        <f t="shared" si="11"/>
        <v>111</v>
      </c>
      <c r="R39" s="1351" t="s">
        <v>65</v>
      </c>
      <c r="S39" s="1352">
        <f t="shared" si="12"/>
        <v>100</v>
      </c>
      <c r="T39" s="1351" t="s">
        <v>65</v>
      </c>
      <c r="U39" s="1352">
        <f t="shared" si="13"/>
        <v>100</v>
      </c>
      <c r="V39" s="1351" t="s">
        <v>65</v>
      </c>
      <c r="W39" s="1352">
        <f t="shared" si="14"/>
        <v>100</v>
      </c>
      <c r="X39" s="1339"/>
      <c r="Y39" s="3662"/>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8"/>
      <c r="M40" s="2293"/>
      <c r="N40" s="2293"/>
      <c r="O40" s="2337"/>
      <c r="P40" s="3663"/>
      <c r="Q40" s="1350">
        <f t="shared" si="11"/>
        <v>111</v>
      </c>
      <c r="R40" s="1351" t="s">
        <v>65</v>
      </c>
      <c r="S40" s="1352">
        <f t="shared" si="12"/>
        <v>100</v>
      </c>
      <c r="T40" s="1351" t="s">
        <v>65</v>
      </c>
      <c r="U40" s="1352">
        <f t="shared" si="13"/>
        <v>100</v>
      </c>
      <c r="V40" s="1351" t="s">
        <v>65</v>
      </c>
      <c r="W40" s="1352">
        <f t="shared" si="14"/>
        <v>100</v>
      </c>
      <c r="X40" s="1339"/>
      <c r="Y40" s="3663"/>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0"/>
      <c r="M41" s="2301"/>
      <c r="N41" s="2293"/>
      <c r="O41" s="2301"/>
      <c r="P41" s="3650" t="str">
        <f>A41</f>
        <v>成交单价（元/平方米）</v>
      </c>
      <c r="Q41" s="3650"/>
      <c r="R41" s="3651">
        <f>E41</f>
        <v>0</v>
      </c>
      <c r="S41" s="3651"/>
      <c r="T41" s="3651">
        <f>G41</f>
        <v>0</v>
      </c>
      <c r="U41" s="3651"/>
      <c r="V41" s="3651">
        <f>I41</f>
        <v>0</v>
      </c>
      <c r="W41" s="3651"/>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0"/>
      <c r="M42" s="2301"/>
      <c r="N42" s="2293"/>
      <c r="O42" s="2301"/>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1364"/>
      <c r="Y42" s="1364"/>
      <c r="Z42" s="1364"/>
      <c r="AA42" s="1364"/>
      <c r="AB42" s="1364"/>
      <c r="AC42" s="1364"/>
    </row>
    <row r="43" spans="1:29" ht="15.75" thickBot="1">
      <c r="A43" s="115" t="s">
        <v>3025</v>
      </c>
      <c r="B43" s="116"/>
      <c r="C43" s="2843" t="e">
        <f>R43</f>
        <v>#DIV/0!</v>
      </c>
      <c r="D43" s="2843"/>
      <c r="E43" s="2843"/>
      <c r="F43" s="2843"/>
      <c r="G43" s="2843"/>
      <c r="H43" s="2843"/>
      <c r="I43" s="2843"/>
      <c r="J43" s="2843"/>
      <c r="K43" s="1394"/>
      <c r="L43" s="2300"/>
      <c r="M43" s="2301"/>
      <c r="N43" s="2301"/>
      <c r="O43" s="2301"/>
      <c r="P43" s="3652" t="str">
        <f>A43</f>
        <v>估价对象XX用房的比较价值（楼面单价，元/平方米）</v>
      </c>
      <c r="Q43" s="3653"/>
      <c r="R43" s="3654" t="e">
        <f>IF(F1="售价",ROUND(AVERAGE(R42:V42),0),ROUND(AVERAGE(R42:V42),1))</f>
        <v>#DIV/0!</v>
      </c>
      <c r="S43" s="3654"/>
      <c r="T43" s="3654"/>
      <c r="U43" s="3654"/>
      <c r="V43" s="3654"/>
      <c r="W43" s="3654"/>
      <c r="X43" s="1364"/>
      <c r="Y43" s="1364"/>
      <c r="Z43" s="1364"/>
      <c r="AA43" s="1364"/>
      <c r="AB43" s="1364"/>
      <c r="AC43" s="1364"/>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1" t="s">
        <v>127</v>
      </c>
      <c r="B51" s="1364"/>
      <c r="C51" s="1372"/>
      <c r="D51" s="1372"/>
      <c r="E51" s="1372"/>
      <c r="F51" s="1373"/>
      <c r="G51" s="1373"/>
      <c r="H51" s="1372"/>
      <c r="I51" s="1372"/>
      <c r="J51" s="1372"/>
      <c r="K51" s="2307"/>
      <c r="L51" s="2308"/>
      <c r="M51" s="2309"/>
      <c r="N51" s="2309"/>
      <c r="O51" s="2309"/>
      <c r="P51" s="120"/>
      <c r="Q51" s="121"/>
    </row>
    <row r="52" spans="1:17" s="850" customFormat="1" ht="15">
      <c r="A52" s="847" t="s">
        <v>2800</v>
      </c>
      <c r="B52" s="848"/>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9"/>
    </row>
    <row r="53" spans="1:17" s="40" customFormat="1" ht="14.25">
      <c r="A53" s="1044"/>
      <c r="B53" s="1045"/>
      <c r="C53" s="3040">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1008</v>
      </c>
      <c r="D59" s="881" t="s">
        <v>1009</v>
      </c>
      <c r="E59" s="881" t="s">
        <v>1010</v>
      </c>
      <c r="F59" s="881" t="s">
        <v>1011</v>
      </c>
      <c r="G59" s="881" t="s">
        <v>1012</v>
      </c>
      <c r="H59" s="881" t="s">
        <v>1013</v>
      </c>
      <c r="I59" s="881" t="s">
        <v>1014</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1015</v>
      </c>
      <c r="D70" s="915" t="s">
        <v>1016</v>
      </c>
      <c r="E70" s="915" t="s">
        <v>1017</v>
      </c>
      <c r="F70" s="915" t="s">
        <v>1018</v>
      </c>
      <c r="G70" s="915" t="s">
        <v>1019</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1015</v>
      </c>
      <c r="D72" s="920" t="s">
        <v>1016</v>
      </c>
      <c r="E72" s="920" t="s">
        <v>1017</v>
      </c>
      <c r="F72" s="920" t="s">
        <v>1018</v>
      </c>
      <c r="G72" s="920" t="s">
        <v>1019</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2643</v>
      </c>
      <c r="C74" s="920" t="s">
        <v>1015</v>
      </c>
      <c r="D74" s="920" t="s">
        <v>1016</v>
      </c>
      <c r="E74" s="920" t="s">
        <v>1017</v>
      </c>
      <c r="F74" s="920" t="s">
        <v>1018</v>
      </c>
      <c r="G74" s="920" t="s">
        <v>1019</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2671</v>
      </c>
      <c r="C76" s="213" t="s">
        <v>2663</v>
      </c>
      <c r="D76" s="213" t="s">
        <v>2664</v>
      </c>
      <c r="E76" s="213" t="s">
        <v>2665</v>
      </c>
      <c r="F76" s="213" t="s">
        <v>2666</v>
      </c>
      <c r="G76" s="213" t="s">
        <v>2667</v>
      </c>
      <c r="H76" s="881"/>
      <c r="I76" s="881"/>
      <c r="J76" s="881"/>
      <c r="K76" s="881"/>
      <c r="L76" s="881"/>
      <c r="M76" s="2762"/>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1015</v>
      </c>
      <c r="D78" s="920" t="s">
        <v>1016</v>
      </c>
      <c r="E78" s="920" t="s">
        <v>1017</v>
      </c>
      <c r="F78" s="920" t="s">
        <v>1018</v>
      </c>
      <c r="G78" s="920" t="s">
        <v>1019</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1015</v>
      </c>
      <c r="D106" s="920" t="s">
        <v>1016</v>
      </c>
      <c r="E106" s="920" t="s">
        <v>1017</v>
      </c>
      <c r="F106" s="920" t="s">
        <v>1018</v>
      </c>
      <c r="G106" s="920" t="s">
        <v>1019</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4" t="e">
        <f ca="1">IF(C2="——",ROUND(C37*D3/10000,0),ROUND(C37*D3/10000,0)-D2)</f>
        <v>#DIV/0!</v>
      </c>
      <c r="C2" s="3098"/>
      <c r="D2" s="2339" t="e">
        <f ca="1">SUMIF(INDIRECT("'"&amp;F2&amp;"'"&amp;"!A:A"),"承租人权益价值",INDIRECT("'"&amp;F2&amp;"'"&amp;"!c:c"))</f>
        <v>#REF!</v>
      </c>
      <c r="E2" s="3099" t="s">
        <v>867</v>
      </c>
      <c r="F2" s="3100"/>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1" customFormat="1" ht="28.5" customHeight="1" thickBot="1">
      <c r="A3" s="579" t="s">
        <v>447</v>
      </c>
      <c r="B3" s="951" t="e">
        <f ca="1">IF(C2="——",C37,ROUND(B2*10000/D3,0))</f>
        <v>#DIV/0!</v>
      </c>
      <c r="C3" s="743" t="s">
        <v>448</v>
      </c>
      <c r="D3" s="742">
        <f>SUMIF('数据-汇总表'!$C19:$C33,D1,'数据-汇总表'!$E19:$E33)</f>
        <v>0</v>
      </c>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4" t="s">
        <v>449</v>
      </c>
      <c r="B4" s="745"/>
      <c r="C4" s="3628" t="s">
        <v>450</v>
      </c>
      <c r="D4" s="3629"/>
      <c r="E4" s="3630" t="s">
        <v>451</v>
      </c>
      <c r="F4" s="3631"/>
      <c r="G4" s="3628" t="s">
        <v>452</v>
      </c>
      <c r="H4" s="3629"/>
      <c r="I4" s="3628" t="s">
        <v>453</v>
      </c>
      <c r="J4" s="3629"/>
      <c r="K4" s="952" t="s">
        <v>454</v>
      </c>
      <c r="L4" s="2345"/>
      <c r="M4" s="2346"/>
      <c r="N4" s="2346"/>
      <c r="O4" s="2346"/>
      <c r="P4" s="3632" t="s">
        <v>455</v>
      </c>
      <c r="Q4" s="3633"/>
      <c r="R4" s="3615" t="s">
        <v>451</v>
      </c>
      <c r="S4" s="3616"/>
      <c r="T4" s="3615" t="s">
        <v>452</v>
      </c>
      <c r="U4" s="3616"/>
      <c r="V4" s="3640" t="s">
        <v>453</v>
      </c>
      <c r="W4" s="3640"/>
      <c r="X4" s="1317"/>
      <c r="Y4" s="3615" t="s">
        <v>455</v>
      </c>
      <c r="Z4" s="3616"/>
      <c r="AA4" s="3610" t="s">
        <v>451</v>
      </c>
      <c r="AB4" s="3611" t="s">
        <v>452</v>
      </c>
      <c r="AC4" s="3610" t="s">
        <v>453</v>
      </c>
    </row>
    <row r="5" spans="1:29" ht="15">
      <c r="A5" s="747"/>
      <c r="B5" s="748"/>
      <c r="C5" s="3688" t="s">
        <v>1129</v>
      </c>
      <c r="D5" s="3689"/>
      <c r="E5" s="3690" t="s">
        <v>1130</v>
      </c>
      <c r="F5" s="3691"/>
      <c r="G5" s="3688" t="s">
        <v>61</v>
      </c>
      <c r="H5" s="3689"/>
      <c r="I5" s="3688" t="s">
        <v>1131</v>
      </c>
      <c r="J5" s="3689"/>
      <c r="K5" s="952"/>
      <c r="L5" s="2345"/>
      <c r="M5" s="2346"/>
      <c r="N5" s="2346"/>
      <c r="O5" s="2346"/>
      <c r="P5" s="3634"/>
      <c r="Q5" s="3635"/>
      <c r="R5" s="3617"/>
      <c r="S5" s="3618"/>
      <c r="T5" s="3617"/>
      <c r="U5" s="3618"/>
      <c r="V5" s="3640"/>
      <c r="W5" s="3640"/>
      <c r="X5" s="1317"/>
      <c r="Y5" s="3617"/>
      <c r="Z5" s="3618"/>
      <c r="AA5" s="3611"/>
      <c r="AB5" s="3611"/>
      <c r="AC5" s="3611"/>
    </row>
    <row r="6" spans="1:29" ht="15.75" thickBot="1">
      <c r="A6" s="749"/>
      <c r="B6" s="750"/>
      <c r="C6" s="3692" t="s">
        <v>1132</v>
      </c>
      <c r="D6" s="3693"/>
      <c r="E6" s="3694" t="s">
        <v>1132</v>
      </c>
      <c r="F6" s="3695"/>
      <c r="G6" s="3692" t="s">
        <v>1132</v>
      </c>
      <c r="H6" s="3693"/>
      <c r="I6" s="3692" t="s">
        <v>1132</v>
      </c>
      <c r="J6" s="3693"/>
      <c r="K6" s="952" t="s">
        <v>397</v>
      </c>
      <c r="L6" s="2345"/>
      <c r="M6" s="2346"/>
      <c r="N6" s="2346"/>
      <c r="O6" s="2346"/>
      <c r="P6" s="3636"/>
      <c r="Q6" s="3637"/>
      <c r="R6" s="3617"/>
      <c r="S6" s="3618"/>
      <c r="T6" s="3638"/>
      <c r="U6" s="3639"/>
      <c r="V6" s="3640"/>
      <c r="W6" s="3640"/>
      <c r="X6" s="1317"/>
      <c r="Y6" s="3638"/>
      <c r="Z6" s="3639"/>
      <c r="AA6" s="3612"/>
      <c r="AB6" s="3612"/>
      <c r="AC6" s="3612"/>
    </row>
    <row r="7" spans="1:29" s="407" customFormat="1" ht="15.75" thickBot="1">
      <c r="A7" s="751" t="s">
        <v>398</v>
      </c>
      <c r="B7" s="752"/>
      <c r="C7" s="753">
        <f>'数据-取费表'!B2</f>
        <v>42935</v>
      </c>
      <c r="D7" s="754">
        <v>100</v>
      </c>
      <c r="E7" s="1016"/>
      <c r="F7" s="756">
        <f>SUMIF(46:46,YEAR(E7)&amp;"-"&amp;MONTH(E7),47:47)</f>
        <v>0</v>
      </c>
      <c r="G7" s="1017"/>
      <c r="H7" s="754">
        <f>SUMIF(46:46,YEAR(G7)&amp;"-"&amp;MONTH(G7),47:47)</f>
        <v>0</v>
      </c>
      <c r="I7" s="1016"/>
      <c r="J7" s="754">
        <f>SUMIF(46:46,YEAR(I7)&amp;"-"&amp;MONTH(I7),47:47)</f>
        <v>0</v>
      </c>
      <c r="K7" s="953"/>
      <c r="L7" s="2347"/>
      <c r="M7" s="2348"/>
      <c r="N7" s="2348"/>
      <c r="O7" s="2348"/>
      <c r="P7" s="3613" t="s">
        <v>399</v>
      </c>
      <c r="Q7" s="3641"/>
      <c r="R7" s="1318" t="s">
        <v>65</v>
      </c>
      <c r="S7" s="1319">
        <f t="shared" ref="S7:S14" si="0">F7</f>
        <v>0</v>
      </c>
      <c r="T7" s="1318" t="s">
        <v>65</v>
      </c>
      <c r="U7" s="1319">
        <f t="shared" ref="U7:U14" si="1">H7</f>
        <v>0</v>
      </c>
      <c r="V7" s="1318" t="s">
        <v>65</v>
      </c>
      <c r="W7" s="1319">
        <f t="shared" ref="W7:W14" si="2">J7</f>
        <v>0</v>
      </c>
      <c r="X7" s="1320"/>
      <c r="Y7" s="3613" t="s">
        <v>399</v>
      </c>
      <c r="Z7" s="3614"/>
      <c r="AA7" s="1321" t="e">
        <f>D7/F7</f>
        <v>#DIV/0!</v>
      </c>
      <c r="AB7" s="1321" t="e">
        <f>D7/H7</f>
        <v>#DIV/0!</v>
      </c>
      <c r="AC7" s="1321"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3"/>
      <c r="L8" s="2347"/>
      <c r="M8" s="2348"/>
      <c r="N8" s="2348"/>
      <c r="O8" s="2348"/>
      <c r="P8" s="3613" t="s">
        <v>435</v>
      </c>
      <c r="Q8" s="3614"/>
      <c r="R8" s="1318" t="s">
        <v>65</v>
      </c>
      <c r="S8" s="1319">
        <f t="shared" si="0"/>
        <v>0</v>
      </c>
      <c r="T8" s="1318" t="s">
        <v>65</v>
      </c>
      <c r="U8" s="1319">
        <f t="shared" si="1"/>
        <v>0</v>
      </c>
      <c r="V8" s="1318" t="s">
        <v>65</v>
      </c>
      <c r="W8" s="1319">
        <f t="shared" si="2"/>
        <v>0</v>
      </c>
      <c r="X8" s="1320"/>
      <c r="Y8" s="3613" t="s">
        <v>435</v>
      </c>
      <c r="Z8" s="3614"/>
      <c r="AA8" s="1321" t="e">
        <f t="shared" ref="AA8:AA34" si="3">D8/F8</f>
        <v>#DIV/0!</v>
      </c>
      <c r="AB8" s="1321" t="e">
        <f t="shared" ref="AB8:AB34" si="4">D8/H8</f>
        <v>#DIV/0!</v>
      </c>
      <c r="AC8" s="1321" t="e">
        <f t="shared" ref="AC8:AC34" si="5">D8/J8</f>
        <v>#DIV/0!</v>
      </c>
    </row>
    <row r="9" spans="1:29" s="407" customFormat="1">
      <c r="A9" s="758" t="s">
        <v>401</v>
      </c>
      <c r="B9" s="361" t="s">
        <v>419</v>
      </c>
      <c r="C9" s="1345"/>
      <c r="D9" s="425">
        <v>100</v>
      </c>
      <c r="E9" s="761"/>
      <c r="F9" s="760">
        <f>SUMIF(51:51,E9,52:52)-SUMIF(51:51,C9,52:52)+100</f>
        <v>100</v>
      </c>
      <c r="G9" s="761"/>
      <c r="H9" s="425">
        <f>SUMIF(51:51,G9,52:52)-SUMIF(51:51,C9,52:52)+100</f>
        <v>100</v>
      </c>
      <c r="I9" s="761"/>
      <c r="J9" s="425">
        <f>SUMIF(51:51,I9,52:52)-SUMIF(51:51,C9,52:52)+100</f>
        <v>100</v>
      </c>
      <c r="K9" s="953"/>
      <c r="L9" s="2347"/>
      <c r="M9" s="2348"/>
      <c r="N9" s="2348"/>
      <c r="O9" s="2349"/>
      <c r="P9" s="3627" t="s">
        <v>402</v>
      </c>
      <c r="Q9" s="296" t="str">
        <f t="shared" ref="Q9:Q14" si="6">B9</f>
        <v>用途</v>
      </c>
      <c r="R9" s="1318" t="s">
        <v>65</v>
      </c>
      <c r="S9" s="1319">
        <f t="shared" si="0"/>
        <v>100</v>
      </c>
      <c r="T9" s="1318" t="s">
        <v>65</v>
      </c>
      <c r="U9" s="1319">
        <f t="shared" si="1"/>
        <v>100</v>
      </c>
      <c r="V9" s="1318" t="s">
        <v>65</v>
      </c>
      <c r="W9" s="1319">
        <f t="shared" si="2"/>
        <v>100</v>
      </c>
      <c r="X9" s="1320"/>
      <c r="Y9" s="3588" t="s">
        <v>403</v>
      </c>
      <c r="Z9" s="344" t="str">
        <f t="shared" ref="Z9:Z14" si="7">Q9</f>
        <v>用途</v>
      </c>
      <c r="AA9" s="1321">
        <f t="shared" si="3"/>
        <v>1</v>
      </c>
      <c r="AB9" s="1321">
        <f t="shared" si="4"/>
        <v>1</v>
      </c>
      <c r="AC9" s="1321">
        <f t="shared" si="5"/>
        <v>1</v>
      </c>
    </row>
    <row r="10" spans="1:29" s="769" customFormat="1" ht="27">
      <c r="A10" s="763"/>
      <c r="B10" s="764" t="s">
        <v>404</v>
      </c>
      <c r="C10" s="765"/>
      <c r="D10" s="426">
        <v>100</v>
      </c>
      <c r="E10" s="765"/>
      <c r="F10" s="767">
        <f>SUMIF(53:53,E10,54:54)-SUMIF(53:53,C10,54:54)+100</f>
        <v>100</v>
      </c>
      <c r="G10" s="765"/>
      <c r="H10" s="426">
        <f>SUMIF(53:53,G10,54:54)-SUMIF(53:53,C10,54:54)+100</f>
        <v>100</v>
      </c>
      <c r="I10" s="765"/>
      <c r="J10" s="426">
        <f>SUMIF(53:53,I10,54:54)-SUMIF(53:53,C10,54:54)+100</f>
        <v>100</v>
      </c>
      <c r="K10" s="954"/>
      <c r="L10" s="2350"/>
      <c r="M10" s="2351"/>
      <c r="N10" s="2351"/>
      <c r="O10" s="2352"/>
      <c r="P10" s="3627"/>
      <c r="Q10" s="296" t="str">
        <f t="shared" si="6"/>
        <v>土地使用年限（年）</v>
      </c>
      <c r="R10" s="1318" t="s">
        <v>65</v>
      </c>
      <c r="S10" s="1319">
        <f t="shared" si="0"/>
        <v>100</v>
      </c>
      <c r="T10" s="1318" t="s">
        <v>65</v>
      </c>
      <c r="U10" s="1319">
        <f t="shared" si="1"/>
        <v>100</v>
      </c>
      <c r="V10" s="1318" t="s">
        <v>65</v>
      </c>
      <c r="W10" s="1319">
        <f t="shared" si="2"/>
        <v>100</v>
      </c>
      <c r="X10" s="1320"/>
      <c r="Y10" s="3588"/>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3"/>
      <c r="M11" s="2346"/>
      <c r="N11" s="2346"/>
      <c r="O11" s="2354"/>
      <c r="P11" s="3627"/>
      <c r="Q11" s="296">
        <f t="shared" si="6"/>
        <v>111</v>
      </c>
      <c r="R11" s="1318" t="s">
        <v>65</v>
      </c>
      <c r="S11" s="1319">
        <f t="shared" si="0"/>
        <v>100</v>
      </c>
      <c r="T11" s="1318" t="s">
        <v>65</v>
      </c>
      <c r="U11" s="1319">
        <f t="shared" si="1"/>
        <v>100</v>
      </c>
      <c r="V11" s="1318" t="s">
        <v>65</v>
      </c>
      <c r="W11" s="1319">
        <f t="shared" si="2"/>
        <v>100</v>
      </c>
      <c r="X11" s="1320"/>
      <c r="Y11" s="3588"/>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47"/>
      <c r="M12" s="2348"/>
      <c r="N12" s="2348"/>
      <c r="O12" s="2349"/>
      <c r="P12" s="3627"/>
      <c r="Q12" s="296">
        <f t="shared" si="6"/>
        <v>111</v>
      </c>
      <c r="R12" s="1318" t="s">
        <v>65</v>
      </c>
      <c r="S12" s="1319">
        <f t="shared" si="0"/>
        <v>100</v>
      </c>
      <c r="T12" s="1318" t="s">
        <v>65</v>
      </c>
      <c r="U12" s="1319">
        <f t="shared" si="1"/>
        <v>100</v>
      </c>
      <c r="V12" s="1318" t="s">
        <v>65</v>
      </c>
      <c r="W12" s="1319">
        <f t="shared" si="2"/>
        <v>100</v>
      </c>
      <c r="X12" s="1320"/>
      <c r="Y12" s="3588"/>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5"/>
      <c r="M13" s="2346"/>
      <c r="N13" s="2346"/>
      <c r="O13" s="2354"/>
      <c r="P13" s="3627"/>
      <c r="Q13" s="296">
        <f t="shared" si="6"/>
        <v>111</v>
      </c>
      <c r="R13" s="1318" t="s">
        <v>65</v>
      </c>
      <c r="S13" s="1319">
        <f t="shared" si="0"/>
        <v>100</v>
      </c>
      <c r="T13" s="1318" t="s">
        <v>65</v>
      </c>
      <c r="U13" s="1319">
        <f t="shared" si="1"/>
        <v>100</v>
      </c>
      <c r="V13" s="1318" t="s">
        <v>65</v>
      </c>
      <c r="W13" s="1319">
        <f t="shared" si="2"/>
        <v>100</v>
      </c>
      <c r="X13" s="1320"/>
      <c r="Y13" s="3588"/>
      <c r="Z13" s="344">
        <f t="shared" si="7"/>
        <v>111</v>
      </c>
      <c r="AA13" s="1321">
        <f t="shared" si="3"/>
        <v>1</v>
      </c>
      <c r="AB13" s="1321">
        <f t="shared" si="4"/>
        <v>1</v>
      </c>
      <c r="AC13" s="1321">
        <f t="shared" si="5"/>
        <v>1</v>
      </c>
    </row>
    <row r="14" spans="1:29" ht="175.5">
      <c r="A14" s="782" t="s">
        <v>406</v>
      </c>
      <c r="B14" s="359" t="s">
        <v>456</v>
      </c>
      <c r="C14" s="212" t="str">
        <f>IF(B1="工业",估价对象房地状况!G4,估价对象房地状况!C6)</f>
        <v>估价对象周边道路状况较好，有56、46、68路等多条公交线路经过，临近东二环路，估价对象所在商圈配有地下停车场，停车方便，综合评价交通便捷度较好。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5"/>
      <c r="M14" s="2346"/>
      <c r="N14" s="2346"/>
      <c r="O14" s="2354"/>
      <c r="P14" s="3642" t="s">
        <v>407</v>
      </c>
      <c r="Q14" s="1322" t="str">
        <f t="shared" si="6"/>
        <v>交通便捷度</v>
      </c>
      <c r="R14" s="1323" t="s">
        <v>65</v>
      </c>
      <c r="S14" s="1324">
        <f t="shared" si="0"/>
        <v>100</v>
      </c>
      <c r="T14" s="1323" t="s">
        <v>65</v>
      </c>
      <c r="U14" s="1324">
        <f t="shared" si="1"/>
        <v>100</v>
      </c>
      <c r="V14" s="1323" t="s">
        <v>65</v>
      </c>
      <c r="W14" s="1324">
        <f t="shared" si="2"/>
        <v>100</v>
      </c>
      <c r="X14" s="1317"/>
      <c r="Y14" s="3642"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5"/>
      <c r="M15" s="2346"/>
      <c r="N15" s="2346"/>
      <c r="O15" s="2354"/>
      <c r="P15" s="3643"/>
      <c r="Q15" s="1322"/>
      <c r="R15" s="1323"/>
      <c r="S15" s="1324"/>
      <c r="T15" s="1323"/>
      <c r="U15" s="1324"/>
      <c r="V15" s="1323"/>
      <c r="W15" s="1324"/>
      <c r="X15" s="1317"/>
      <c r="Y15" s="3643"/>
      <c r="Z15" s="1325"/>
      <c r="AA15" s="1326">
        <v>1</v>
      </c>
      <c r="AB15" s="1326">
        <v>1</v>
      </c>
      <c r="AC15" s="1326">
        <v>1</v>
      </c>
    </row>
    <row r="16" spans="1:29" ht="189">
      <c r="A16" s="770"/>
      <c r="B16" s="1355" t="s">
        <v>2672</v>
      </c>
      <c r="C16" s="158" t="str">
        <f>IF(B1="工业",估价对象房地状况!G5,估价对象房地状况!C7)</f>
        <v>估价对象所在区域有银行（工商银行、建设银行等）、医院（福建省第二人民医院）、学校（福州第十中学、福州市岳峰中心小学等）、超市（永辉超市）等，公共配套设施条件好。</v>
      </c>
      <c r="D16" s="797">
        <v>100</v>
      </c>
      <c r="E16" s="105"/>
      <c r="F16" s="800">
        <f>SUMIF(63:63,E17,64:64)-SUMIF(63:63,C17,64:64)+100</f>
        <v>100</v>
      </c>
      <c r="G16" s="106"/>
      <c r="H16" s="797">
        <f>SUMIF(63:63,G17,64:64)-SUMIF(63:63,C17,64:64)+100</f>
        <v>100</v>
      </c>
      <c r="I16" s="105"/>
      <c r="J16" s="797">
        <f>SUMIF(63:63,I17,64:64)-SUMIF(63:63,C17,64:64)+100</f>
        <v>100</v>
      </c>
      <c r="K16" s="956"/>
      <c r="L16" s="2355"/>
      <c r="M16" s="2346"/>
      <c r="N16" s="2346"/>
      <c r="O16" s="2354"/>
      <c r="P16" s="3643"/>
      <c r="Q16" s="1322" t="str">
        <f>B16</f>
        <v>公共配套设施</v>
      </c>
      <c r="R16" s="1323" t="s">
        <v>65</v>
      </c>
      <c r="S16" s="1324">
        <f>F16</f>
        <v>100</v>
      </c>
      <c r="T16" s="1323" t="s">
        <v>65</v>
      </c>
      <c r="U16" s="1324">
        <f>H16</f>
        <v>100</v>
      </c>
      <c r="V16" s="1323" t="s">
        <v>65</v>
      </c>
      <c r="W16" s="1324">
        <f>J16</f>
        <v>100</v>
      </c>
      <c r="X16" s="1317"/>
      <c r="Y16" s="3643"/>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5"/>
      <c r="M17" s="2346"/>
      <c r="N17" s="2346"/>
      <c r="O17" s="2354"/>
      <c r="P17" s="3643"/>
      <c r="Q17" s="1322"/>
      <c r="R17" s="1323"/>
      <c r="S17" s="1324"/>
      <c r="T17" s="1323"/>
      <c r="U17" s="1324"/>
      <c r="V17" s="1323"/>
      <c r="W17" s="1324"/>
      <c r="X17" s="1317"/>
      <c r="Y17" s="3643"/>
      <c r="Z17" s="1325"/>
      <c r="AA17" s="1326">
        <v>1</v>
      </c>
      <c r="AB17" s="1326">
        <v>1</v>
      </c>
      <c r="AC17" s="1326">
        <v>1</v>
      </c>
    </row>
    <row r="18" spans="1:29" ht="40.5">
      <c r="A18" s="770"/>
      <c r="B18" s="1411" t="s">
        <v>2674</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5"/>
      <c r="M18" s="2346"/>
      <c r="N18" s="2346"/>
      <c r="O18" s="2354"/>
      <c r="P18" s="3643"/>
      <c r="Q18" s="2746" t="str">
        <f>B18</f>
        <v>基础设施水平</v>
      </c>
      <c r="R18" s="1323" t="s">
        <v>65</v>
      </c>
      <c r="S18" s="1324">
        <f>F18</f>
        <v>100</v>
      </c>
      <c r="T18" s="1323" t="s">
        <v>65</v>
      </c>
      <c r="U18" s="1324">
        <f>H18</f>
        <v>100</v>
      </c>
      <c r="V18" s="1323" t="s">
        <v>65</v>
      </c>
      <c r="W18" s="1324">
        <f>J18</f>
        <v>100</v>
      </c>
      <c r="X18" s="2748"/>
      <c r="Y18" s="3643"/>
      <c r="Z18" s="2747" t="str">
        <f>Q18</f>
        <v>基础设施水平</v>
      </c>
      <c r="AA18" s="1326">
        <f t="shared" ref="AA18" si="8">D18/F18</f>
        <v>1</v>
      </c>
      <c r="AB18" s="1326">
        <f t="shared" ref="AB18" si="9">D18/H18</f>
        <v>1</v>
      </c>
      <c r="AC18" s="1326">
        <f t="shared" ref="AC18" si="10">D18/J18</f>
        <v>1</v>
      </c>
    </row>
    <row r="19" spans="1:29" ht="15">
      <c r="A19" s="770"/>
      <c r="B19" s="2766"/>
      <c r="C19" s="102"/>
      <c r="D19" s="792"/>
      <c r="E19" s="102"/>
      <c r="F19" s="795"/>
      <c r="G19" s="102"/>
      <c r="H19" s="790"/>
      <c r="I19" s="97"/>
      <c r="J19" s="790"/>
      <c r="K19" s="2764"/>
      <c r="L19" s="2355"/>
      <c r="M19" s="2346"/>
      <c r="N19" s="2346"/>
      <c r="O19" s="2354"/>
      <c r="P19" s="3643"/>
      <c r="Q19" s="2746"/>
      <c r="R19" s="1323"/>
      <c r="S19" s="1324"/>
      <c r="T19" s="1323"/>
      <c r="U19" s="1324"/>
      <c r="V19" s="1323"/>
      <c r="W19" s="1324"/>
      <c r="X19" s="2748"/>
      <c r="Y19" s="3643"/>
      <c r="Z19" s="2747"/>
      <c r="AA19" s="1326">
        <v>1</v>
      </c>
      <c r="AB19" s="1326">
        <v>1</v>
      </c>
      <c r="AC19" s="1326">
        <v>1</v>
      </c>
    </row>
    <row r="20" spans="1:29" ht="81">
      <c r="A20" s="770"/>
      <c r="B20" s="793" t="s">
        <v>457</v>
      </c>
      <c r="C20" s="158" t="str">
        <f>IF(B1="工业",估价对象房地状况!G7,估价对象房地状况!C9)</f>
        <v>估价对象周边有牛岗山公园、金鸡山公园；综合评价环境状况一般。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5"/>
      <c r="M20" s="2346"/>
      <c r="N20" s="2346"/>
      <c r="O20" s="2354"/>
      <c r="P20" s="3643"/>
      <c r="Q20" s="1322" t="str">
        <f>B20</f>
        <v>自然及人文环境</v>
      </c>
      <c r="R20" s="1323" t="s">
        <v>65</v>
      </c>
      <c r="S20" s="1324">
        <f>F20</f>
        <v>100</v>
      </c>
      <c r="T20" s="1323" t="s">
        <v>65</v>
      </c>
      <c r="U20" s="1324">
        <f>H20</f>
        <v>100</v>
      </c>
      <c r="V20" s="1323" t="s">
        <v>65</v>
      </c>
      <c r="W20" s="1324">
        <f>J20</f>
        <v>100</v>
      </c>
      <c r="X20" s="1317"/>
      <c r="Y20" s="3643"/>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5"/>
      <c r="M21" s="2346"/>
      <c r="N21" s="2346"/>
      <c r="O21" s="2354"/>
      <c r="P21" s="3643"/>
      <c r="Q21" s="1322"/>
      <c r="R21" s="1323"/>
      <c r="S21" s="1324"/>
      <c r="T21" s="1323"/>
      <c r="U21" s="1324"/>
      <c r="V21" s="1323"/>
      <c r="W21" s="1324"/>
      <c r="X21" s="1317"/>
      <c r="Y21" s="3643"/>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5"/>
      <c r="M22" s="2346"/>
      <c r="N22" s="2346"/>
      <c r="O22" s="2354"/>
      <c r="P22" s="3643"/>
      <c r="Q22" s="1322" t="str">
        <f>B22</f>
        <v>楼层</v>
      </c>
      <c r="R22" s="1323" t="s">
        <v>65</v>
      </c>
      <c r="S22" s="1324">
        <f>F22</f>
        <v>100</v>
      </c>
      <c r="T22" s="1323" t="s">
        <v>65</v>
      </c>
      <c r="U22" s="1324">
        <f>H22</f>
        <v>100</v>
      </c>
      <c r="V22" s="1323" t="s">
        <v>65</v>
      </c>
      <c r="W22" s="1324">
        <f>J22</f>
        <v>100</v>
      </c>
      <c r="X22" s="1317"/>
      <c r="Y22" s="3643"/>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5"/>
      <c r="M23" s="2346"/>
      <c r="N23" s="2346"/>
      <c r="O23" s="2354"/>
      <c r="P23" s="3643"/>
      <c r="Q23" s="1322">
        <f>B23</f>
        <v>111</v>
      </c>
      <c r="R23" s="1323" t="s">
        <v>65</v>
      </c>
      <c r="S23" s="1324">
        <f>F23</f>
        <v>100</v>
      </c>
      <c r="T23" s="1323" t="s">
        <v>65</v>
      </c>
      <c r="U23" s="1324">
        <f>H23</f>
        <v>100</v>
      </c>
      <c r="V23" s="1323" t="s">
        <v>65</v>
      </c>
      <c r="W23" s="1324">
        <f>J23</f>
        <v>100</v>
      </c>
      <c r="X23" s="1317"/>
      <c r="Y23" s="3643"/>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5"/>
      <c r="M24" s="2346"/>
      <c r="N24" s="2346"/>
      <c r="O24" s="2354"/>
      <c r="P24" s="3643"/>
      <c r="Q24" s="1322">
        <f t="shared" ref="Q24:Q34" si="11">B24</f>
        <v>111</v>
      </c>
      <c r="R24" s="1323" t="s">
        <v>65</v>
      </c>
      <c r="S24" s="1324">
        <f>F24</f>
        <v>100</v>
      </c>
      <c r="T24" s="1323" t="s">
        <v>65</v>
      </c>
      <c r="U24" s="1324">
        <f>H24</f>
        <v>100</v>
      </c>
      <c r="V24" s="1323" t="s">
        <v>65</v>
      </c>
      <c r="W24" s="1324">
        <f>J24</f>
        <v>100</v>
      </c>
      <c r="X24" s="1317"/>
      <c r="Y24" s="3643"/>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7"/>
      <c r="M25" s="2348"/>
      <c r="N25" s="2348"/>
      <c r="O25" s="2349"/>
      <c r="P25" s="3643"/>
      <c r="Q25" s="296">
        <f t="shared" si="11"/>
        <v>111</v>
      </c>
      <c r="R25" s="1318" t="s">
        <v>65</v>
      </c>
      <c r="S25" s="1319">
        <f>F25</f>
        <v>100</v>
      </c>
      <c r="T25" s="1318" t="s">
        <v>65</v>
      </c>
      <c r="U25" s="1319">
        <f>H25</f>
        <v>100</v>
      </c>
      <c r="V25" s="1318" t="s">
        <v>65</v>
      </c>
      <c r="W25" s="1319">
        <f>J25</f>
        <v>100</v>
      </c>
      <c r="X25" s="1320"/>
      <c r="Y25" s="3643"/>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5"/>
      <c r="M26" s="2346"/>
      <c r="N26" s="2346"/>
      <c r="O26" s="2354"/>
      <c r="P26" s="3644"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45"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3"/>
      <c r="M27" s="2356"/>
      <c r="N27" s="2356"/>
      <c r="O27" s="2357"/>
      <c r="P27" s="3645"/>
      <c r="Q27" s="1327" t="str">
        <f t="shared" si="11"/>
        <v>成新率</v>
      </c>
      <c r="R27" s="1328" t="s">
        <v>65</v>
      </c>
      <c r="S27" s="1329" t="e">
        <f t="shared" si="12"/>
        <v>#N/A</v>
      </c>
      <c r="T27" s="1328" t="s">
        <v>65</v>
      </c>
      <c r="U27" s="1329" t="e">
        <f t="shared" si="13"/>
        <v>#N/A</v>
      </c>
      <c r="V27" s="1328" t="s">
        <v>65</v>
      </c>
      <c r="W27" s="1329" t="e">
        <f t="shared" si="14"/>
        <v>#N/A</v>
      </c>
      <c r="X27" s="1330"/>
      <c r="Y27" s="3645"/>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5"/>
      <c r="M28" s="2346"/>
      <c r="N28" s="2346"/>
      <c r="O28" s="2354"/>
      <c r="P28" s="3645"/>
      <c r="Q28" s="1322" t="str">
        <f t="shared" si="11"/>
        <v>物业等级</v>
      </c>
      <c r="R28" s="1323" t="s">
        <v>65</v>
      </c>
      <c r="S28" s="1324">
        <f t="shared" si="12"/>
        <v>100</v>
      </c>
      <c r="T28" s="1323" t="s">
        <v>65</v>
      </c>
      <c r="U28" s="1324">
        <f t="shared" si="13"/>
        <v>100</v>
      </c>
      <c r="V28" s="1323" t="s">
        <v>65</v>
      </c>
      <c r="W28" s="1324">
        <f t="shared" si="14"/>
        <v>100</v>
      </c>
      <c r="X28" s="1317"/>
      <c r="Y28" s="3645"/>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5"/>
      <c r="M29" s="2346"/>
      <c r="N29" s="2346"/>
      <c r="O29" s="2354"/>
      <c r="P29" s="3645"/>
      <c r="Q29" s="1322" t="str">
        <f t="shared" si="11"/>
        <v>有无电梯</v>
      </c>
      <c r="R29" s="1323" t="s">
        <v>65</v>
      </c>
      <c r="S29" s="1324">
        <f t="shared" si="12"/>
        <v>100</v>
      </c>
      <c r="T29" s="1323" t="s">
        <v>65</v>
      </c>
      <c r="U29" s="1324">
        <f t="shared" si="13"/>
        <v>100</v>
      </c>
      <c r="V29" s="1323" t="s">
        <v>65</v>
      </c>
      <c r="W29" s="1324">
        <f t="shared" si="14"/>
        <v>100</v>
      </c>
      <c r="X29" s="1317"/>
      <c r="Y29" s="3645"/>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5"/>
      <c r="M30" s="2346"/>
      <c r="N30" s="2346"/>
      <c r="O30" s="2354"/>
      <c r="P30" s="3645"/>
      <c r="Q30" s="1322" t="str">
        <f t="shared" si="11"/>
        <v>建筑面积</v>
      </c>
      <c r="R30" s="1323" t="s">
        <v>65</v>
      </c>
      <c r="S30" s="1324" t="e">
        <f t="shared" si="12"/>
        <v>#N/A</v>
      </c>
      <c r="T30" s="1323" t="s">
        <v>65</v>
      </c>
      <c r="U30" s="1324" t="e">
        <f t="shared" si="13"/>
        <v>#N/A</v>
      </c>
      <c r="V30" s="1323" t="s">
        <v>65</v>
      </c>
      <c r="W30" s="1324" t="e">
        <f t="shared" si="14"/>
        <v>#N/A</v>
      </c>
      <c r="X30" s="1317"/>
      <c r="Y30" s="3645"/>
      <c r="Z30" s="1325" t="str">
        <f t="shared" si="15"/>
        <v>建筑面积</v>
      </c>
      <c r="AA30" s="1326" t="e">
        <f t="shared" si="3"/>
        <v>#N/A</v>
      </c>
      <c r="AB30" s="1326" t="e">
        <f t="shared" si="4"/>
        <v>#N/A</v>
      </c>
      <c r="AC30" s="1326" t="e">
        <f t="shared" si="5"/>
        <v>#N/A</v>
      </c>
    </row>
    <row r="31" spans="1:29" s="407" customFormat="1" ht="15">
      <c r="A31" s="815"/>
      <c r="B31" s="764" t="s">
        <v>477</v>
      </c>
      <c r="C31" s="1412"/>
      <c r="D31" s="426">
        <v>100</v>
      </c>
      <c r="E31" s="1412"/>
      <c r="F31" s="803">
        <f>SUMIF(89:89,E31,90:90)-SUMIF(89:89,C31,90:90)+100</f>
        <v>100</v>
      </c>
      <c r="G31" s="1412"/>
      <c r="H31" s="777">
        <f>SUMIF(89:89,G31,90:90)-SUMIF(89:89,C31,90:90)+100</f>
        <v>100</v>
      </c>
      <c r="I31" s="1412"/>
      <c r="J31" s="777">
        <f>SUMIF(89:89,I31,90:90)-SUMIF(89:89,C31,90:90)+100</f>
        <v>100</v>
      </c>
      <c r="K31" s="954"/>
      <c r="L31" s="2347"/>
      <c r="M31" s="2348"/>
      <c r="N31" s="2348"/>
      <c r="O31" s="2349"/>
      <c r="P31" s="3645"/>
      <c r="Q31" s="296" t="str">
        <f t="shared" si="11"/>
        <v>是否封闭</v>
      </c>
      <c r="R31" s="1318" t="s">
        <v>65</v>
      </c>
      <c r="S31" s="1319">
        <f t="shared" si="12"/>
        <v>100</v>
      </c>
      <c r="T31" s="1318" t="s">
        <v>65</v>
      </c>
      <c r="U31" s="1319">
        <f t="shared" si="13"/>
        <v>100</v>
      </c>
      <c r="V31" s="1318" t="s">
        <v>65</v>
      </c>
      <c r="W31" s="1319">
        <f t="shared" si="14"/>
        <v>100</v>
      </c>
      <c r="X31" s="1320"/>
      <c r="Y31" s="3645"/>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5"/>
      <c r="M32" s="2346"/>
      <c r="N32" s="2346"/>
      <c r="O32" s="2354"/>
      <c r="P32" s="3645" t="s">
        <v>409</v>
      </c>
      <c r="Q32" s="1322">
        <f t="shared" si="11"/>
        <v>111</v>
      </c>
      <c r="R32" s="1323" t="s">
        <v>65</v>
      </c>
      <c r="S32" s="1324">
        <f t="shared" si="12"/>
        <v>100</v>
      </c>
      <c r="T32" s="1323" t="s">
        <v>65</v>
      </c>
      <c r="U32" s="1324">
        <f t="shared" si="13"/>
        <v>100</v>
      </c>
      <c r="V32" s="1323" t="s">
        <v>65</v>
      </c>
      <c r="W32" s="1324">
        <f t="shared" si="14"/>
        <v>100</v>
      </c>
      <c r="X32" s="1317"/>
      <c r="Y32" s="3645"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5"/>
      <c r="M33" s="2346"/>
      <c r="N33" s="2346"/>
      <c r="O33" s="2354"/>
      <c r="P33" s="3645"/>
      <c r="Q33" s="1322">
        <f t="shared" si="11"/>
        <v>111</v>
      </c>
      <c r="R33" s="1323" t="s">
        <v>65</v>
      </c>
      <c r="S33" s="1324">
        <f t="shared" si="12"/>
        <v>100</v>
      </c>
      <c r="T33" s="1323" t="s">
        <v>65</v>
      </c>
      <c r="U33" s="1324">
        <f t="shared" si="13"/>
        <v>100</v>
      </c>
      <c r="V33" s="1323" t="s">
        <v>65</v>
      </c>
      <c r="W33" s="1324">
        <f t="shared" si="14"/>
        <v>100</v>
      </c>
      <c r="X33" s="1317"/>
      <c r="Y33" s="3645"/>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5"/>
      <c r="M34" s="2346"/>
      <c r="N34" s="2346"/>
      <c r="O34" s="2354"/>
      <c r="P34" s="3645"/>
      <c r="Q34" s="1322">
        <f t="shared" si="11"/>
        <v>111</v>
      </c>
      <c r="R34" s="1323" t="s">
        <v>65</v>
      </c>
      <c r="S34" s="1324">
        <f t="shared" si="12"/>
        <v>100</v>
      </c>
      <c r="T34" s="1323" t="s">
        <v>65</v>
      </c>
      <c r="U34" s="1324">
        <f t="shared" si="13"/>
        <v>100</v>
      </c>
      <c r="V34" s="1323" t="s">
        <v>65</v>
      </c>
      <c r="W34" s="1324">
        <f t="shared" si="14"/>
        <v>100</v>
      </c>
      <c r="X34" s="1317"/>
      <c r="Y34" s="3645"/>
      <c r="Z34" s="1325">
        <f t="shared" si="15"/>
        <v>111</v>
      </c>
      <c r="AA34" s="1326">
        <f t="shared" si="3"/>
        <v>1</v>
      </c>
      <c r="AB34" s="1326">
        <f t="shared" si="4"/>
        <v>1</v>
      </c>
      <c r="AC34" s="1326">
        <f t="shared" si="5"/>
        <v>1</v>
      </c>
    </row>
    <row r="35" spans="1:29" ht="15">
      <c r="A35" s="821" t="s">
        <v>410</v>
      </c>
      <c r="B35" s="822"/>
      <c r="C35" s="2833" t="s">
        <v>23</v>
      </c>
      <c r="D35" s="2834"/>
      <c r="E35" s="2835"/>
      <c r="F35" s="2836"/>
      <c r="G35" s="2837"/>
      <c r="H35" s="2838"/>
      <c r="I35" s="2835"/>
      <c r="J35" s="2838"/>
      <c r="K35" s="1399"/>
      <c r="L35" s="2358"/>
      <c r="M35" s="2359"/>
      <c r="N35" s="2346"/>
      <c r="O35" s="2359"/>
      <c r="P35" s="3627" t="str">
        <f>A35</f>
        <v>成交单价（元/平方米）</v>
      </c>
      <c r="Q35" s="3627"/>
      <c r="R35" s="3646">
        <f>E35</f>
        <v>0</v>
      </c>
      <c r="S35" s="3646"/>
      <c r="T35" s="3646">
        <f>G35</f>
        <v>0</v>
      </c>
      <c r="U35" s="3646"/>
      <c r="V35" s="3646">
        <f>I35</f>
        <v>0</v>
      </c>
      <c r="W35" s="3646"/>
      <c r="X35" s="1306"/>
      <c r="Y35" s="1332"/>
      <c r="Z35" s="1306"/>
      <c r="AA35" s="1306"/>
      <c r="AB35" s="1306"/>
      <c r="AC35" s="1306"/>
    </row>
    <row r="36" spans="1:29" ht="15.75" thickBot="1">
      <c r="A36" s="828" t="s">
        <v>411</v>
      </c>
      <c r="B36" s="829"/>
      <c r="C36" s="2839" t="e">
        <f>R37</f>
        <v>#DIV/0!</v>
      </c>
      <c r="D36" s="2840"/>
      <c r="E36" s="2841" t="e">
        <f>R36</f>
        <v>#DIV/0!</v>
      </c>
      <c r="F36" s="2841"/>
      <c r="G36" s="2839" t="e">
        <f>T36</f>
        <v>#DIV/0!</v>
      </c>
      <c r="H36" s="2840"/>
      <c r="I36" s="2841" t="e">
        <f>V36</f>
        <v>#DIV/0!</v>
      </c>
      <c r="J36" s="2840"/>
      <c r="K36" s="1400"/>
      <c r="L36" s="2358"/>
      <c r="M36" s="2359"/>
      <c r="N36" s="2346"/>
      <c r="O36" s="2359"/>
      <c r="P36" s="3627" t="str">
        <f>A36</f>
        <v>比较价值（元/平方米）</v>
      </c>
      <c r="Q36" s="3627"/>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1306"/>
      <c r="Y36" s="1306"/>
      <c r="Z36" s="1306"/>
      <c r="AA36" s="1306"/>
      <c r="AB36" s="1306"/>
      <c r="AC36" s="1306"/>
    </row>
    <row r="37" spans="1:29" ht="15.75" thickBot="1">
      <c r="A37" s="115" t="s">
        <v>3025</v>
      </c>
      <c r="B37" s="835"/>
      <c r="C37" s="2843" t="e">
        <f>R37</f>
        <v>#DIV/0!</v>
      </c>
      <c r="D37" s="2843"/>
      <c r="E37" s="2843"/>
      <c r="F37" s="2843"/>
      <c r="G37" s="2843"/>
      <c r="H37" s="2843"/>
      <c r="I37" s="2843"/>
      <c r="J37" s="2843"/>
      <c r="K37" s="1401"/>
      <c r="L37" s="2358"/>
      <c r="M37" s="2359"/>
      <c r="N37" s="2359"/>
      <c r="O37" s="2359"/>
      <c r="P37" s="3647" t="str">
        <f>A37</f>
        <v>估价对象XX用房的比较价值（楼面单价，元/平方米）</v>
      </c>
      <c r="Q37" s="3648"/>
      <c r="R37" s="3649" t="e">
        <f>IF(F1="售价",ROUND(AVERAGE(R36:V36),0),ROUND(AVERAGE(R36:V36),1))</f>
        <v>#DIV/0!</v>
      </c>
      <c r="S37" s="3649"/>
      <c r="T37" s="3649"/>
      <c r="U37" s="3649"/>
      <c r="V37" s="3649"/>
      <c r="W37" s="3649"/>
      <c r="X37" s="1306"/>
      <c r="Y37" s="1306"/>
      <c r="Z37" s="1306"/>
      <c r="AA37" s="1306"/>
      <c r="AB37" s="1306"/>
      <c r="AC37" s="1306"/>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5"/>
      <c r="L40" s="2186"/>
      <c r="M40" s="2359"/>
      <c r="N40" s="2359"/>
      <c r="O40" s="2359"/>
    </row>
    <row r="41" spans="1:29" ht="13.5" customHeight="1">
      <c r="A41" s="2359"/>
      <c r="B41" s="2359"/>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5"/>
      <c r="L41" s="2186"/>
      <c r="M41" s="2359"/>
      <c r="N41" s="2359"/>
      <c r="O41" s="2359"/>
    </row>
    <row r="42" spans="1:29" s="844" customFormat="1" ht="13.5" customHeight="1">
      <c r="A42" s="2360"/>
      <c r="B42" s="2360"/>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3"/>
      <c r="L42" s="2364"/>
      <c r="M42" s="2360"/>
      <c r="N42" s="2360"/>
      <c r="O42" s="2360"/>
    </row>
    <row r="43" spans="1:29" s="844"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9"/>
    </row>
    <row r="47" spans="1:29" s="407" customFormat="1" ht="15">
      <c r="A47" s="851"/>
      <c r="B47" s="852"/>
      <c r="C47" s="3040">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6"/>
      <c r="O49" s="2366"/>
      <c r="P49" s="868"/>
      <c r="Q49" s="846"/>
    </row>
    <row r="50" spans="1:17" s="407" customFormat="1" ht="15.75" thickBot="1">
      <c r="A50" s="863"/>
      <c r="B50" s="852"/>
      <c r="C50" s="981">
        <v>100</v>
      </c>
      <c r="D50" s="854"/>
      <c r="E50" s="854"/>
      <c r="F50" s="854"/>
      <c r="G50" s="854"/>
      <c r="H50" s="854"/>
      <c r="I50" s="854"/>
      <c r="J50" s="854"/>
      <c r="K50" s="854"/>
      <c r="L50" s="854"/>
      <c r="M50" s="856"/>
      <c r="N50" s="2366"/>
      <c r="O50" s="2366"/>
      <c r="P50" s="846"/>
      <c r="Q50" s="846"/>
    </row>
    <row r="51" spans="1:17">
      <c r="A51" s="869" t="s">
        <v>418</v>
      </c>
      <c r="B51" s="870" t="s">
        <v>419</v>
      </c>
      <c r="C51" s="871">
        <f>C9</f>
        <v>0</v>
      </c>
      <c r="D51" s="122"/>
      <c r="E51" s="122"/>
      <c r="F51" s="122"/>
      <c r="G51" s="122"/>
      <c r="H51" s="122"/>
      <c r="I51" s="122"/>
      <c r="J51" s="122"/>
      <c r="K51" s="123"/>
      <c r="L51" s="124"/>
      <c r="M51" s="125"/>
      <c r="N51" s="2367"/>
      <c r="O51" s="2367"/>
      <c r="P51" s="334"/>
      <c r="Q51" s="846"/>
    </row>
    <row r="52" spans="1:17" ht="15.75" thickBot="1">
      <c r="A52" s="876"/>
      <c r="B52" s="877"/>
      <c r="C52" s="878">
        <v>100</v>
      </c>
      <c r="D52" s="878"/>
      <c r="E52" s="878"/>
      <c r="F52" s="878"/>
      <c r="G52" s="878"/>
      <c r="H52" s="878"/>
      <c r="I52" s="878"/>
      <c r="J52" s="878"/>
      <c r="K52" s="878"/>
      <c r="L52" s="878"/>
      <c r="M52" s="879"/>
      <c r="N52" s="2368"/>
      <c r="O52" s="2368"/>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7"/>
      <c r="O53" s="2367"/>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8"/>
      <c r="O54" s="2368"/>
      <c r="P54" s="334"/>
      <c r="Q54" s="846"/>
    </row>
    <row r="55" spans="1:17" ht="15.75" thickTop="1">
      <c r="A55" s="876"/>
      <c r="B55" s="213">
        <f>B11</f>
        <v>111</v>
      </c>
      <c r="C55" s="126"/>
      <c r="D55" s="126"/>
      <c r="E55" s="126"/>
      <c r="F55" s="126"/>
      <c r="G55" s="126"/>
      <c r="H55" s="126"/>
      <c r="I55" s="126"/>
      <c r="J55" s="126"/>
      <c r="K55" s="127"/>
      <c r="L55" s="128"/>
      <c r="M55" s="129"/>
      <c r="N55" s="2367"/>
      <c r="O55" s="2367"/>
      <c r="P55" s="334"/>
      <c r="Q55" s="846"/>
    </row>
    <row r="56" spans="1:17" ht="15.75" thickBot="1">
      <c r="A56" s="876"/>
      <c r="B56" s="1052"/>
      <c r="C56" s="902"/>
      <c r="D56" s="878"/>
      <c r="E56" s="878"/>
      <c r="F56" s="878"/>
      <c r="G56" s="878"/>
      <c r="H56" s="878"/>
      <c r="I56" s="878"/>
      <c r="J56" s="878"/>
      <c r="K56" s="878"/>
      <c r="L56" s="878"/>
      <c r="M56" s="879"/>
      <c r="N56" s="2368"/>
      <c r="O56" s="2368"/>
      <c r="P56" s="334"/>
      <c r="Q56" s="846"/>
    </row>
    <row r="57" spans="1:17" s="813" customFormat="1" ht="15.75" thickTop="1">
      <c r="A57" s="895"/>
      <c r="B57" s="1053">
        <f>B12</f>
        <v>111</v>
      </c>
      <c r="C57" s="126"/>
      <c r="D57" s="126"/>
      <c r="E57" s="126"/>
      <c r="F57" s="126"/>
      <c r="G57" s="139"/>
      <c r="H57" s="1058"/>
      <c r="I57" s="1058"/>
      <c r="J57" s="1058"/>
      <c r="K57" s="1058"/>
      <c r="L57" s="1059"/>
      <c r="M57" s="1060"/>
      <c r="N57" s="2369"/>
      <c r="O57" s="2369"/>
      <c r="P57" s="900"/>
      <c r="Q57" s="901"/>
    </row>
    <row r="58" spans="1:17" s="813" customFormat="1" ht="15.75" thickBot="1">
      <c r="A58" s="895"/>
      <c r="B58" s="1054"/>
      <c r="C58" s="902"/>
      <c r="D58" s="878"/>
      <c r="E58" s="878"/>
      <c r="F58" s="878"/>
      <c r="G58" s="878"/>
      <c r="H58" s="878"/>
      <c r="I58" s="878"/>
      <c r="J58" s="878"/>
      <c r="K58" s="878"/>
      <c r="L58" s="878"/>
      <c r="M58" s="879"/>
      <c r="N58" s="2368"/>
      <c r="O58" s="2368"/>
      <c r="P58" s="900"/>
      <c r="Q58" s="901"/>
    </row>
    <row r="59" spans="1:17" s="813" customFormat="1" ht="15.75" thickTop="1">
      <c r="A59" s="895"/>
      <c r="B59" s="1053">
        <f>B13</f>
        <v>111</v>
      </c>
      <c r="C59" s="126"/>
      <c r="D59" s="126"/>
      <c r="E59" s="126"/>
      <c r="F59" s="126"/>
      <c r="G59" s="139"/>
      <c r="H59" s="1058"/>
      <c r="I59" s="1058"/>
      <c r="J59" s="1058"/>
      <c r="K59" s="1058"/>
      <c r="L59" s="1059"/>
      <c r="M59" s="1060"/>
      <c r="N59" s="2369"/>
      <c r="O59" s="2369"/>
      <c r="P59" s="812"/>
      <c r="Q59" s="903"/>
    </row>
    <row r="60" spans="1:17" s="813" customFormat="1" ht="15.75" thickBot="1">
      <c r="A60" s="895"/>
      <c r="B60" s="1054"/>
      <c r="C60" s="902"/>
      <c r="D60" s="902"/>
      <c r="E60" s="902"/>
      <c r="F60" s="902"/>
      <c r="G60" s="902"/>
      <c r="H60" s="904"/>
      <c r="I60" s="904"/>
      <c r="J60" s="904"/>
      <c r="K60" s="904"/>
      <c r="L60" s="904"/>
      <c r="M60" s="905"/>
      <c r="N60" s="2369"/>
      <c r="O60" s="2369"/>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7"/>
      <c r="O61" s="2367"/>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8"/>
      <c r="O62" s="2368"/>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7"/>
      <c r="O63" s="2367"/>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8"/>
      <c r="O64" s="2368"/>
      <c r="P64" s="334"/>
      <c r="Q64" s="846"/>
    </row>
    <row r="65" spans="1:17" ht="15.75" thickTop="1">
      <c r="A65" s="876"/>
      <c r="B65" s="1055" t="s">
        <v>2673</v>
      </c>
      <c r="C65" s="213" t="s">
        <v>2663</v>
      </c>
      <c r="D65" s="213" t="s">
        <v>2664</v>
      </c>
      <c r="E65" s="213" t="s">
        <v>2665</v>
      </c>
      <c r="F65" s="213" t="s">
        <v>2666</v>
      </c>
      <c r="G65" s="213" t="s">
        <v>2667</v>
      </c>
      <c r="H65" s="881"/>
      <c r="I65" s="881"/>
      <c r="J65" s="881"/>
      <c r="K65" s="881"/>
      <c r="L65" s="881"/>
      <c r="M65" s="2762"/>
      <c r="N65" s="2368"/>
      <c r="O65" s="2368"/>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8"/>
      <c r="O66" s="2368"/>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7"/>
      <c r="O67" s="2367"/>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8"/>
      <c r="O68" s="2368"/>
      <c r="P68" s="334"/>
      <c r="Q68" s="846"/>
    </row>
    <row r="69" spans="1:17" ht="15.75" thickTop="1">
      <c r="A69" s="876"/>
      <c r="B69" s="880" t="s">
        <v>433</v>
      </c>
      <c r="C69" s="139"/>
      <c r="D69" s="139"/>
      <c r="E69" s="139"/>
      <c r="F69" s="139"/>
      <c r="G69" s="139"/>
      <c r="H69" s="131"/>
      <c r="I69" s="131"/>
      <c r="J69" s="131"/>
      <c r="K69" s="132"/>
      <c r="L69" s="133"/>
      <c r="M69" s="134"/>
      <c r="N69" s="2367"/>
      <c r="O69" s="2367"/>
      <c r="P69" s="334"/>
      <c r="Q69" s="846"/>
    </row>
    <row r="70" spans="1:17" ht="15.75" thickBot="1">
      <c r="A70" s="876"/>
      <c r="B70" s="885"/>
      <c r="C70" s="886">
        <v>100</v>
      </c>
      <c r="D70" s="886">
        <f>C70-$K22</f>
        <v>100</v>
      </c>
      <c r="E70" s="886"/>
      <c r="F70" s="886"/>
      <c r="G70" s="886"/>
      <c r="H70" s="886"/>
      <c r="I70" s="886"/>
      <c r="J70" s="886"/>
      <c r="K70" s="886"/>
      <c r="L70" s="886"/>
      <c r="M70" s="887"/>
      <c r="N70" s="2368"/>
      <c r="O70" s="2368"/>
      <c r="P70" s="334"/>
      <c r="Q70" s="846"/>
    </row>
    <row r="71" spans="1:17" s="407" customFormat="1" ht="15.75" thickTop="1">
      <c r="A71" s="921"/>
      <c r="B71" s="1053">
        <f>B23</f>
        <v>111</v>
      </c>
      <c r="C71" s="126"/>
      <c r="D71" s="126"/>
      <c r="E71" s="126"/>
      <c r="F71" s="126"/>
      <c r="G71" s="139"/>
      <c r="H71" s="139"/>
      <c r="I71" s="139"/>
      <c r="J71" s="139"/>
      <c r="K71" s="139"/>
      <c r="L71" s="1383"/>
      <c r="M71" s="1384"/>
      <c r="N71" s="2366"/>
      <c r="O71" s="2366"/>
      <c r="P71" s="334"/>
      <c r="Q71" s="846"/>
    </row>
    <row r="72" spans="1:17" s="407" customFormat="1" ht="15.75" thickBot="1">
      <c r="A72" s="921"/>
      <c r="B72" s="1054"/>
      <c r="C72" s="902"/>
      <c r="D72" s="878"/>
      <c r="E72" s="878"/>
      <c r="F72" s="878"/>
      <c r="G72" s="878"/>
      <c r="H72" s="878"/>
      <c r="I72" s="878"/>
      <c r="J72" s="878"/>
      <c r="K72" s="878"/>
      <c r="L72" s="878"/>
      <c r="M72" s="879"/>
      <c r="N72" s="2368"/>
      <c r="O72" s="2368"/>
      <c r="P72" s="334"/>
      <c r="Q72" s="846"/>
    </row>
    <row r="73" spans="1:17" s="407" customFormat="1" ht="15.75" thickTop="1">
      <c r="A73" s="921"/>
      <c r="B73" s="1053">
        <f>B24</f>
        <v>111</v>
      </c>
      <c r="C73" s="126"/>
      <c r="D73" s="126"/>
      <c r="E73" s="126"/>
      <c r="F73" s="126"/>
      <c r="G73" s="139"/>
      <c r="H73" s="139"/>
      <c r="I73" s="139"/>
      <c r="J73" s="139"/>
      <c r="K73" s="139"/>
      <c r="L73" s="139"/>
      <c r="M73" s="1384"/>
      <c r="N73" s="2366"/>
      <c r="O73" s="2366"/>
      <c r="P73" s="334"/>
      <c r="Q73" s="846"/>
    </row>
    <row r="74" spans="1:17" s="407" customFormat="1" ht="15.75" thickBot="1">
      <c r="A74" s="921"/>
      <c r="B74" s="1054"/>
      <c r="C74" s="902"/>
      <c r="D74" s="878"/>
      <c r="E74" s="878"/>
      <c r="F74" s="878"/>
      <c r="G74" s="878"/>
      <c r="H74" s="878"/>
      <c r="I74" s="878"/>
      <c r="J74" s="878"/>
      <c r="K74" s="878"/>
      <c r="L74" s="878"/>
      <c r="M74" s="879"/>
      <c r="N74" s="2368"/>
      <c r="O74" s="2368"/>
      <c r="P74" s="334"/>
      <c r="Q74" s="846"/>
    </row>
    <row r="75" spans="1:17" s="813" customFormat="1" ht="15.75" thickTop="1">
      <c r="A75" s="895"/>
      <c r="B75" s="1053">
        <f>B25</f>
        <v>111</v>
      </c>
      <c r="C75" s="126"/>
      <c r="D75" s="126"/>
      <c r="E75" s="126"/>
      <c r="F75" s="126"/>
      <c r="G75" s="139"/>
      <c r="H75" s="1058"/>
      <c r="I75" s="1058"/>
      <c r="J75" s="1058"/>
      <c r="K75" s="1058"/>
      <c r="L75" s="1059"/>
      <c r="M75" s="1060"/>
      <c r="N75" s="2369"/>
      <c r="O75" s="2369"/>
      <c r="P75" s="900"/>
      <c r="Q75" s="901"/>
    </row>
    <row r="76" spans="1:17" s="813" customFormat="1" ht="15.75" thickBot="1">
      <c r="A76" s="895"/>
      <c r="B76" s="1054"/>
      <c r="C76" s="902"/>
      <c r="D76" s="902"/>
      <c r="E76" s="902"/>
      <c r="F76" s="902"/>
      <c r="G76" s="878"/>
      <c r="H76" s="878"/>
      <c r="I76" s="878"/>
      <c r="J76" s="878"/>
      <c r="K76" s="878"/>
      <c r="L76" s="878"/>
      <c r="M76" s="879"/>
      <c r="N76" s="2369"/>
      <c r="O76" s="2369"/>
      <c r="P76" s="900"/>
      <c r="Q76" s="901"/>
    </row>
    <row r="77" spans="1:17" ht="15" thickTop="1">
      <c r="A77" s="869" t="s">
        <v>408</v>
      </c>
      <c r="B77" s="870" t="s">
        <v>434</v>
      </c>
      <c r="C77" s="139"/>
      <c r="D77" s="139"/>
      <c r="E77" s="122"/>
      <c r="F77" s="122"/>
      <c r="G77" s="122"/>
      <c r="H77" s="122"/>
      <c r="I77" s="122"/>
      <c r="J77" s="122"/>
      <c r="K77" s="123"/>
      <c r="L77" s="124"/>
      <c r="M77" s="125"/>
      <c r="N77" s="2367"/>
      <c r="O77" s="2367"/>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8"/>
      <c r="O78" s="2368"/>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6"/>
      <c r="O79" s="2366"/>
      <c r="P79" s="334"/>
      <c r="Q79" s="846"/>
    </row>
    <row r="80" spans="1:17" ht="15">
      <c r="A80" s="876"/>
      <c r="B80" s="888"/>
      <c r="C80" s="945">
        <v>0.5</v>
      </c>
      <c r="D80" s="945">
        <v>0.6</v>
      </c>
      <c r="E80" s="945">
        <v>0.7</v>
      </c>
      <c r="F80" s="945">
        <v>0.8</v>
      </c>
      <c r="G80" s="945">
        <v>0.9</v>
      </c>
      <c r="H80" s="945">
        <v>1.0001</v>
      </c>
      <c r="I80" s="1002"/>
      <c r="J80" s="1002"/>
      <c r="K80" s="1010"/>
      <c r="L80" s="1011"/>
      <c r="M80" s="1012"/>
      <c r="N80" s="2366"/>
      <c r="O80" s="2366"/>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8"/>
      <c r="O81" s="2368"/>
      <c r="P81" s="900"/>
      <c r="Q81" s="901"/>
    </row>
    <row r="82" spans="1:17" ht="15" thickTop="1">
      <c r="A82" s="941"/>
      <c r="B82" s="888" t="s">
        <v>470</v>
      </c>
      <c r="C82" s="139"/>
      <c r="D82" s="139"/>
      <c r="E82" s="131"/>
      <c r="F82" s="131"/>
      <c r="G82" s="131"/>
      <c r="H82" s="131"/>
      <c r="I82" s="131"/>
      <c r="J82" s="131"/>
      <c r="K82" s="132"/>
      <c r="L82" s="133"/>
      <c r="M82" s="134"/>
      <c r="N82" s="2367"/>
      <c r="O82" s="2367"/>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8"/>
      <c r="O83" s="2368"/>
      <c r="P83" s="334"/>
      <c r="Q83" s="846"/>
    </row>
    <row r="84" spans="1:17" ht="15" thickTop="1">
      <c r="A84" s="941"/>
      <c r="B84" s="880" t="s">
        <v>478</v>
      </c>
      <c r="C84" s="139"/>
      <c r="D84" s="139"/>
      <c r="E84" s="139"/>
      <c r="F84" s="139"/>
      <c r="G84" s="139"/>
      <c r="H84" s="139"/>
      <c r="I84" s="131"/>
      <c r="J84" s="131"/>
      <c r="K84" s="132"/>
      <c r="L84" s="133"/>
      <c r="M84" s="134"/>
      <c r="N84" s="2367"/>
      <c r="O84" s="2367"/>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8"/>
      <c r="O85" s="2368"/>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7"/>
      <c r="O86" s="2367"/>
      <c r="P86" s="334"/>
      <c r="Q86" s="846"/>
    </row>
    <row r="87" spans="1:17">
      <c r="A87" s="941"/>
      <c r="B87" s="888"/>
      <c r="C87" s="937"/>
      <c r="D87" s="937"/>
      <c r="E87" s="937"/>
      <c r="F87" s="937"/>
      <c r="G87" s="937"/>
      <c r="H87" s="937"/>
      <c r="I87" s="937"/>
      <c r="J87" s="938"/>
      <c r="K87" s="938"/>
      <c r="L87" s="939"/>
      <c r="M87" s="940"/>
      <c r="N87" s="2367"/>
      <c r="O87" s="2367"/>
      <c r="P87" s="334"/>
      <c r="Q87" s="846"/>
    </row>
    <row r="88" spans="1:17" ht="15.75" thickBot="1">
      <c r="A88" s="876"/>
      <c r="B88" s="885"/>
      <c r="C88" s="902"/>
      <c r="D88" s="878"/>
      <c r="E88" s="878"/>
      <c r="F88" s="878"/>
      <c r="G88" s="878"/>
      <c r="H88" s="878"/>
      <c r="I88" s="878"/>
      <c r="J88" s="878"/>
      <c r="K88" s="878"/>
      <c r="L88" s="878"/>
      <c r="M88" s="878"/>
      <c r="N88" s="2368"/>
      <c r="O88" s="2368"/>
      <c r="P88" s="334"/>
      <c r="Q88" s="846"/>
    </row>
    <row r="89" spans="1:17" s="813" customFormat="1" ht="15" thickTop="1">
      <c r="A89" s="935"/>
      <c r="B89" s="880" t="s">
        <v>480</v>
      </c>
      <c r="C89" s="139"/>
      <c r="D89" s="139"/>
      <c r="E89" s="139"/>
      <c r="F89" s="139"/>
      <c r="G89" s="139"/>
      <c r="H89" s="139"/>
      <c r="I89" s="139"/>
      <c r="J89" s="139"/>
      <c r="K89" s="139"/>
      <c r="L89" s="139"/>
      <c r="M89" s="1384"/>
      <c r="N89" s="2369"/>
      <c r="O89" s="2369"/>
      <c r="P89" s="900"/>
      <c r="Q89" s="901"/>
    </row>
    <row r="90" spans="1:17" s="813" customFormat="1" ht="15.75" thickBot="1">
      <c r="A90" s="895"/>
      <c r="B90" s="885"/>
      <c r="C90" s="902"/>
      <c r="D90" s="878"/>
      <c r="E90" s="878"/>
      <c r="F90" s="878"/>
      <c r="G90" s="878"/>
      <c r="H90" s="878"/>
      <c r="I90" s="878"/>
      <c r="J90" s="878"/>
      <c r="K90" s="878"/>
      <c r="L90" s="878"/>
      <c r="M90" s="879"/>
      <c r="N90" s="2369"/>
      <c r="O90" s="2369"/>
      <c r="P90" s="900"/>
      <c r="Q90" s="901"/>
    </row>
    <row r="91" spans="1:17" ht="15" thickTop="1">
      <c r="A91" s="941"/>
      <c r="B91" s="1053">
        <f>B32</f>
        <v>111</v>
      </c>
      <c r="C91" s="126"/>
      <c r="D91" s="126"/>
      <c r="E91" s="126"/>
      <c r="F91" s="126"/>
      <c r="G91" s="139"/>
      <c r="H91" s="1058"/>
      <c r="I91" s="1058"/>
      <c r="J91" s="1058"/>
      <c r="K91" s="1058"/>
      <c r="L91" s="1059"/>
      <c r="M91" s="1060"/>
      <c r="N91" s="2367"/>
      <c r="O91" s="2367"/>
      <c r="P91" s="334"/>
      <c r="Q91" s="846"/>
    </row>
    <row r="92" spans="1:17" ht="15.75" thickBot="1">
      <c r="A92" s="876"/>
      <c r="B92" s="1054"/>
      <c r="C92" s="902"/>
      <c r="D92" s="878"/>
      <c r="E92" s="878"/>
      <c r="F92" s="878"/>
      <c r="G92" s="902"/>
      <c r="H92" s="904"/>
      <c r="I92" s="904"/>
      <c r="J92" s="904"/>
      <c r="K92" s="904"/>
      <c r="L92" s="904"/>
      <c r="M92" s="905"/>
      <c r="N92" s="2368"/>
      <c r="O92" s="2368"/>
      <c r="P92" s="334"/>
      <c r="Q92" s="846"/>
    </row>
    <row r="93" spans="1:17" ht="15" thickTop="1">
      <c r="A93" s="941"/>
      <c r="B93" s="1053">
        <f>B33</f>
        <v>111</v>
      </c>
      <c r="C93" s="126"/>
      <c r="D93" s="126"/>
      <c r="E93" s="126"/>
      <c r="F93" s="126"/>
      <c r="G93" s="139"/>
      <c r="H93" s="1058"/>
      <c r="I93" s="1058"/>
      <c r="J93" s="1058"/>
      <c r="K93" s="1058"/>
      <c r="L93" s="1059"/>
      <c r="M93" s="1060"/>
      <c r="N93" s="2367"/>
      <c r="O93" s="2367"/>
      <c r="P93" s="334"/>
      <c r="Q93" s="846"/>
    </row>
    <row r="94" spans="1:17" ht="15.75" thickBot="1">
      <c r="A94" s="876"/>
      <c r="B94" s="1054"/>
      <c r="C94" s="902"/>
      <c r="D94" s="878"/>
      <c r="E94" s="878"/>
      <c r="F94" s="878"/>
      <c r="G94" s="902"/>
      <c r="H94" s="904"/>
      <c r="I94" s="904"/>
      <c r="J94" s="904"/>
      <c r="K94" s="904"/>
      <c r="L94" s="904"/>
      <c r="M94" s="905"/>
      <c r="N94" s="2368"/>
      <c r="O94" s="2368"/>
      <c r="P94" s="334"/>
      <c r="Q94" s="846"/>
    </row>
    <row r="95" spans="1:17" ht="15" thickTop="1">
      <c r="A95" s="941"/>
      <c r="B95" s="211">
        <f>B34</f>
        <v>111</v>
      </c>
      <c r="C95" s="126"/>
      <c r="D95" s="126"/>
      <c r="E95" s="126"/>
      <c r="F95" s="126"/>
      <c r="G95" s="139"/>
      <c r="H95" s="1058"/>
      <c r="I95" s="1058"/>
      <c r="J95" s="1058"/>
      <c r="K95" s="1058"/>
      <c r="L95" s="1059"/>
      <c r="M95" s="1060"/>
      <c r="N95" s="2368"/>
      <c r="O95" s="2368"/>
      <c r="P95" s="979"/>
      <c r="Q95" s="980"/>
    </row>
    <row r="96" spans="1:17" ht="15.75" thickBot="1">
      <c r="A96" s="876"/>
      <c r="B96" s="1054"/>
      <c r="C96" s="902"/>
      <c r="D96" s="902"/>
      <c r="E96" s="902"/>
      <c r="F96" s="902"/>
      <c r="G96" s="902"/>
      <c r="H96" s="904"/>
      <c r="I96" s="904"/>
      <c r="J96" s="904"/>
      <c r="K96" s="904"/>
      <c r="L96" s="904"/>
      <c r="M96" s="905"/>
      <c r="N96" s="2368"/>
      <c r="O96" s="2368"/>
      <c r="P96" s="334"/>
      <c r="Q96" s="846"/>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t="e">
        <f>F66</f>
        <v>#DIV/0!</v>
      </c>
      <c r="C2" s="2339"/>
      <c r="D2" s="2339"/>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t="e">
        <f>ROUND(IF(D3="",B2*10000/'数据-汇总表'!E3,B2*10000/D3),0)</f>
        <v>#DIV/0!</v>
      </c>
      <c r="C3" s="579" t="s">
        <v>2894</v>
      </c>
      <c r="D3" s="3054"/>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30" ht="15">
      <c r="A4" s="744" t="s">
        <v>390</v>
      </c>
      <c r="B4" s="745"/>
      <c r="C4" s="3628" t="s">
        <v>391</v>
      </c>
      <c r="D4" s="3629"/>
      <c r="E4" s="3630" t="s">
        <v>392</v>
      </c>
      <c r="F4" s="3631"/>
      <c r="G4" s="3628" t="s">
        <v>393</v>
      </c>
      <c r="H4" s="3629"/>
      <c r="I4" s="3628" t="s">
        <v>394</v>
      </c>
      <c r="J4" s="3629"/>
      <c r="K4" s="952" t="s">
        <v>395</v>
      </c>
      <c r="L4" s="2345"/>
      <c r="M4" s="2346"/>
      <c r="N4" s="2346"/>
      <c r="O4" s="2346"/>
      <c r="P4" s="3632" t="s">
        <v>396</v>
      </c>
      <c r="Q4" s="3633"/>
      <c r="R4" s="3615" t="s">
        <v>392</v>
      </c>
      <c r="S4" s="3616"/>
      <c r="T4" s="3615" t="s">
        <v>393</v>
      </c>
      <c r="U4" s="3616"/>
      <c r="V4" s="3640" t="s">
        <v>394</v>
      </c>
      <c r="W4" s="3640"/>
      <c r="X4" s="1317"/>
      <c r="Y4" s="3615" t="s">
        <v>396</v>
      </c>
      <c r="Z4" s="3616"/>
      <c r="AA4" s="3610" t="s">
        <v>392</v>
      </c>
      <c r="AB4" s="3611" t="s">
        <v>393</v>
      </c>
      <c r="AC4" s="3610" t="s">
        <v>394</v>
      </c>
    </row>
    <row r="5" spans="1:30" ht="15">
      <c r="A5" s="747"/>
      <c r="B5" s="748"/>
      <c r="C5" s="3688" t="s">
        <v>1129</v>
      </c>
      <c r="D5" s="3689"/>
      <c r="E5" s="3690" t="s">
        <v>1130</v>
      </c>
      <c r="F5" s="3691"/>
      <c r="G5" s="3688" t="s">
        <v>1133</v>
      </c>
      <c r="H5" s="3689"/>
      <c r="I5" s="3688" t="s">
        <v>1131</v>
      </c>
      <c r="J5" s="3689"/>
      <c r="K5" s="952"/>
      <c r="L5" s="2345"/>
      <c r="M5" s="2346"/>
      <c r="N5" s="2346"/>
      <c r="O5" s="2346"/>
      <c r="P5" s="3634"/>
      <c r="Q5" s="3635"/>
      <c r="R5" s="3617"/>
      <c r="S5" s="3618"/>
      <c r="T5" s="3617"/>
      <c r="U5" s="3618"/>
      <c r="V5" s="3640"/>
      <c r="W5" s="3640"/>
      <c r="X5" s="1317"/>
      <c r="Y5" s="3617"/>
      <c r="Z5" s="3618"/>
      <c r="AA5" s="3611"/>
      <c r="AB5" s="3611"/>
      <c r="AC5" s="3611"/>
    </row>
    <row r="6" spans="1:30" ht="15.75" thickBot="1">
      <c r="A6" s="749"/>
      <c r="B6" s="750"/>
      <c r="C6" s="3692" t="s">
        <v>1132</v>
      </c>
      <c r="D6" s="3693"/>
      <c r="E6" s="3694" t="s">
        <v>1132</v>
      </c>
      <c r="F6" s="3695"/>
      <c r="G6" s="3692" t="s">
        <v>1132</v>
      </c>
      <c r="H6" s="3693"/>
      <c r="I6" s="3692" t="s">
        <v>1132</v>
      </c>
      <c r="J6" s="3693"/>
      <c r="K6" s="952" t="s">
        <v>397</v>
      </c>
      <c r="L6" s="2345"/>
      <c r="M6" s="2346"/>
      <c r="N6" s="2346"/>
      <c r="O6" s="2346"/>
      <c r="P6" s="3636"/>
      <c r="Q6" s="3637"/>
      <c r="R6" s="3617"/>
      <c r="S6" s="3618"/>
      <c r="T6" s="3638"/>
      <c r="U6" s="3639"/>
      <c r="V6" s="3640"/>
      <c r="W6" s="3640"/>
      <c r="X6" s="1317"/>
      <c r="Y6" s="3638"/>
      <c r="Z6" s="3639"/>
      <c r="AA6" s="3612"/>
      <c r="AB6" s="3612"/>
      <c r="AC6" s="3612"/>
    </row>
    <row r="7" spans="1:30" s="407" customFormat="1" ht="15.75" thickBot="1">
      <c r="A7" s="751" t="s">
        <v>398</v>
      </c>
      <c r="B7" s="752"/>
      <c r="C7" s="753">
        <f>'数据-取费表'!B2</f>
        <v>42935</v>
      </c>
      <c r="D7" s="754">
        <v>100</v>
      </c>
      <c r="E7" s="1016">
        <v>42309</v>
      </c>
      <c r="F7" s="756">
        <f>SUMIF(70:70,YEAR(E7)&amp;"-"&amp;INT((MONTH(E7)+2)/3),71:71)</f>
        <v>0</v>
      </c>
      <c r="G7" s="1017">
        <v>42309</v>
      </c>
      <c r="H7" s="754">
        <f>SUMIF(70:70,YEAR(G7)&amp;"-"&amp;INT((MONTH(G7)+2)/3),71:71)</f>
        <v>0</v>
      </c>
      <c r="I7" s="1017">
        <v>42036</v>
      </c>
      <c r="J7" s="754">
        <f>SUMIF(70:70,YEAR(I7)&amp;"-"&amp;INT((MONTH(I7)+2)/3),71:71)</f>
        <v>0</v>
      </c>
      <c r="K7" s="953"/>
      <c r="L7" s="2347"/>
      <c r="M7" s="2348"/>
      <c r="N7" s="2348"/>
      <c r="O7" s="2348"/>
      <c r="P7" s="3613" t="s">
        <v>399</v>
      </c>
      <c r="Q7" s="3641"/>
      <c r="R7" s="1318" t="s">
        <v>65</v>
      </c>
      <c r="S7" s="1319">
        <f t="shared" ref="S7:S15" si="0">F7</f>
        <v>0</v>
      </c>
      <c r="T7" s="1318" t="s">
        <v>65</v>
      </c>
      <c r="U7" s="1319">
        <f t="shared" ref="U7:U15" si="1">H7</f>
        <v>0</v>
      </c>
      <c r="V7" s="1318" t="s">
        <v>65</v>
      </c>
      <c r="W7" s="1319">
        <f t="shared" ref="W7:W15" si="2">J7</f>
        <v>0</v>
      </c>
      <c r="X7" s="1320"/>
      <c r="Y7" s="3613" t="s">
        <v>399</v>
      </c>
      <c r="Z7" s="3614"/>
      <c r="AA7" s="1321" t="e">
        <f>D7/F7</f>
        <v>#DIV/0!</v>
      </c>
      <c r="AB7" s="1321" t="e">
        <f>D7/H7</f>
        <v>#DIV/0!</v>
      </c>
      <c r="AC7" s="1321" t="e">
        <f>D7/J7</f>
        <v>#DIV/0!</v>
      </c>
    </row>
    <row r="8" spans="1:30" s="407" customFormat="1" ht="15.75" thickBot="1">
      <c r="A8" s="751" t="s">
        <v>400</v>
      </c>
      <c r="B8" s="752"/>
      <c r="C8" s="1019" t="s">
        <v>155</v>
      </c>
      <c r="D8" s="754">
        <v>100</v>
      </c>
      <c r="E8" s="1019"/>
      <c r="F8" s="756">
        <f>SUMIF(73:73,E8,74:74)-SUMIF(73:73,C8,74:74)+100</f>
        <v>0</v>
      </c>
      <c r="G8" s="1019"/>
      <c r="H8" s="754">
        <f>SUMIF(73:73,G8,74:74)-SUMIF(73:73,C8,74:74)+100</f>
        <v>0</v>
      </c>
      <c r="I8" s="1019"/>
      <c r="J8" s="754">
        <f>SUMIF(73:73,I8,74:74)-SUMIF(73:73,C8,74:74)+100</f>
        <v>0</v>
      </c>
      <c r="K8" s="953"/>
      <c r="L8" s="2347"/>
      <c r="M8" s="2348"/>
      <c r="N8" s="2348"/>
      <c r="O8" s="2348"/>
      <c r="P8" s="3613" t="s">
        <v>435</v>
      </c>
      <c r="Q8" s="3614"/>
      <c r="R8" s="1318" t="s">
        <v>65</v>
      </c>
      <c r="S8" s="1319">
        <f t="shared" si="0"/>
        <v>0</v>
      </c>
      <c r="T8" s="1318" t="s">
        <v>65</v>
      </c>
      <c r="U8" s="1319">
        <f t="shared" si="1"/>
        <v>0</v>
      </c>
      <c r="V8" s="1318" t="s">
        <v>65</v>
      </c>
      <c r="W8" s="1319">
        <f t="shared" si="2"/>
        <v>0</v>
      </c>
      <c r="X8" s="1320"/>
      <c r="Y8" s="3613" t="s">
        <v>435</v>
      </c>
      <c r="Z8" s="3614"/>
      <c r="AA8" s="1321" t="e">
        <f t="shared" ref="AA8:AA45" si="3">D8/F8</f>
        <v>#DIV/0!</v>
      </c>
      <c r="AB8" s="1321" t="e">
        <f t="shared" ref="AB8:AB45" si="4">D8/H8</f>
        <v>#DIV/0!</v>
      </c>
      <c r="AC8" s="1321" t="e">
        <f t="shared" ref="AC8:AC45" si="5">D8/J8</f>
        <v>#DIV/0!</v>
      </c>
    </row>
    <row r="9" spans="1:30" s="407" customFormat="1">
      <c r="A9" s="758" t="s">
        <v>401</v>
      </c>
      <c r="B9" s="361" t="s">
        <v>419</v>
      </c>
      <c r="C9" s="1021"/>
      <c r="D9" s="425">
        <v>100</v>
      </c>
      <c r="E9" s="1021"/>
      <c r="F9" s="425">
        <f>SUMIF(75:75,E9,76:76)-SUMIF(75:75,C9,76:76)+100</f>
        <v>100</v>
      </c>
      <c r="G9" s="1021"/>
      <c r="H9" s="425">
        <f>SUMIF(75:75,G9,76:76)-SUMIF(75:75,C9,76:76)+100</f>
        <v>100</v>
      </c>
      <c r="I9" s="1021"/>
      <c r="J9" s="425">
        <f>SUMIF(75:75,I9,76:76)-SUMIF(75:75,C9,76:76)+100</f>
        <v>100</v>
      </c>
      <c r="K9" s="953"/>
      <c r="L9" s="2347"/>
      <c r="M9" s="2348"/>
      <c r="N9" s="2348"/>
      <c r="O9" s="2349"/>
      <c r="P9" s="3627" t="s">
        <v>402</v>
      </c>
      <c r="Q9" s="296" t="str">
        <f t="shared" ref="Q9:Q15" si="6">B9</f>
        <v>用途</v>
      </c>
      <c r="R9" s="1318" t="s">
        <v>65</v>
      </c>
      <c r="S9" s="1319">
        <f t="shared" si="0"/>
        <v>100</v>
      </c>
      <c r="T9" s="1318" t="s">
        <v>65</v>
      </c>
      <c r="U9" s="1319">
        <f t="shared" si="1"/>
        <v>100</v>
      </c>
      <c r="V9" s="1318" t="s">
        <v>65</v>
      </c>
      <c r="W9" s="1319">
        <f t="shared" si="2"/>
        <v>100</v>
      </c>
      <c r="X9" s="1320"/>
      <c r="Y9" s="3588" t="s">
        <v>403</v>
      </c>
      <c r="Z9" s="344" t="str">
        <f t="shared" ref="Z9:Z15" si="7">Q9</f>
        <v>用途</v>
      </c>
      <c r="AA9" s="1321">
        <f t="shared" si="3"/>
        <v>1</v>
      </c>
      <c r="AB9" s="1321">
        <f t="shared" si="4"/>
        <v>1</v>
      </c>
      <c r="AC9" s="1321">
        <f t="shared" si="5"/>
        <v>1</v>
      </c>
    </row>
    <row r="10" spans="1:30" s="769" customFormat="1" ht="27">
      <c r="A10" s="763"/>
      <c r="B10" s="764" t="s">
        <v>404</v>
      </c>
      <c r="C10" s="774"/>
      <c r="D10" s="426">
        <v>100</v>
      </c>
      <c r="E10" s="807"/>
      <c r="F10" s="426">
        <f>ROUND(100/'数据-取费表'!G16,0)</f>
        <v>103</v>
      </c>
      <c r="G10" s="805"/>
      <c r="H10" s="426">
        <f>ROUND(100/'数据-取费表'!G16,0)</f>
        <v>103</v>
      </c>
      <c r="I10" s="805"/>
      <c r="J10" s="426">
        <f>ROUND(100/'数据-取费表'!G16,0)</f>
        <v>103</v>
      </c>
      <c r="K10" s="1080"/>
      <c r="L10" s="2350"/>
      <c r="M10" s="2351"/>
      <c r="N10" s="2351"/>
      <c r="O10" s="2352"/>
      <c r="P10" s="3627"/>
      <c r="Q10" s="296" t="str">
        <f t="shared" si="6"/>
        <v>土地使用年限（年）</v>
      </c>
      <c r="R10" s="1318" t="s">
        <v>65</v>
      </c>
      <c r="S10" s="1319">
        <f t="shared" si="0"/>
        <v>103</v>
      </c>
      <c r="T10" s="1318" t="s">
        <v>65</v>
      </c>
      <c r="U10" s="1319">
        <f t="shared" si="1"/>
        <v>103</v>
      </c>
      <c r="V10" s="1318" t="s">
        <v>65</v>
      </c>
      <c r="W10" s="1319">
        <f t="shared" si="2"/>
        <v>103</v>
      </c>
      <c r="X10" s="1320"/>
      <c r="Y10" s="3588"/>
      <c r="Z10" s="344" t="str">
        <f t="shared" si="7"/>
        <v>土地使用年限（年）</v>
      </c>
      <c r="AA10" s="1321">
        <f t="shared" si="3"/>
        <v>0.970873786407767</v>
      </c>
      <c r="AB10" s="1321">
        <f t="shared" si="4"/>
        <v>0.970873786407767</v>
      </c>
      <c r="AC10" s="1321">
        <f t="shared" si="5"/>
        <v>0.970873786407767</v>
      </c>
    </row>
    <row r="11" spans="1:30" ht="15">
      <c r="A11" s="770"/>
      <c r="B11" s="764" t="s">
        <v>405</v>
      </c>
      <c r="C11" s="771"/>
      <c r="D11" s="426">
        <v>100</v>
      </c>
      <c r="E11" s="771"/>
      <c r="F11" s="426" t="e">
        <f>LOOKUP(E11,80:80,81:81)-LOOKUP(C11,80:80,81:81)+100</f>
        <v>#N/A</v>
      </c>
      <c r="G11" s="772"/>
      <c r="H11" s="426" t="e">
        <f>LOOKUP(G11,80:80,81:81)-LOOKUP(C11,80:80,81:81)+100</f>
        <v>#N/A</v>
      </c>
      <c r="I11" s="771"/>
      <c r="J11" s="426" t="e">
        <f>LOOKUP(I11,80:80,81:81)-LOOKUP(C11,80:80,81:81)+100</f>
        <v>#N/A</v>
      </c>
      <c r="K11" s="1081"/>
      <c r="L11" s="2353"/>
      <c r="M11" s="2346"/>
      <c r="N11" s="2346"/>
      <c r="O11" s="2354"/>
      <c r="P11" s="3627"/>
      <c r="Q11" s="296" t="str">
        <f t="shared" si="6"/>
        <v>容积率</v>
      </c>
      <c r="R11" s="1318" t="s">
        <v>65</v>
      </c>
      <c r="S11" s="1319" t="e">
        <f t="shared" si="0"/>
        <v>#N/A</v>
      </c>
      <c r="T11" s="1318" t="s">
        <v>65</v>
      </c>
      <c r="U11" s="1319" t="e">
        <f t="shared" si="1"/>
        <v>#N/A</v>
      </c>
      <c r="V11" s="1318" t="s">
        <v>65</v>
      </c>
      <c r="W11" s="1319" t="e">
        <f t="shared" si="2"/>
        <v>#N/A</v>
      </c>
      <c r="X11" s="1320"/>
      <c r="Y11" s="3588"/>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47"/>
      <c r="M12" s="2348"/>
      <c r="N12" s="2348"/>
      <c r="O12" s="2349"/>
      <c r="P12" s="3627"/>
      <c r="Q12" s="296" t="str">
        <f t="shared" si="6"/>
        <v>配建</v>
      </c>
      <c r="R12" s="1318" t="s">
        <v>65</v>
      </c>
      <c r="S12" s="1319">
        <f t="shared" si="0"/>
        <v>100</v>
      </c>
      <c r="T12" s="1318" t="s">
        <v>65</v>
      </c>
      <c r="U12" s="1319">
        <f t="shared" si="1"/>
        <v>100</v>
      </c>
      <c r="V12" s="1318" t="s">
        <v>65</v>
      </c>
      <c r="W12" s="1319">
        <f t="shared" si="2"/>
        <v>100</v>
      </c>
      <c r="X12" s="1320"/>
      <c r="Y12" s="3588"/>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5"/>
      <c r="M13" s="2346"/>
      <c r="N13" s="2346"/>
      <c r="O13" s="2354"/>
      <c r="P13" s="3627"/>
      <c r="Q13" s="296">
        <f t="shared" si="6"/>
        <v>111</v>
      </c>
      <c r="R13" s="1318" t="s">
        <v>65</v>
      </c>
      <c r="S13" s="1319">
        <f t="shared" si="0"/>
        <v>100</v>
      </c>
      <c r="T13" s="1318" t="s">
        <v>65</v>
      </c>
      <c r="U13" s="1319">
        <f t="shared" si="1"/>
        <v>100</v>
      </c>
      <c r="V13" s="1318" t="s">
        <v>65</v>
      </c>
      <c r="W13" s="1319">
        <f t="shared" si="2"/>
        <v>100</v>
      </c>
      <c r="X13" s="1320"/>
      <c r="Y13" s="3588"/>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5"/>
      <c r="M14" s="2346"/>
      <c r="N14" s="2346"/>
      <c r="O14" s="2354"/>
      <c r="P14" s="3627"/>
      <c r="Q14" s="296">
        <f t="shared" si="6"/>
        <v>111</v>
      </c>
      <c r="R14" s="1318" t="s">
        <v>65</v>
      </c>
      <c r="S14" s="1319">
        <f t="shared" si="0"/>
        <v>100</v>
      </c>
      <c r="T14" s="1318" t="s">
        <v>65</v>
      </c>
      <c r="U14" s="1319">
        <f t="shared" si="1"/>
        <v>100</v>
      </c>
      <c r="V14" s="1318" t="s">
        <v>65</v>
      </c>
      <c r="W14" s="1319">
        <f t="shared" si="2"/>
        <v>100</v>
      </c>
      <c r="X14" s="1320"/>
      <c r="Y14" s="3588"/>
      <c r="Z14" s="344">
        <f t="shared" si="7"/>
        <v>111</v>
      </c>
      <c r="AA14" s="1321">
        <f>D14/F14</f>
        <v>1</v>
      </c>
      <c r="AB14" s="1321">
        <f>D14/H14</f>
        <v>1</v>
      </c>
      <c r="AC14" s="1321">
        <f>D14/J14</f>
        <v>1</v>
      </c>
    </row>
    <row r="15" spans="1:30" ht="94.5">
      <c r="A15" s="782" t="s">
        <v>406</v>
      </c>
      <c r="B15" s="359" t="s">
        <v>285</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5"/>
      <c r="M15" s="2346"/>
      <c r="N15" s="2346"/>
      <c r="O15" s="2354"/>
      <c r="P15" s="3642" t="s">
        <v>407</v>
      </c>
      <c r="Q15" s="1322" t="str">
        <f t="shared" si="6"/>
        <v>居住社区成熟度</v>
      </c>
      <c r="R15" s="1323" t="s">
        <v>65</v>
      </c>
      <c r="S15" s="1324">
        <f t="shared" si="0"/>
        <v>100</v>
      </c>
      <c r="T15" s="1323" t="s">
        <v>65</v>
      </c>
      <c r="U15" s="1324">
        <f t="shared" si="1"/>
        <v>100</v>
      </c>
      <c r="V15" s="1323" t="s">
        <v>65</v>
      </c>
      <c r="W15" s="1324">
        <f t="shared" si="2"/>
        <v>100</v>
      </c>
      <c r="X15" s="1317"/>
      <c r="Y15" s="3642"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5"/>
      <c r="M16" s="2346"/>
      <c r="N16" s="2346"/>
      <c r="O16" s="2354"/>
      <c r="P16" s="3643"/>
      <c r="Q16" s="1322"/>
      <c r="R16" s="1323"/>
      <c r="S16" s="1324"/>
      <c r="T16" s="1323"/>
      <c r="U16" s="1324"/>
      <c r="V16" s="1323"/>
      <c r="W16" s="1324"/>
      <c r="X16" s="1317"/>
      <c r="Y16" s="3643"/>
      <c r="Z16" s="1325"/>
      <c r="AA16" s="1326">
        <v>1</v>
      </c>
      <c r="AB16" s="1326">
        <v>1</v>
      </c>
      <c r="AC16" s="1326">
        <v>1</v>
      </c>
    </row>
    <row r="17" spans="1:29" ht="135">
      <c r="A17" s="770"/>
      <c r="B17" s="793" t="s">
        <v>436</v>
      </c>
      <c r="C17" s="190" t="str">
        <f>估价对象房地状况!C16</f>
        <v>估价对象位于福州东二环泰禾广场商圈，周围有泰禾广场购物中心及步行街，周边商业氛围成熟，人流量大，商业繁华度好。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5"/>
      <c r="M17" s="2346"/>
      <c r="N17" s="2346"/>
      <c r="O17" s="2354"/>
      <c r="P17" s="3643"/>
      <c r="Q17" s="1322" t="str">
        <f>B17</f>
        <v>商业繁华度</v>
      </c>
      <c r="R17" s="1323" t="s">
        <v>65</v>
      </c>
      <c r="S17" s="1324">
        <f>F17</f>
        <v>100</v>
      </c>
      <c r="T17" s="1323" t="s">
        <v>65</v>
      </c>
      <c r="U17" s="1324">
        <f>H17</f>
        <v>100</v>
      </c>
      <c r="V17" s="1323" t="s">
        <v>65</v>
      </c>
      <c r="W17" s="1324">
        <f>J17</f>
        <v>100</v>
      </c>
      <c r="X17" s="1317"/>
      <c r="Y17" s="3643"/>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5"/>
      <c r="M18" s="2346"/>
      <c r="N18" s="2346"/>
      <c r="O18" s="2354"/>
      <c r="P18" s="3643"/>
      <c r="Q18" s="1322"/>
      <c r="R18" s="1323"/>
      <c r="S18" s="1324"/>
      <c r="T18" s="1323"/>
      <c r="U18" s="1324"/>
      <c r="V18" s="1323"/>
      <c r="W18" s="1324"/>
      <c r="X18" s="1317"/>
      <c r="Y18" s="3643"/>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5"/>
      <c r="M19" s="2346"/>
      <c r="N19" s="2346"/>
      <c r="O19" s="2354"/>
      <c r="P19" s="3643"/>
      <c r="Q19" s="1322" t="str">
        <f>B19</f>
        <v>办公集聚程度</v>
      </c>
      <c r="R19" s="1323" t="s">
        <v>65</v>
      </c>
      <c r="S19" s="1324">
        <f>F19</f>
        <v>100</v>
      </c>
      <c r="T19" s="1323" t="s">
        <v>65</v>
      </c>
      <c r="U19" s="1324">
        <f>H19</f>
        <v>100</v>
      </c>
      <c r="V19" s="1323" t="s">
        <v>65</v>
      </c>
      <c r="W19" s="1324">
        <f>J19</f>
        <v>100</v>
      </c>
      <c r="X19" s="1317"/>
      <c r="Y19" s="3643"/>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5"/>
      <c r="M20" s="2346"/>
      <c r="N20" s="2346"/>
      <c r="O20" s="2354"/>
      <c r="P20" s="3643"/>
      <c r="Q20" s="1322"/>
      <c r="R20" s="1323"/>
      <c r="S20" s="1324"/>
      <c r="T20" s="1323"/>
      <c r="U20" s="1324"/>
      <c r="V20" s="1323"/>
      <c r="W20" s="1324"/>
      <c r="X20" s="1317"/>
      <c r="Y20" s="3643"/>
      <c r="Z20" s="1325"/>
      <c r="AA20" s="1326">
        <v>1</v>
      </c>
      <c r="AB20" s="1326">
        <v>1</v>
      </c>
      <c r="AC20" s="1326">
        <v>1</v>
      </c>
    </row>
    <row r="21" spans="1:29" ht="175.5">
      <c r="A21" s="770"/>
      <c r="B21" s="793" t="s">
        <v>456</v>
      </c>
      <c r="C21" s="158" t="str">
        <f>估价对象房地状况!C18</f>
        <v>估价对象周边道路状况较好，有56、46、68路等多条公交线路经过，临近东二环路，估价对象所在商圈配有地下停车场，停车方便，综合评价交通便捷度较好。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5"/>
      <c r="M21" s="2346"/>
      <c r="N21" s="2346"/>
      <c r="O21" s="2354"/>
      <c r="P21" s="3643"/>
      <c r="Q21" s="1322" t="str">
        <f>B21</f>
        <v>交通便捷度</v>
      </c>
      <c r="R21" s="1323" t="s">
        <v>65</v>
      </c>
      <c r="S21" s="1324">
        <f>F21</f>
        <v>100</v>
      </c>
      <c r="T21" s="1323" t="s">
        <v>65</v>
      </c>
      <c r="U21" s="1324">
        <f>H21</f>
        <v>100</v>
      </c>
      <c r="V21" s="1323" t="s">
        <v>65</v>
      </c>
      <c r="W21" s="1324">
        <f>J21</f>
        <v>100</v>
      </c>
      <c r="X21" s="1317"/>
      <c r="Y21" s="3643"/>
      <c r="Z21" s="1325" t="str">
        <f>Q21</f>
        <v>交通便捷度</v>
      </c>
      <c r="AA21" s="1326">
        <f t="shared" si="3"/>
        <v>1</v>
      </c>
      <c r="AB21" s="1326">
        <f t="shared" si="4"/>
        <v>1</v>
      </c>
      <c r="AC21" s="1326">
        <f t="shared" si="5"/>
        <v>1</v>
      </c>
    </row>
    <row r="22" spans="1:29" ht="15">
      <c r="A22" s="770"/>
      <c r="B22" s="2766"/>
      <c r="C22" s="97"/>
      <c r="D22" s="792"/>
      <c r="E22" s="98"/>
      <c r="F22" s="790"/>
      <c r="G22" s="98"/>
      <c r="H22" s="790"/>
      <c r="I22" s="99"/>
      <c r="J22" s="790"/>
      <c r="K22" s="1080"/>
      <c r="L22" s="2355"/>
      <c r="M22" s="2346"/>
      <c r="N22" s="2346"/>
      <c r="O22" s="2354"/>
      <c r="P22" s="3643"/>
      <c r="Q22" s="1322"/>
      <c r="R22" s="1323"/>
      <c r="S22" s="1324"/>
      <c r="T22" s="1323"/>
      <c r="U22" s="1324"/>
      <c r="V22" s="1323"/>
      <c r="W22" s="1324"/>
      <c r="X22" s="1317"/>
      <c r="Y22" s="3643"/>
      <c r="Z22" s="1325"/>
      <c r="AA22" s="1326">
        <v>1</v>
      </c>
      <c r="AB22" s="1326">
        <v>1</v>
      </c>
      <c r="AC22" s="1326">
        <v>1</v>
      </c>
    </row>
    <row r="23" spans="1:29" ht="27">
      <c r="A23" s="747"/>
      <c r="B23" s="793" t="s">
        <v>483</v>
      </c>
      <c r="C23" s="2771">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5"/>
      <c r="M23" s="2346"/>
      <c r="N23" s="2346"/>
      <c r="O23" s="2354"/>
      <c r="P23" s="3643"/>
      <c r="Q23" s="1322" t="str">
        <f t="shared" ref="Q23:Q37" si="8">B23</f>
        <v>区域土地利用方向</v>
      </c>
      <c r="R23" s="1323" t="s">
        <v>65</v>
      </c>
      <c r="S23" s="1324">
        <f>F23</f>
        <v>100</v>
      </c>
      <c r="T23" s="1323" t="s">
        <v>65</v>
      </c>
      <c r="U23" s="1324">
        <f>H23</f>
        <v>100</v>
      </c>
      <c r="V23" s="1323" t="s">
        <v>65</v>
      </c>
      <c r="W23" s="1324">
        <f>J23</f>
        <v>100</v>
      </c>
      <c r="X23" s="1317"/>
      <c r="Y23" s="3643"/>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1"/>
      <c r="L24" s="2355"/>
      <c r="M24" s="2346"/>
      <c r="N24" s="2346"/>
      <c r="O24" s="2354"/>
      <c r="P24" s="3643"/>
      <c r="Q24" s="1469"/>
      <c r="R24" s="1323"/>
      <c r="S24" s="1324"/>
      <c r="T24" s="1323"/>
      <c r="U24" s="1324"/>
      <c r="V24" s="1323"/>
      <c r="W24" s="1324"/>
      <c r="X24" s="1468"/>
      <c r="Y24" s="3643"/>
      <c r="Z24" s="1470"/>
      <c r="AA24" s="1326"/>
      <c r="AB24" s="1326"/>
      <c r="AC24" s="1326"/>
    </row>
    <row r="25" spans="1:29" ht="81">
      <c r="A25" s="747"/>
      <c r="B25" s="2766" t="s">
        <v>484</v>
      </c>
      <c r="C25" s="190" t="str">
        <f>估价对象房地状况!C20</f>
        <v>估价对象周边有牛岗山公园、金鸡山公园；综合评价环境状况一般。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5"/>
      <c r="M25" s="2346"/>
      <c r="N25" s="2346"/>
      <c r="O25" s="2354"/>
      <c r="P25" s="3643"/>
      <c r="Q25" s="1322" t="str">
        <f t="shared" si="8"/>
        <v>自然及人文环境状况</v>
      </c>
      <c r="R25" s="1323" t="s">
        <v>65</v>
      </c>
      <c r="S25" s="1324">
        <f>F25</f>
        <v>100</v>
      </c>
      <c r="T25" s="1323" t="s">
        <v>65</v>
      </c>
      <c r="U25" s="1324">
        <f>H25</f>
        <v>100</v>
      </c>
      <c r="V25" s="1323" t="s">
        <v>65</v>
      </c>
      <c r="W25" s="1324">
        <f>J25</f>
        <v>100</v>
      </c>
      <c r="X25" s="1317"/>
      <c r="Y25" s="3643"/>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5"/>
      <c r="M26" s="2346"/>
      <c r="N26" s="2346"/>
      <c r="O26" s="2354"/>
      <c r="P26" s="3643"/>
      <c r="Q26" s="1322"/>
      <c r="R26" s="1323"/>
      <c r="S26" s="1324"/>
      <c r="T26" s="1323"/>
      <c r="U26" s="1324"/>
      <c r="V26" s="1323"/>
      <c r="W26" s="1324"/>
      <c r="X26" s="1317"/>
      <c r="Y26" s="3643"/>
      <c r="Z26" s="1325"/>
      <c r="AA26" s="1326">
        <v>1</v>
      </c>
      <c r="AB26" s="1326">
        <v>1</v>
      </c>
      <c r="AC26" s="1326">
        <v>1</v>
      </c>
    </row>
    <row r="27" spans="1:29" s="407" customFormat="1" ht="189">
      <c r="A27" s="991"/>
      <c r="B27" s="1411" t="s">
        <v>2675</v>
      </c>
      <c r="C27" s="158" t="str">
        <f>估价对象房地状况!C21</f>
        <v>估价对象所在区域有银行（工商银行、建设银行等）、医院（福建省第二人民医院）、学校（福州第十中学、福州市岳峰中心小学等）、超市（永辉超市）等，公共配套设施条件好。</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7"/>
      <c r="M27" s="2348"/>
      <c r="N27" s="2348"/>
      <c r="O27" s="2349"/>
      <c r="P27" s="3643"/>
      <c r="Q27" s="296" t="str">
        <f t="shared" si="8"/>
        <v>公共配套设施</v>
      </c>
      <c r="R27" s="1318" t="s">
        <v>65</v>
      </c>
      <c r="S27" s="1319">
        <f>F27</f>
        <v>100</v>
      </c>
      <c r="T27" s="1318" t="s">
        <v>65</v>
      </c>
      <c r="U27" s="1319">
        <f>H27</f>
        <v>100</v>
      </c>
      <c r="V27" s="1318" t="s">
        <v>65</v>
      </c>
      <c r="W27" s="1319">
        <f>J27</f>
        <v>100</v>
      </c>
      <c r="X27" s="1320"/>
      <c r="Y27" s="3643"/>
      <c r="Z27" s="344" t="str">
        <f>Q27</f>
        <v>公共配套设施</v>
      </c>
      <c r="AA27" s="1326">
        <f>D27/F27</f>
        <v>1</v>
      </c>
      <c r="AB27" s="1326">
        <f>D27/H27</f>
        <v>1</v>
      </c>
      <c r="AC27" s="1326">
        <f>D27/J27</f>
        <v>1</v>
      </c>
    </row>
    <row r="28" spans="1:29" s="407" customFormat="1" ht="15">
      <c r="A28" s="991"/>
      <c r="B28" s="798"/>
      <c r="C28" s="2772"/>
      <c r="D28" s="790"/>
      <c r="E28" s="192"/>
      <c r="F28" s="790"/>
      <c r="G28" s="192"/>
      <c r="H28" s="790"/>
      <c r="I28" s="97"/>
      <c r="J28" s="790"/>
      <c r="K28" s="1080"/>
      <c r="L28" s="2347"/>
      <c r="M28" s="2348"/>
      <c r="N28" s="2348"/>
      <c r="O28" s="2349"/>
      <c r="P28" s="3643"/>
      <c r="Q28" s="296"/>
      <c r="R28" s="1318"/>
      <c r="S28" s="1319"/>
      <c r="T28" s="1318"/>
      <c r="U28" s="1319"/>
      <c r="V28" s="1318"/>
      <c r="W28" s="1319"/>
      <c r="X28" s="1320"/>
      <c r="Y28" s="3643"/>
      <c r="Z28" s="344"/>
      <c r="AA28" s="1326">
        <v>1</v>
      </c>
      <c r="AB28" s="1326">
        <v>1</v>
      </c>
      <c r="AC28" s="1326">
        <v>1</v>
      </c>
    </row>
    <row r="29" spans="1:29" s="407" customFormat="1" ht="40.5">
      <c r="A29" s="991"/>
      <c r="B29" s="1411" t="s">
        <v>2676</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7"/>
      <c r="M29" s="2348"/>
      <c r="N29" s="2348"/>
      <c r="O29" s="2349"/>
      <c r="P29" s="3643"/>
      <c r="Q29" s="2741" t="str">
        <f t="shared" ref="Q29" si="9">B29</f>
        <v>基础设施水平</v>
      </c>
      <c r="R29" s="1318" t="s">
        <v>65</v>
      </c>
      <c r="S29" s="1319">
        <f>F29</f>
        <v>100</v>
      </c>
      <c r="T29" s="1318" t="s">
        <v>65</v>
      </c>
      <c r="U29" s="1319">
        <f>H29</f>
        <v>100</v>
      </c>
      <c r="V29" s="1318" t="s">
        <v>65</v>
      </c>
      <c r="W29" s="1319">
        <f>J29</f>
        <v>100</v>
      </c>
      <c r="X29" s="1320"/>
      <c r="Y29" s="3643"/>
      <c r="Z29" s="344" t="str">
        <f>Q29</f>
        <v>基础设施水平</v>
      </c>
      <c r="AA29" s="1326">
        <f>D29/F29</f>
        <v>1</v>
      </c>
      <c r="AB29" s="1326">
        <f>D29/H29</f>
        <v>1</v>
      </c>
      <c r="AC29" s="1326">
        <f>D29/J29</f>
        <v>1</v>
      </c>
    </row>
    <row r="30" spans="1:29" s="407" customFormat="1" ht="15">
      <c r="A30" s="991"/>
      <c r="B30" s="798"/>
      <c r="C30" s="2772"/>
      <c r="D30" s="790"/>
      <c r="E30" s="1036"/>
      <c r="F30" s="790"/>
      <c r="G30" s="1036"/>
      <c r="H30" s="790"/>
      <c r="I30" s="1036"/>
      <c r="J30" s="790"/>
      <c r="K30" s="1080"/>
      <c r="L30" s="2347"/>
      <c r="M30" s="2348"/>
      <c r="N30" s="2348"/>
      <c r="O30" s="2349"/>
      <c r="P30" s="3643"/>
      <c r="Q30" s="2741"/>
      <c r="R30" s="1318"/>
      <c r="S30" s="1319"/>
      <c r="T30" s="1318"/>
      <c r="U30" s="1319"/>
      <c r="V30" s="1318"/>
      <c r="W30" s="1319"/>
      <c r="X30" s="1320"/>
      <c r="Y30" s="3643"/>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5"/>
      <c r="M31" s="2346"/>
      <c r="N31" s="2346"/>
      <c r="O31" s="2354"/>
      <c r="P31" s="3643"/>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43"/>
      <c r="Z31" s="1325" t="str">
        <f t="shared" ref="Z31:Z45" si="13">Q31</f>
        <v>临街状况</v>
      </c>
      <c r="AA31" s="1326">
        <f t="shared" si="3"/>
        <v>1</v>
      </c>
      <c r="AB31" s="1326">
        <f t="shared" si="4"/>
        <v>1</v>
      </c>
      <c r="AC31" s="1326">
        <f t="shared" si="5"/>
        <v>1</v>
      </c>
    </row>
    <row r="32" spans="1:29" ht="27">
      <c r="A32" s="770"/>
      <c r="B32" s="2766"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5"/>
      <c r="M32" s="2346"/>
      <c r="N32" s="2346"/>
      <c r="O32" s="2354"/>
      <c r="P32" s="3643"/>
      <c r="Q32" s="1322" t="str">
        <f t="shared" si="8"/>
        <v>毗邻道路的类型与等级</v>
      </c>
      <c r="R32" s="1323" t="s">
        <v>65</v>
      </c>
      <c r="S32" s="1324">
        <f t="shared" si="10"/>
        <v>100</v>
      </c>
      <c r="T32" s="1323" t="s">
        <v>65</v>
      </c>
      <c r="U32" s="1324">
        <f t="shared" si="11"/>
        <v>100</v>
      </c>
      <c r="V32" s="1323" t="s">
        <v>65</v>
      </c>
      <c r="W32" s="1324">
        <f t="shared" si="12"/>
        <v>100</v>
      </c>
      <c r="X32" s="1317"/>
      <c r="Y32" s="3643"/>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5"/>
      <c r="M33" s="2346"/>
      <c r="N33" s="2346"/>
      <c r="O33" s="2354"/>
      <c r="P33" s="3643"/>
      <c r="Q33" s="1322"/>
      <c r="R33" s="1323"/>
      <c r="S33" s="1324"/>
      <c r="T33" s="1323"/>
      <c r="U33" s="1324"/>
      <c r="V33" s="1323"/>
      <c r="W33" s="1324"/>
      <c r="X33" s="1317"/>
      <c r="Y33" s="3643"/>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5"/>
      <c r="M34" s="2346"/>
      <c r="N34" s="2346"/>
      <c r="O34" s="2354"/>
      <c r="P34" s="3643"/>
      <c r="Q34" s="1322" t="str">
        <f t="shared" si="8"/>
        <v>土地级别</v>
      </c>
      <c r="R34" s="1323" t="s">
        <v>65</v>
      </c>
      <c r="S34" s="1324">
        <f t="shared" si="10"/>
        <v>100</v>
      </c>
      <c r="T34" s="1323" t="s">
        <v>65</v>
      </c>
      <c r="U34" s="1324">
        <f t="shared" si="11"/>
        <v>100</v>
      </c>
      <c r="V34" s="1323" t="s">
        <v>65</v>
      </c>
      <c r="W34" s="1324">
        <f t="shared" si="12"/>
        <v>100</v>
      </c>
      <c r="X34" s="1317"/>
      <c r="Y34" s="3643"/>
      <c r="Z34" s="1325" t="str">
        <f t="shared" si="13"/>
        <v>土地级别</v>
      </c>
      <c r="AA34" s="1326">
        <f t="shared" si="3"/>
        <v>1</v>
      </c>
      <c r="AB34" s="1326">
        <f t="shared" si="4"/>
        <v>1</v>
      </c>
      <c r="AC34" s="1326">
        <f t="shared" si="5"/>
        <v>1</v>
      </c>
    </row>
    <row r="35" spans="1:29" ht="15">
      <c r="A35" s="747"/>
      <c r="B35" s="2768">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5"/>
      <c r="M35" s="2346"/>
      <c r="N35" s="2346"/>
      <c r="O35" s="2354"/>
      <c r="P35" s="3643"/>
      <c r="Q35" s="1322">
        <f t="shared" si="8"/>
        <v>111</v>
      </c>
      <c r="R35" s="1323" t="s">
        <v>65</v>
      </c>
      <c r="S35" s="1324">
        <f t="shared" si="10"/>
        <v>100</v>
      </c>
      <c r="T35" s="1323" t="s">
        <v>65</v>
      </c>
      <c r="U35" s="1324">
        <f t="shared" si="11"/>
        <v>100</v>
      </c>
      <c r="V35" s="1323" t="s">
        <v>65</v>
      </c>
      <c r="W35" s="1324">
        <f t="shared" si="12"/>
        <v>100</v>
      </c>
      <c r="X35" s="1317"/>
      <c r="Y35" s="3643"/>
      <c r="Z35" s="1325">
        <f t="shared" si="13"/>
        <v>111</v>
      </c>
      <c r="AA35" s="1326">
        <f t="shared" si="3"/>
        <v>1</v>
      </c>
      <c r="AB35" s="1326">
        <f t="shared" si="4"/>
        <v>1</v>
      </c>
      <c r="AC35" s="1326">
        <f t="shared" si="5"/>
        <v>1</v>
      </c>
    </row>
    <row r="36" spans="1:29" ht="15">
      <c r="A36" s="1083"/>
      <c r="B36" s="2769">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5"/>
      <c r="M36" s="2346"/>
      <c r="N36" s="2346"/>
      <c r="O36" s="2354"/>
      <c r="P36" s="3644" t="s">
        <v>409</v>
      </c>
      <c r="Q36" s="1322">
        <f t="shared" si="8"/>
        <v>111</v>
      </c>
      <c r="R36" s="1323" t="s">
        <v>65</v>
      </c>
      <c r="S36" s="1324">
        <f t="shared" si="10"/>
        <v>100</v>
      </c>
      <c r="T36" s="1323" t="s">
        <v>65</v>
      </c>
      <c r="U36" s="1324">
        <f t="shared" si="11"/>
        <v>100</v>
      </c>
      <c r="V36" s="1323" t="s">
        <v>65</v>
      </c>
      <c r="W36" s="1324">
        <f t="shared" si="12"/>
        <v>100</v>
      </c>
      <c r="X36" s="1317"/>
      <c r="Y36" s="3645" t="s">
        <v>409</v>
      </c>
      <c r="Z36" s="1325">
        <f t="shared" si="13"/>
        <v>111</v>
      </c>
      <c r="AA36" s="1326">
        <f t="shared" si="3"/>
        <v>1</v>
      </c>
      <c r="AB36" s="1326">
        <f t="shared" si="4"/>
        <v>1</v>
      </c>
      <c r="AC36" s="1326">
        <f t="shared" si="5"/>
        <v>1</v>
      </c>
    </row>
    <row r="37" spans="1:29" s="813" customFormat="1" ht="15.75" thickBot="1">
      <c r="A37" s="1084"/>
      <c r="B37" s="2770">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3"/>
      <c r="M37" s="2356"/>
      <c r="N37" s="2356"/>
      <c r="O37" s="2357"/>
      <c r="P37" s="3645"/>
      <c r="Q37" s="1322">
        <f t="shared" si="8"/>
        <v>111</v>
      </c>
      <c r="R37" s="1328" t="s">
        <v>65</v>
      </c>
      <c r="S37" s="1329">
        <f t="shared" si="10"/>
        <v>100</v>
      </c>
      <c r="T37" s="1328" t="s">
        <v>65</v>
      </c>
      <c r="U37" s="1329">
        <f t="shared" si="11"/>
        <v>100</v>
      </c>
      <c r="V37" s="1328" t="s">
        <v>65</v>
      </c>
      <c r="W37" s="1329">
        <f t="shared" si="12"/>
        <v>100</v>
      </c>
      <c r="X37" s="1330"/>
      <c r="Y37" s="3645"/>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5"/>
      <c r="M38" s="2346"/>
      <c r="N38" s="2346"/>
      <c r="O38" s="2354"/>
      <c r="P38" s="3645"/>
      <c r="Q38" s="1322" t="str">
        <f>B38</f>
        <v>宗地面积</v>
      </c>
      <c r="R38" s="1323" t="s">
        <v>65</v>
      </c>
      <c r="S38" s="1324" t="e">
        <f t="shared" si="10"/>
        <v>#N/A</v>
      </c>
      <c r="T38" s="1323" t="s">
        <v>65</v>
      </c>
      <c r="U38" s="1324" t="e">
        <f t="shared" si="11"/>
        <v>#N/A</v>
      </c>
      <c r="V38" s="1323" t="s">
        <v>65</v>
      </c>
      <c r="W38" s="1324" t="e">
        <f t="shared" si="12"/>
        <v>#N/A</v>
      </c>
      <c r="X38" s="1317"/>
      <c r="Y38" s="3645"/>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5"/>
      <c r="M39" s="2346"/>
      <c r="N39" s="2346"/>
      <c r="O39" s="2354"/>
      <c r="P39" s="3645"/>
      <c r="Q39" s="1322" t="str">
        <f t="shared" ref="Q39:Q45" si="14">B39</f>
        <v>宗地形状</v>
      </c>
      <c r="R39" s="1323" t="s">
        <v>65</v>
      </c>
      <c r="S39" s="1324">
        <f t="shared" si="10"/>
        <v>100</v>
      </c>
      <c r="T39" s="1323" t="s">
        <v>65</v>
      </c>
      <c r="U39" s="1324">
        <f t="shared" si="11"/>
        <v>100</v>
      </c>
      <c r="V39" s="1323" t="s">
        <v>65</v>
      </c>
      <c r="W39" s="1324">
        <f t="shared" si="12"/>
        <v>100</v>
      </c>
      <c r="X39" s="1317"/>
      <c r="Y39" s="3645"/>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5"/>
      <c r="M40" s="2346"/>
      <c r="N40" s="2346"/>
      <c r="O40" s="2354"/>
      <c r="P40" s="3645"/>
      <c r="Q40" s="1322" t="str">
        <f t="shared" si="14"/>
        <v>临街宽度及深度</v>
      </c>
      <c r="R40" s="1323" t="s">
        <v>65</v>
      </c>
      <c r="S40" s="1324">
        <f t="shared" si="10"/>
        <v>100</v>
      </c>
      <c r="T40" s="1323" t="s">
        <v>65</v>
      </c>
      <c r="U40" s="1324">
        <f t="shared" si="11"/>
        <v>100</v>
      </c>
      <c r="V40" s="1323" t="s">
        <v>65</v>
      </c>
      <c r="W40" s="1324">
        <f t="shared" si="12"/>
        <v>100</v>
      </c>
      <c r="X40" s="1317"/>
      <c r="Y40" s="3645"/>
      <c r="Z40" s="1325" t="str">
        <f t="shared" si="13"/>
        <v>临街宽度及深度</v>
      </c>
      <c r="AA40" s="1326">
        <f t="shared" si="3"/>
        <v>1</v>
      </c>
      <c r="AB40" s="1326">
        <f t="shared" si="4"/>
        <v>1</v>
      </c>
      <c r="AC40" s="1326">
        <f t="shared" si="5"/>
        <v>1</v>
      </c>
    </row>
    <row r="41" spans="1:29" s="407" customFormat="1" ht="15">
      <c r="A41" s="815"/>
      <c r="B41" s="2607" t="s">
        <v>2507</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47"/>
      <c r="M41" s="2348"/>
      <c r="N41" s="2348"/>
      <c r="O41" s="2349"/>
      <c r="P41" s="3645"/>
      <c r="Q41" s="1322" t="str">
        <f t="shared" si="14"/>
        <v>宗地开发程度</v>
      </c>
      <c r="R41" s="1318" t="s">
        <v>65</v>
      </c>
      <c r="S41" s="1319">
        <f t="shared" si="10"/>
        <v>100</v>
      </c>
      <c r="T41" s="1318" t="s">
        <v>65</v>
      </c>
      <c r="U41" s="1319">
        <f t="shared" si="11"/>
        <v>100</v>
      </c>
      <c r="V41" s="1318" t="s">
        <v>65</v>
      </c>
      <c r="W41" s="1319">
        <f t="shared" si="12"/>
        <v>100</v>
      </c>
      <c r="X41" s="1320"/>
      <c r="Y41" s="3645"/>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5"/>
      <c r="M42" s="2346"/>
      <c r="N42" s="2346"/>
      <c r="O42" s="2354"/>
      <c r="P42" s="3645" t="s">
        <v>409</v>
      </c>
      <c r="Q42" s="1322" t="str">
        <f t="shared" si="14"/>
        <v>工程地质条件</v>
      </c>
      <c r="R42" s="1323" t="s">
        <v>65</v>
      </c>
      <c r="S42" s="1324">
        <f t="shared" si="10"/>
        <v>100</v>
      </c>
      <c r="T42" s="1323" t="s">
        <v>65</v>
      </c>
      <c r="U42" s="1324">
        <f t="shared" si="11"/>
        <v>100</v>
      </c>
      <c r="V42" s="1323" t="s">
        <v>65</v>
      </c>
      <c r="W42" s="1324">
        <f t="shared" si="12"/>
        <v>100</v>
      </c>
      <c r="X42" s="1317"/>
      <c r="Y42" s="3645"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5"/>
      <c r="M43" s="2346"/>
      <c r="N43" s="2346"/>
      <c r="O43" s="2354"/>
      <c r="P43" s="3645"/>
      <c r="Q43" s="1322">
        <f t="shared" si="14"/>
        <v>111</v>
      </c>
      <c r="R43" s="1323" t="s">
        <v>65</v>
      </c>
      <c r="S43" s="1324">
        <f t="shared" si="10"/>
        <v>100</v>
      </c>
      <c r="T43" s="1323" t="s">
        <v>65</v>
      </c>
      <c r="U43" s="1324">
        <f t="shared" si="11"/>
        <v>100</v>
      </c>
      <c r="V43" s="1323" t="s">
        <v>65</v>
      </c>
      <c r="W43" s="1324">
        <f t="shared" si="12"/>
        <v>100</v>
      </c>
      <c r="X43" s="1317"/>
      <c r="Y43" s="3645"/>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5"/>
      <c r="M44" s="2346"/>
      <c r="N44" s="2346"/>
      <c r="O44" s="2354"/>
      <c r="P44" s="3645"/>
      <c r="Q44" s="1322">
        <f t="shared" si="14"/>
        <v>111</v>
      </c>
      <c r="R44" s="1323" t="s">
        <v>65</v>
      </c>
      <c r="S44" s="1324">
        <f t="shared" si="10"/>
        <v>100</v>
      </c>
      <c r="T44" s="1323" t="s">
        <v>65</v>
      </c>
      <c r="U44" s="1324">
        <f t="shared" si="11"/>
        <v>100</v>
      </c>
      <c r="V44" s="1323" t="s">
        <v>65</v>
      </c>
      <c r="W44" s="1324">
        <f t="shared" si="12"/>
        <v>100</v>
      </c>
      <c r="X44" s="1317"/>
      <c r="Y44" s="3645"/>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3"/>
      <c r="M45" s="2356"/>
      <c r="N45" s="2356"/>
      <c r="O45" s="2357"/>
      <c r="P45" s="3645"/>
      <c r="Q45" s="1322">
        <f t="shared" si="14"/>
        <v>111</v>
      </c>
      <c r="R45" s="1328" t="s">
        <v>65</v>
      </c>
      <c r="S45" s="1329">
        <f t="shared" si="10"/>
        <v>100</v>
      </c>
      <c r="T45" s="1328" t="s">
        <v>65</v>
      </c>
      <c r="U45" s="1329">
        <f t="shared" si="11"/>
        <v>100</v>
      </c>
      <c r="V45" s="1328" t="s">
        <v>65</v>
      </c>
      <c r="W45" s="1329">
        <f t="shared" si="12"/>
        <v>100</v>
      </c>
      <c r="X45" s="1330"/>
      <c r="Y45" s="3645"/>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8"/>
      <c r="M46" s="2359"/>
      <c r="N46" s="2346"/>
      <c r="O46" s="2359"/>
      <c r="P46" s="3627" t="str">
        <f>A46</f>
        <v>成交单价</v>
      </c>
      <c r="Q46" s="3627"/>
      <c r="R46" s="3640">
        <f>E46</f>
        <v>0</v>
      </c>
      <c r="S46" s="3640"/>
      <c r="T46" s="3640">
        <f>G46</f>
        <v>0</v>
      </c>
      <c r="U46" s="3640"/>
      <c r="V46" s="3640">
        <f>I46</f>
        <v>0</v>
      </c>
      <c r="W46" s="3640"/>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8"/>
      <c r="M47" s="2359"/>
      <c r="N47" s="2359"/>
      <c r="O47" s="2359"/>
      <c r="P47" s="3627" t="str">
        <f>A47</f>
        <v>比较价值（元/平方米）</v>
      </c>
      <c r="Q47" s="3627"/>
      <c r="R47" s="3749" t="e">
        <f>ROUND(PRODUCT(R46,AA7:AA45),0)</f>
        <v>#DIV/0!</v>
      </c>
      <c r="S47" s="3749"/>
      <c r="T47" s="3749" t="e">
        <f>ROUND(PRODUCT(T46,AB7:AB45),0)</f>
        <v>#DIV/0!</v>
      </c>
      <c r="U47" s="3749"/>
      <c r="V47" s="3749" t="e">
        <f>ROUND(PRODUCT(V46,AC7:AC45),0)</f>
        <v>#DIV/0!</v>
      </c>
      <c r="W47" s="3749"/>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8"/>
      <c r="M48" s="2359"/>
      <c r="N48" s="2359"/>
      <c r="O48" s="2359"/>
      <c r="P48" s="3647" t="str">
        <f>A48</f>
        <v>估价对象XX用房的比较价值（楼面单价，元/平方米）</v>
      </c>
      <c r="Q48" s="3648"/>
      <c r="R48" s="3750" t="e">
        <f>ROUND(AVERAGE(R47:V47),0)</f>
        <v>#DIV/0!</v>
      </c>
      <c r="S48" s="3750"/>
      <c r="T48" s="3750"/>
      <c r="U48" s="3750"/>
      <c r="V48" s="3750"/>
      <c r="W48" s="3750"/>
      <c r="X48" s="1306"/>
      <c r="Y48" s="1306"/>
      <c r="Z48" s="1306"/>
      <c r="AA48" s="1306"/>
      <c r="AB48" s="1306"/>
      <c r="AC48" s="1306"/>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5"/>
      <c r="L51" s="2186"/>
      <c r="M51" s="2359"/>
      <c r="N51" s="2359"/>
      <c r="O51" s="2359"/>
    </row>
    <row r="52" spans="1:15" ht="13.5" customHeight="1">
      <c r="A52" s="2359"/>
      <c r="B52" s="2359"/>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5"/>
      <c r="L52" s="2186"/>
      <c r="M52" s="2359"/>
      <c r="N52" s="2359"/>
      <c r="O52" s="2359"/>
    </row>
    <row r="53" spans="1:15" s="844" customFormat="1" ht="13.5" customHeight="1">
      <c r="A53" s="2360"/>
      <c r="B53" s="2360"/>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3"/>
      <c r="L53" s="2364"/>
      <c r="M53" s="2360"/>
      <c r="N53" s="2360"/>
      <c r="O53" s="2360"/>
    </row>
    <row r="54" spans="1:15" s="844" customFormat="1" ht="15" thickBot="1">
      <c r="A54" s="2360"/>
      <c r="B54" s="2361"/>
      <c r="C54" s="1309"/>
      <c r="D54" s="1307"/>
      <c r="E54" s="1307"/>
      <c r="F54" s="1307"/>
      <c r="G54" s="1307"/>
      <c r="H54" s="1307"/>
      <c r="I54" s="1307"/>
      <c r="J54" s="1307"/>
      <c r="K54" s="2363"/>
      <c r="L54" s="2364"/>
      <c r="M54" s="2360"/>
      <c r="N54" s="2360"/>
      <c r="O54" s="2360"/>
    </row>
    <row r="55" spans="1:15" ht="27" customHeight="1">
      <c r="A55" s="1092" t="s">
        <v>491</v>
      </c>
      <c r="B55" s="1093" t="s">
        <v>492</v>
      </c>
      <c r="C55" s="1773" t="s">
        <v>1890</v>
      </c>
      <c r="D55" s="2390" t="s">
        <v>2331</v>
      </c>
      <c r="E55" s="1094" t="s">
        <v>493</v>
      </c>
      <c r="F55" s="2187" t="s">
        <v>494</v>
      </c>
      <c r="G55" s="3751" t="s">
        <v>2324</v>
      </c>
      <c r="H55" s="3752"/>
      <c r="I55" s="2188" t="s">
        <v>1889</v>
      </c>
      <c r="J55" s="2192" t="str">
        <f>项目基本情况!F35</f>
        <v>福建省福州市</v>
      </c>
      <c r="K55" s="2373" t="s">
        <v>1891</v>
      </c>
      <c r="L55" s="2186"/>
      <c r="M55" s="2359"/>
      <c r="N55" s="2359"/>
      <c r="O55" s="2359"/>
    </row>
    <row r="56" spans="1:15" s="1100" customFormat="1">
      <c r="A56" s="1096" t="s">
        <v>495</v>
      </c>
      <c r="B56" s="1097" t="e">
        <f>C48</f>
        <v>#DIV/0!</v>
      </c>
      <c r="C56" s="1098">
        <v>1</v>
      </c>
      <c r="D56" s="2391">
        <v>1</v>
      </c>
      <c r="E56" s="1098">
        <f>'数据-汇总表'!E8+'数据-汇总表'!E9</f>
        <v>0</v>
      </c>
      <c r="F56" s="2183" t="e">
        <f t="shared" ref="F56:F65" si="15">ROUND(B56*E56/10000,0)</f>
        <v>#DIV/0!</v>
      </c>
      <c r="G56" s="3753"/>
      <c r="H56" s="3754"/>
      <c r="I56" s="2189">
        <v>1</v>
      </c>
      <c r="J56" s="2193">
        <v>1</v>
      </c>
      <c r="K56" s="2360"/>
      <c r="L56" s="1770"/>
      <c r="M56" s="1770"/>
      <c r="N56" s="1770"/>
      <c r="O56" s="1770"/>
    </row>
    <row r="57" spans="1:15" s="1100" customFormat="1">
      <c r="A57" s="1101" t="s">
        <v>496</v>
      </c>
      <c r="B57" s="594" t="e">
        <f>ROUND($C$48*C57*D57,0)</f>
        <v>#DIV/0!</v>
      </c>
      <c r="C57" s="532">
        <f t="shared" ref="C57:C65" si="16">IF($C$55="北京市系数",I57,J57)</f>
        <v>0</v>
      </c>
      <c r="D57" s="2392">
        <v>0.25</v>
      </c>
      <c r="E57" s="1102"/>
      <c r="F57" s="2183" t="e">
        <f t="shared" si="15"/>
        <v>#DIV/0!</v>
      </c>
      <c r="G57" s="3755" t="s">
        <v>2325</v>
      </c>
      <c r="H57" s="2184">
        <f>项目基本情况!B37</f>
        <v>0</v>
      </c>
      <c r="I57" s="2189">
        <f>SUMIF(修正!A45:A56,H57,修正!B45:B56)</f>
        <v>0</v>
      </c>
      <c r="J57" s="2194"/>
      <c r="K57" s="2359"/>
      <c r="L57" s="1770"/>
      <c r="M57" s="1770"/>
      <c r="N57" s="1770"/>
      <c r="O57" s="1770"/>
    </row>
    <row r="58" spans="1:15" s="1100" customFormat="1">
      <c r="A58" s="1101" t="s">
        <v>497</v>
      </c>
      <c r="B58" s="594" t="e">
        <f t="shared" ref="B58:B65" si="17">ROUND($C$48*C58*D58,0)</f>
        <v>#DIV/0!</v>
      </c>
      <c r="C58" s="532">
        <f t="shared" si="16"/>
        <v>0</v>
      </c>
      <c r="D58" s="2392">
        <v>0.25</v>
      </c>
      <c r="E58" s="1102"/>
      <c r="F58" s="2183" t="e">
        <f t="shared" si="15"/>
        <v>#DIV/0!</v>
      </c>
      <c r="G58" s="3755"/>
      <c r="H58" s="2184">
        <f>项目基本情况!B37</f>
        <v>0</v>
      </c>
      <c r="I58" s="2189">
        <f>SUMIF(修正!A45:A56,H58,修正!C45:C56)</f>
        <v>0</v>
      </c>
      <c r="J58" s="2194"/>
      <c r="K58" s="2360"/>
      <c r="L58" s="1770"/>
      <c r="M58" s="1770"/>
      <c r="N58" s="1770"/>
      <c r="O58" s="1770"/>
    </row>
    <row r="59" spans="1:15" s="1100" customFormat="1">
      <c r="A59" s="1101" t="s">
        <v>498</v>
      </c>
      <c r="B59" s="594" t="e">
        <f t="shared" si="17"/>
        <v>#DIV/0!</v>
      </c>
      <c r="C59" s="532">
        <f t="shared" si="16"/>
        <v>0</v>
      </c>
      <c r="D59" s="2392">
        <v>0.25</v>
      </c>
      <c r="E59" s="1102"/>
      <c r="F59" s="2183" t="e">
        <f t="shared" si="15"/>
        <v>#DIV/0!</v>
      </c>
      <c r="G59" s="3755"/>
      <c r="H59" s="2184">
        <f>项目基本情况!B37</f>
        <v>0</v>
      </c>
      <c r="I59" s="2189">
        <f>SUMIF(修正!A45:A56,H59,修正!D45:D56)</f>
        <v>0</v>
      </c>
      <c r="J59" s="2194"/>
      <c r="K59" s="2359"/>
      <c r="L59" s="1770"/>
      <c r="M59" s="1770"/>
      <c r="N59" s="1770"/>
      <c r="O59" s="1770"/>
    </row>
    <row r="60" spans="1:15" s="1100" customFormat="1">
      <c r="A60" s="1101" t="s">
        <v>499</v>
      </c>
      <c r="B60" s="594" t="e">
        <f t="shared" si="17"/>
        <v>#DIV/0!</v>
      </c>
      <c r="C60" s="532">
        <f t="shared" si="16"/>
        <v>0</v>
      </c>
      <c r="D60" s="2392">
        <v>0.25</v>
      </c>
      <c r="E60" s="1102"/>
      <c r="F60" s="2183" t="e">
        <f t="shared" si="15"/>
        <v>#DIV/0!</v>
      </c>
      <c r="G60" s="3755"/>
      <c r="H60" s="2184">
        <f>项目基本情况!B37</f>
        <v>0</v>
      </c>
      <c r="I60" s="2189">
        <f>SUMIF(修正!A45:A56,H60,修正!E45:E56)</f>
        <v>0</v>
      </c>
      <c r="J60" s="2194"/>
      <c r="K60" s="2360"/>
      <c r="L60" s="1770"/>
      <c r="M60" s="1770"/>
      <c r="N60" s="1770"/>
      <c r="O60" s="1770"/>
    </row>
    <row r="61" spans="1:15" s="1100" customFormat="1">
      <c r="A61" s="2512" t="s">
        <v>2406</v>
      </c>
      <c r="B61" s="594" t="e">
        <f t="shared" si="17"/>
        <v>#DIV/0!</v>
      </c>
      <c r="C61" s="532">
        <f t="shared" si="16"/>
        <v>0</v>
      </c>
      <c r="D61" s="2392">
        <v>0.25</v>
      </c>
      <c r="E61" s="593">
        <f>'数据-汇总表'!E11</f>
        <v>0</v>
      </c>
      <c r="F61" s="2183" t="e">
        <f t="shared" si="15"/>
        <v>#DIV/0!</v>
      </c>
      <c r="G61" s="2196" t="s">
        <v>2326</v>
      </c>
      <c r="H61" s="2184">
        <f>项目基本情况!C37</f>
        <v>0</v>
      </c>
      <c r="I61" s="2189">
        <f>SUMIF(修正!A45:A56,H61,修正!F45:F56)</f>
        <v>0</v>
      </c>
      <c r="J61" s="2194"/>
      <c r="K61" s="2359"/>
      <c r="L61" s="1770"/>
      <c r="M61" s="1770"/>
      <c r="N61" s="1770"/>
      <c r="O61" s="1770"/>
    </row>
    <row r="62" spans="1:15" s="1100" customFormat="1">
      <c r="A62" s="1101" t="s">
        <v>500</v>
      </c>
      <c r="B62" s="594" t="e">
        <f t="shared" si="17"/>
        <v>#DIV/0!</v>
      </c>
      <c r="C62" s="532">
        <f t="shared" si="16"/>
        <v>0</v>
      </c>
      <c r="D62" s="2392">
        <v>0.25</v>
      </c>
      <c r="E62" s="593">
        <f>'数据-汇总表'!E12</f>
        <v>0</v>
      </c>
      <c r="F62" s="2183" t="e">
        <f t="shared" si="15"/>
        <v>#DIV/0!</v>
      </c>
      <c r="G62" s="2190" t="s">
        <v>141</v>
      </c>
      <c r="H62" s="2184">
        <f>IF(G62="商业",项目基本情况!B37,IF(G62="办公",项目基本情况!C37,IF(G62="住宅",项目基本情况!D37,项目基本情况!E37)))</f>
        <v>0</v>
      </c>
      <c r="I62" s="2189">
        <f>SUMIF(修正!A45:A56,H62,修正!G45:G56)</f>
        <v>0</v>
      </c>
      <c r="J62" s="2194"/>
      <c r="K62" s="2360"/>
      <c r="L62" s="1770"/>
      <c r="M62" s="1770"/>
      <c r="N62" s="1770"/>
      <c r="O62" s="1770"/>
    </row>
    <row r="63" spans="1:15" s="1100" customFormat="1">
      <c r="A63" s="1101" t="s">
        <v>501</v>
      </c>
      <c r="B63" s="594" t="e">
        <f t="shared" si="17"/>
        <v>#DIV/0!</v>
      </c>
      <c r="C63" s="532">
        <f t="shared" si="16"/>
        <v>0</v>
      </c>
      <c r="D63" s="2392">
        <v>0.25</v>
      </c>
      <c r="E63" s="593">
        <f>'数据-汇总表'!E13</f>
        <v>31303.89</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100" customFormat="1">
      <c r="A64" s="1101" t="s">
        <v>502</v>
      </c>
      <c r="B64" s="594" t="e">
        <f t="shared" si="17"/>
        <v>#DIV/0!</v>
      </c>
      <c r="C64" s="532">
        <f t="shared" si="16"/>
        <v>0</v>
      </c>
      <c r="D64" s="2392">
        <v>0.25</v>
      </c>
      <c r="E64" s="593">
        <f>'数据-汇总表'!E14</f>
        <v>0</v>
      </c>
      <c r="F64" s="2183" t="e">
        <f t="shared" si="15"/>
        <v>#DIV/0!</v>
      </c>
      <c r="G64" s="2196" t="s">
        <v>2327</v>
      </c>
      <c r="H64" s="2184">
        <f>项目基本情况!B37</f>
        <v>0</v>
      </c>
      <c r="I64" s="2189">
        <f>SUMIF(修正!A45:A56,H64,修正!H45:H56)</f>
        <v>0</v>
      </c>
      <c r="J64" s="2194"/>
      <c r="K64" s="2360"/>
      <c r="L64" s="1770"/>
      <c r="M64" s="1770"/>
      <c r="N64" s="1770"/>
      <c r="O64" s="1770"/>
    </row>
    <row r="65" spans="1:17" s="1100" customFormat="1" ht="15" thickBot="1">
      <c r="A65" s="1101" t="s">
        <v>503</v>
      </c>
      <c r="B65" s="594" t="e">
        <f t="shared" si="17"/>
        <v>#DIV/0!</v>
      </c>
      <c r="C65" s="532">
        <f t="shared" si="16"/>
        <v>0</v>
      </c>
      <c r="D65" s="2392">
        <v>0.25</v>
      </c>
      <c r="E65" s="593">
        <f>'数据-汇总表'!E15</f>
        <v>0</v>
      </c>
      <c r="F65" s="2183" t="e">
        <f t="shared" si="15"/>
        <v>#DIV/0!</v>
      </c>
      <c r="G65" s="2197" t="s">
        <v>2326</v>
      </c>
      <c r="H65" s="2198">
        <f>项目基本情况!C37</f>
        <v>0</v>
      </c>
      <c r="I65" s="2191">
        <f>SUMIF(修正!A45:A56,H65,修正!H45:H56)</f>
        <v>0</v>
      </c>
      <c r="J65" s="2195"/>
      <c r="K65" s="2359"/>
      <c r="L65" s="1770"/>
      <c r="M65" s="1770"/>
      <c r="N65" s="1770"/>
      <c r="O65" s="1770"/>
    </row>
    <row r="66" spans="1:17" s="1100" customFormat="1" ht="13.5" thickBot="1">
      <c r="A66" s="1103" t="s">
        <v>504</v>
      </c>
      <c r="B66" s="1104" t="s">
        <v>156</v>
      </c>
      <c r="C66" s="1104" t="s">
        <v>157</v>
      </c>
      <c r="D66" s="1104" t="s">
        <v>2332</v>
      </c>
      <c r="E66" s="1104">
        <f>IF(B46="楼面地价",SUM(E56:E65),'数据-汇总表'!D3)</f>
        <v>31303.89</v>
      </c>
      <c r="F66" s="1105" t="e">
        <f>IF(B46="楼面地价",SUM(F56:F65),ROUND(C48*E66/10000,0))</f>
        <v>#DIV/0!</v>
      </c>
      <c r="G66" s="1414"/>
      <c r="H66" s="1414"/>
      <c r="I66" s="1414"/>
      <c r="J66" s="1414"/>
      <c r="K66" s="2374"/>
      <c r="L66" s="1770"/>
      <c r="M66" s="1770"/>
      <c r="N66" s="1770"/>
      <c r="O66" s="1770"/>
    </row>
    <row r="67" spans="1:17">
      <c r="A67" s="1306"/>
      <c r="B67" s="1308"/>
      <c r="C67" s="1309"/>
      <c r="D67" s="1306"/>
      <c r="E67" s="1306"/>
      <c r="F67" s="1306"/>
      <c r="G67" s="1306"/>
      <c r="H67" s="1306"/>
      <c r="I67" s="1306"/>
      <c r="J67" s="2359"/>
      <c r="K67" s="2185"/>
      <c r="L67" s="2186"/>
      <c r="M67" s="2359"/>
      <c r="N67" s="2359"/>
      <c r="O67" s="2359"/>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415</v>
      </c>
      <c r="B69" s="1306"/>
      <c r="C69" s="1311"/>
      <c r="D69" s="1311"/>
      <c r="E69" s="1311"/>
      <c r="F69" s="1312"/>
      <c r="G69" s="1312"/>
      <c r="H69" s="1311"/>
      <c r="I69" s="1311"/>
      <c r="J69" s="2375"/>
      <c r="K69" s="2376"/>
      <c r="L69" s="2377"/>
      <c r="M69" s="2375"/>
      <c r="N69" s="2375"/>
      <c r="O69" s="2375"/>
      <c r="P69" s="845"/>
      <c r="Q69" s="846"/>
    </row>
    <row r="70" spans="1:17" s="850" customFormat="1" ht="15">
      <c r="A70" s="2703" t="s">
        <v>2798</v>
      </c>
      <c r="B70" s="2704"/>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9"/>
    </row>
    <row r="71" spans="1:17" s="407" customFormat="1" ht="30" customHeight="1">
      <c r="A71" s="3041" t="s">
        <v>40</v>
      </c>
      <c r="B71" s="664" t="str">
        <f>"北京市平均增长率"&amp;TEXT(SUMIF(基准地价修正!N21:N25,A71,基准地价修正!P21:P25),"0.00%")</f>
        <v>北京市平均增长率2.66%</v>
      </c>
      <c r="C71" s="945">
        <v>100</v>
      </c>
      <c r="D71" s="937"/>
      <c r="E71" s="937"/>
      <c r="F71" s="937"/>
      <c r="G71" s="937"/>
      <c r="H71" s="937"/>
      <c r="I71" s="937"/>
      <c r="J71" s="937"/>
      <c r="K71" s="937"/>
      <c r="L71" s="937"/>
      <c r="M71" s="3032"/>
      <c r="N71" s="937"/>
      <c r="O71" s="3033"/>
      <c r="P71" s="846"/>
    </row>
    <row r="72" spans="1:17" s="407" customFormat="1" ht="15.75" thickBot="1">
      <c r="A72" s="857" t="s">
        <v>416</v>
      </c>
      <c r="B72" s="858"/>
      <c r="C72" s="859"/>
      <c r="D72" s="860"/>
      <c r="E72" s="860"/>
      <c r="F72" s="860"/>
      <c r="G72" s="860"/>
      <c r="H72" s="860"/>
      <c r="I72" s="860"/>
      <c r="J72" s="860"/>
      <c r="K72" s="860"/>
      <c r="L72" s="860"/>
      <c r="M72" s="861"/>
      <c r="N72" s="860"/>
      <c r="O72" s="2378"/>
      <c r="P72" s="846"/>
      <c r="Q72" s="846"/>
    </row>
    <row r="73" spans="1:17" s="407" customFormat="1" ht="15">
      <c r="A73" s="863" t="s">
        <v>400</v>
      </c>
      <c r="B73" s="852"/>
      <c r="C73" s="864" t="s">
        <v>417</v>
      </c>
      <c r="D73" s="140"/>
      <c r="E73" s="140"/>
      <c r="F73" s="140"/>
      <c r="G73" s="140"/>
      <c r="H73" s="140"/>
      <c r="I73" s="140"/>
      <c r="J73" s="140"/>
      <c r="K73" s="140"/>
      <c r="L73" s="141"/>
      <c r="M73" s="1050"/>
      <c r="N73" s="2366"/>
      <c r="O73" s="2366"/>
      <c r="P73" s="868"/>
      <c r="Q73" s="846"/>
    </row>
    <row r="74" spans="1:17" s="407" customFormat="1" ht="15.75" thickBot="1">
      <c r="A74" s="863"/>
      <c r="B74" s="852"/>
      <c r="C74" s="981">
        <v>100</v>
      </c>
      <c r="D74" s="854"/>
      <c r="E74" s="854"/>
      <c r="F74" s="854"/>
      <c r="G74" s="854"/>
      <c r="H74" s="854"/>
      <c r="I74" s="854"/>
      <c r="J74" s="854"/>
      <c r="K74" s="854"/>
      <c r="L74" s="854"/>
      <c r="M74" s="856"/>
      <c r="N74" s="2366"/>
      <c r="O74" s="2366"/>
      <c r="P74" s="846"/>
      <c r="Q74" s="846"/>
    </row>
    <row r="75" spans="1:17">
      <c r="A75" s="869" t="s">
        <v>418</v>
      </c>
      <c r="B75" s="870" t="s">
        <v>419</v>
      </c>
      <c r="C75" s="122"/>
      <c r="D75" s="122"/>
      <c r="E75" s="122"/>
      <c r="F75" s="122"/>
      <c r="G75" s="122"/>
      <c r="H75" s="122"/>
      <c r="I75" s="122"/>
      <c r="J75" s="122"/>
      <c r="K75" s="123"/>
      <c r="L75" s="124"/>
      <c r="M75" s="125"/>
      <c r="N75" s="2367"/>
      <c r="O75" s="2367"/>
      <c r="P75" s="334"/>
      <c r="Q75" s="846"/>
    </row>
    <row r="76" spans="1:17" ht="15.75" thickBot="1">
      <c r="A76" s="876"/>
      <c r="B76" s="877"/>
      <c r="C76" s="878"/>
      <c r="D76" s="878"/>
      <c r="E76" s="878"/>
      <c r="F76" s="878"/>
      <c r="G76" s="878"/>
      <c r="H76" s="878"/>
      <c r="I76" s="878"/>
      <c r="J76" s="878"/>
      <c r="K76" s="878"/>
      <c r="L76" s="878"/>
      <c r="M76" s="879"/>
      <c r="N76" s="2368"/>
      <c r="O76" s="2368"/>
      <c r="P76" s="334"/>
      <c r="Q76" s="846"/>
    </row>
    <row r="77" spans="1:17" ht="27.75" thickTop="1">
      <c r="A77" s="876"/>
      <c r="B77" s="880" t="s">
        <v>404</v>
      </c>
      <c r="C77" s="881"/>
      <c r="D77" s="881"/>
      <c r="E77" s="881"/>
      <c r="F77" s="881"/>
      <c r="G77" s="881"/>
      <c r="H77" s="881"/>
      <c r="I77" s="881"/>
      <c r="J77" s="881"/>
      <c r="K77" s="882"/>
      <c r="L77" s="883"/>
      <c r="M77" s="884"/>
      <c r="N77" s="2367"/>
      <c r="O77" s="2367"/>
      <c r="P77" s="334"/>
      <c r="Q77" s="846"/>
    </row>
    <row r="78" spans="1:17" ht="15.75" thickBot="1">
      <c r="A78" s="876"/>
      <c r="B78" s="885"/>
      <c r="C78" s="886"/>
      <c r="D78" s="886"/>
      <c r="E78" s="886"/>
      <c r="F78" s="886"/>
      <c r="G78" s="886"/>
      <c r="H78" s="886"/>
      <c r="I78" s="886"/>
      <c r="J78" s="886"/>
      <c r="K78" s="886"/>
      <c r="L78" s="886"/>
      <c r="M78" s="887"/>
      <c r="N78" s="2368"/>
      <c r="O78" s="2368"/>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8"/>
      <c r="O79" s="2368"/>
      <c r="P79" s="334"/>
      <c r="Q79" s="846"/>
    </row>
    <row r="80" spans="1:17" ht="15">
      <c r="A80" s="876"/>
      <c r="B80" s="890"/>
      <c r="C80" s="891"/>
      <c r="D80" s="891"/>
      <c r="E80" s="891"/>
      <c r="F80" s="891"/>
      <c r="G80" s="891"/>
      <c r="H80" s="891"/>
      <c r="I80" s="891"/>
      <c r="J80" s="891"/>
      <c r="K80" s="892"/>
      <c r="L80" s="893"/>
      <c r="M80" s="894"/>
      <c r="N80" s="2367"/>
      <c r="O80" s="2367"/>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8"/>
      <c r="O81" s="2368"/>
      <c r="P81" s="334"/>
      <c r="Q81" s="846"/>
    </row>
    <row r="82" spans="1:17" s="813" customFormat="1" ht="15.75" thickTop="1">
      <c r="A82" s="895"/>
      <c r="B82" s="880" t="str">
        <f>B12</f>
        <v>配建</v>
      </c>
      <c r="C82" s="139"/>
      <c r="D82" s="139"/>
      <c r="E82" s="139"/>
      <c r="F82" s="139"/>
      <c r="G82" s="139"/>
      <c r="H82" s="1058"/>
      <c r="I82" s="1058"/>
      <c r="J82" s="1058"/>
      <c r="K82" s="1058"/>
      <c r="L82" s="1059"/>
      <c r="M82" s="1060"/>
      <c r="N82" s="2369"/>
      <c r="O82" s="2369"/>
      <c r="P82" s="900"/>
      <c r="Q82" s="901"/>
    </row>
    <row r="83" spans="1:17" s="813" customFormat="1" ht="15.75" thickBot="1">
      <c r="A83" s="895"/>
      <c r="B83" s="885"/>
      <c r="C83" s="902"/>
      <c r="D83" s="878"/>
      <c r="E83" s="878"/>
      <c r="F83" s="878"/>
      <c r="G83" s="878"/>
      <c r="H83" s="878"/>
      <c r="I83" s="878"/>
      <c r="J83" s="878"/>
      <c r="K83" s="878"/>
      <c r="L83" s="878"/>
      <c r="M83" s="879"/>
      <c r="N83" s="2368"/>
      <c r="O83" s="2368"/>
      <c r="P83" s="900"/>
      <c r="Q83" s="901"/>
    </row>
    <row r="84" spans="1:17" s="813" customFormat="1" ht="15.75" thickTop="1">
      <c r="A84" s="895"/>
      <c r="B84" s="880">
        <f>B13</f>
        <v>111</v>
      </c>
      <c r="C84" s="139"/>
      <c r="D84" s="139"/>
      <c r="E84" s="139"/>
      <c r="F84" s="139"/>
      <c r="G84" s="139"/>
      <c r="H84" s="1058"/>
      <c r="I84" s="1058"/>
      <c r="J84" s="1058"/>
      <c r="K84" s="1058"/>
      <c r="L84" s="1059"/>
      <c r="M84" s="1060"/>
      <c r="N84" s="2369"/>
      <c r="O84" s="2369"/>
      <c r="P84" s="812"/>
      <c r="Q84" s="903"/>
    </row>
    <row r="85" spans="1:17" s="813" customFormat="1" ht="15.75" thickBot="1">
      <c r="A85" s="895"/>
      <c r="B85" s="885"/>
      <c r="C85" s="902"/>
      <c r="D85" s="902"/>
      <c r="E85" s="902"/>
      <c r="F85" s="902"/>
      <c r="G85" s="902"/>
      <c r="H85" s="904"/>
      <c r="I85" s="904"/>
      <c r="J85" s="904"/>
      <c r="K85" s="904"/>
      <c r="L85" s="904"/>
      <c r="M85" s="905"/>
      <c r="N85" s="2369"/>
      <c r="O85" s="2369"/>
      <c r="P85" s="900"/>
      <c r="Q85" s="901"/>
    </row>
    <row r="86" spans="1:17" s="813" customFormat="1" ht="15.75" thickTop="1">
      <c r="A86" s="895"/>
      <c r="B86" s="888">
        <f>B14</f>
        <v>111</v>
      </c>
      <c r="C86" s="140"/>
      <c r="D86" s="140"/>
      <c r="E86" s="140"/>
      <c r="F86" s="140"/>
      <c r="G86" s="140"/>
      <c r="H86" s="1065"/>
      <c r="I86" s="1065"/>
      <c r="J86" s="1065"/>
      <c r="K86" s="1065"/>
      <c r="L86" s="1066"/>
      <c r="M86" s="1067"/>
      <c r="N86" s="2369"/>
      <c r="O86" s="2369"/>
      <c r="P86" s="909"/>
      <c r="Q86" s="901"/>
    </row>
    <row r="87" spans="1:17" s="813" customFormat="1" ht="15.75" thickBot="1">
      <c r="A87" s="910"/>
      <c r="B87" s="911"/>
      <c r="C87" s="912"/>
      <c r="D87" s="912"/>
      <c r="E87" s="912"/>
      <c r="F87" s="912"/>
      <c r="G87" s="912"/>
      <c r="H87" s="913"/>
      <c r="I87" s="913"/>
      <c r="J87" s="913"/>
      <c r="K87" s="913"/>
      <c r="L87" s="913"/>
      <c r="M87" s="914"/>
      <c r="N87" s="2369"/>
      <c r="O87" s="2369"/>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7"/>
      <c r="O88" s="2367"/>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8"/>
      <c r="O89" s="2368"/>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7"/>
      <c r="O90" s="2367"/>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8"/>
      <c r="O91" s="2368"/>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7"/>
      <c r="O92" s="2367"/>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8"/>
      <c r="O93" s="2368"/>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7"/>
      <c r="O94" s="2367"/>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8"/>
      <c r="O95" s="2368"/>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6"/>
      <c r="O96" s="2366"/>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8"/>
      <c r="O97" s="2368"/>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6"/>
      <c r="O98" s="2366"/>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8"/>
      <c r="O99" s="2368"/>
      <c r="P99" s="334"/>
      <c r="Q99" s="846"/>
    </row>
    <row r="100" spans="1:17" s="813" customFormat="1" ht="15.75" thickTop="1">
      <c r="A100" s="895"/>
      <c r="B100" s="1053" t="s">
        <v>2675</v>
      </c>
      <c r="C100" s="915" t="s">
        <v>425</v>
      </c>
      <c r="D100" s="915" t="s">
        <v>426</v>
      </c>
      <c r="E100" s="915" t="s">
        <v>427</v>
      </c>
      <c r="F100" s="915" t="s">
        <v>428</v>
      </c>
      <c r="G100" s="915" t="s">
        <v>429</v>
      </c>
      <c r="H100" s="942"/>
      <c r="I100" s="942"/>
      <c r="J100" s="942"/>
      <c r="K100" s="942"/>
      <c r="L100" s="943"/>
      <c r="M100" s="944"/>
      <c r="N100" s="2369"/>
      <c r="O100" s="2369"/>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9"/>
      <c r="O101" s="2369"/>
      <c r="P101" s="900"/>
      <c r="Q101" s="901"/>
    </row>
    <row r="102" spans="1:17" s="813" customFormat="1" ht="15.75" thickTop="1">
      <c r="A102" s="895"/>
      <c r="B102" s="1055" t="s">
        <v>2662</v>
      </c>
      <c r="C102" s="213" t="s">
        <v>2663</v>
      </c>
      <c r="D102" s="213" t="s">
        <v>2664</v>
      </c>
      <c r="E102" s="213" t="s">
        <v>2665</v>
      </c>
      <c r="F102" s="213" t="s">
        <v>2666</v>
      </c>
      <c r="G102" s="213" t="s">
        <v>2667</v>
      </c>
      <c r="H102" s="942"/>
      <c r="I102" s="942"/>
      <c r="J102" s="942"/>
      <c r="K102" s="942"/>
      <c r="L102" s="942"/>
      <c r="M102" s="2767"/>
      <c r="N102" s="2369"/>
      <c r="O102" s="2369"/>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7"/>
      <c r="N103" s="2369"/>
      <c r="O103" s="2369"/>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7"/>
      <c r="O104" s="2367"/>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8"/>
      <c r="O105" s="2368"/>
      <c r="P105" s="334"/>
      <c r="Q105" s="846"/>
    </row>
    <row r="106" spans="1:17" ht="27.75" thickTop="1">
      <c r="A106" s="876"/>
      <c r="B106" s="880" t="s">
        <v>442</v>
      </c>
      <c r="C106" s="139"/>
      <c r="D106" s="139"/>
      <c r="E106" s="139"/>
      <c r="F106" s="139"/>
      <c r="G106" s="139"/>
      <c r="H106" s="131"/>
      <c r="I106" s="131"/>
      <c r="J106" s="131"/>
      <c r="K106" s="132"/>
      <c r="L106" s="133"/>
      <c r="M106" s="134"/>
      <c r="N106" s="2367"/>
      <c r="O106" s="2367"/>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8"/>
      <c r="O107" s="2368"/>
      <c r="P107" s="334"/>
      <c r="Q107" s="846"/>
    </row>
    <row r="108" spans="1:17" ht="15.75" thickTop="1">
      <c r="A108" s="876"/>
      <c r="B108" s="880" t="s">
        <v>485</v>
      </c>
      <c r="C108" s="131"/>
      <c r="D108" s="131"/>
      <c r="E108" s="131"/>
      <c r="F108" s="131"/>
      <c r="G108" s="131"/>
      <c r="H108" s="131"/>
      <c r="I108" s="131"/>
      <c r="J108" s="131"/>
      <c r="K108" s="132"/>
      <c r="L108" s="133"/>
      <c r="M108" s="134"/>
      <c r="N108" s="2367"/>
      <c r="O108" s="2367"/>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8"/>
      <c r="O109" s="2368"/>
      <c r="P109" s="334"/>
      <c r="Q109" s="846"/>
    </row>
    <row r="110" spans="1:17" ht="15.75" thickTop="1">
      <c r="A110" s="876"/>
      <c r="B110" s="888">
        <f>B35</f>
        <v>111</v>
      </c>
      <c r="C110" s="139"/>
      <c r="D110" s="139"/>
      <c r="E110" s="139"/>
      <c r="F110" s="139"/>
      <c r="G110" s="135"/>
      <c r="H110" s="135"/>
      <c r="I110" s="135"/>
      <c r="J110" s="135"/>
      <c r="K110" s="136"/>
      <c r="L110" s="137"/>
      <c r="M110" s="138"/>
      <c r="N110" s="2367"/>
      <c r="O110" s="2367"/>
      <c r="P110" s="334"/>
      <c r="Q110" s="846"/>
    </row>
    <row r="111" spans="1:17" ht="15.75" thickBot="1">
      <c r="A111" s="876"/>
      <c r="B111" s="911"/>
      <c r="C111" s="902"/>
      <c r="D111" s="902"/>
      <c r="E111" s="902"/>
      <c r="F111" s="902"/>
      <c r="G111" s="933"/>
      <c r="H111" s="933"/>
      <c r="I111" s="933"/>
      <c r="J111" s="933"/>
      <c r="K111" s="933"/>
      <c r="L111" s="933"/>
      <c r="M111" s="934"/>
      <c r="N111" s="2368"/>
      <c r="O111" s="2368"/>
      <c r="P111" s="334"/>
      <c r="Q111" s="846"/>
    </row>
    <row r="112" spans="1:17" ht="15" thickTop="1">
      <c r="A112" s="1083"/>
      <c r="B112" s="880">
        <f>B36</f>
        <v>111</v>
      </c>
      <c r="C112" s="140"/>
      <c r="D112" s="140"/>
      <c r="E112" s="140"/>
      <c r="F112" s="140"/>
      <c r="G112" s="131"/>
      <c r="H112" s="131"/>
      <c r="I112" s="131"/>
      <c r="J112" s="131"/>
      <c r="K112" s="132"/>
      <c r="L112" s="133"/>
      <c r="M112" s="134"/>
      <c r="N112" s="2367"/>
      <c r="O112" s="2367"/>
      <c r="P112" s="334"/>
      <c r="Q112" s="846"/>
    </row>
    <row r="113" spans="1:17" ht="15.75" thickBot="1">
      <c r="A113" s="876"/>
      <c r="B113" s="885"/>
      <c r="C113" s="912"/>
      <c r="D113" s="912"/>
      <c r="E113" s="912"/>
      <c r="F113" s="912"/>
      <c r="G113" s="878"/>
      <c r="H113" s="878"/>
      <c r="I113" s="878"/>
      <c r="J113" s="878"/>
      <c r="K113" s="878"/>
      <c r="L113" s="878"/>
      <c r="M113" s="879"/>
      <c r="N113" s="2368"/>
      <c r="O113" s="2368"/>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9"/>
      <c r="O114" s="2369"/>
      <c r="P114" s="900"/>
      <c r="Q114" s="901"/>
    </row>
    <row r="115" spans="1:17" s="813" customFormat="1" ht="15.75" thickBot="1">
      <c r="A115" s="895"/>
      <c r="B115" s="888"/>
      <c r="C115" s="854"/>
      <c r="D115" s="1085"/>
      <c r="E115" s="1085"/>
      <c r="F115" s="1085"/>
      <c r="G115" s="1085"/>
      <c r="H115" s="1085"/>
      <c r="I115" s="1085"/>
      <c r="J115" s="1085"/>
      <c r="K115" s="1085"/>
      <c r="L115" s="1085"/>
      <c r="M115" s="1107"/>
      <c r="N115" s="2368"/>
      <c r="O115" s="2368"/>
      <c r="P115" s="900"/>
      <c r="Q115" s="901"/>
    </row>
    <row r="116" spans="1:17">
      <c r="A116" s="869" t="s">
        <v>408</v>
      </c>
      <c r="B116" s="870" t="s">
        <v>512</v>
      </c>
      <c r="C116" s="3340" t="str">
        <f t="shared" ref="C116" si="25">C117&amp;"(含)"&amp;"-"&amp;D117</f>
        <v>(含)-</v>
      </c>
      <c r="D116" s="3340" t="str">
        <f t="shared" ref="D116" si="26">D117&amp;"(含)"&amp;"-"&amp;E117</f>
        <v>(含)-</v>
      </c>
      <c r="E116" s="3340" t="str">
        <f t="shared" ref="E116" si="27">E117&amp;"(含)"&amp;"-"&amp;F117</f>
        <v>(含)-</v>
      </c>
      <c r="F116" s="3340" t="str">
        <f t="shared" ref="F116" si="28">F117&amp;"(含)"&amp;"-"&amp;G117</f>
        <v>(含)-</v>
      </c>
      <c r="G116" s="3340" t="str">
        <f t="shared" ref="G116" si="29">G117&amp;"(含)"&amp;"-"&amp;H117</f>
        <v>(含)-</v>
      </c>
      <c r="H116" s="3340" t="str">
        <f t="shared" ref="H116" si="30">H117&amp;"(含)"&amp;"-"&amp;I117</f>
        <v>(含)-</v>
      </c>
      <c r="I116" s="3340" t="str">
        <f t="shared" ref="I116" si="31">I117&amp;"(含)"&amp;"-"&amp;J117</f>
        <v>(含)-</v>
      </c>
      <c r="J116" s="3340" t="str">
        <f t="shared" ref="J116" si="32">J117&amp;"(含)"&amp;"-"&amp;K117</f>
        <v>(含)-</v>
      </c>
      <c r="K116" s="3340" t="str">
        <f t="shared" ref="K116" si="33">K117&amp;"(含)"&amp;"-"&amp;L117</f>
        <v>(含)-</v>
      </c>
      <c r="L116" s="3340" t="str">
        <f t="shared" ref="L116" si="34">L117&amp;"(含)"&amp;"-"&amp;M117</f>
        <v>(含)-</v>
      </c>
      <c r="M116" s="3340" t="str">
        <f t="shared" ref="M116" si="35">M117&amp;"(含)"&amp;"-"&amp;N117</f>
        <v>(含)-</v>
      </c>
      <c r="N116" s="2367"/>
      <c r="O116" s="2367"/>
      <c r="P116" s="334"/>
      <c r="Q116" s="846"/>
    </row>
    <row r="117" spans="1:17" ht="15">
      <c r="A117" s="876"/>
      <c r="B117" s="888"/>
      <c r="C117" s="937"/>
      <c r="D117" s="937"/>
      <c r="E117" s="937"/>
      <c r="F117" s="937"/>
      <c r="G117" s="937"/>
      <c r="H117" s="937"/>
      <c r="I117" s="937"/>
      <c r="J117" s="938"/>
      <c r="K117" s="938"/>
      <c r="L117" s="939"/>
      <c r="M117" s="940"/>
      <c r="N117" s="2367"/>
      <c r="O117" s="2367"/>
      <c r="P117" s="334"/>
      <c r="Q117" s="846"/>
    </row>
    <row r="118" spans="1:17" ht="15.75" thickBot="1">
      <c r="A118" s="876"/>
      <c r="B118" s="885"/>
      <c r="C118" s="912"/>
      <c r="D118" s="933"/>
      <c r="E118" s="933"/>
      <c r="F118" s="933"/>
      <c r="G118" s="933"/>
      <c r="H118" s="933"/>
      <c r="I118" s="933"/>
      <c r="J118" s="933"/>
      <c r="K118" s="933"/>
      <c r="L118" s="933"/>
      <c r="M118" s="934"/>
      <c r="N118" s="2368"/>
      <c r="O118" s="2368"/>
      <c r="P118" s="334"/>
      <c r="Q118" s="846"/>
    </row>
    <row r="119" spans="1:17" ht="15" thickTop="1">
      <c r="A119" s="941"/>
      <c r="B119" s="880" t="s">
        <v>513</v>
      </c>
      <c r="C119" s="131"/>
      <c r="D119" s="131"/>
      <c r="E119" s="131"/>
      <c r="F119" s="131"/>
      <c r="G119" s="131"/>
      <c r="H119" s="131"/>
      <c r="I119" s="131"/>
      <c r="J119" s="131"/>
      <c r="K119" s="132"/>
      <c r="L119" s="133"/>
      <c r="M119" s="134"/>
      <c r="N119" s="2367"/>
      <c r="O119" s="2367"/>
      <c r="P119" s="334"/>
      <c r="Q119" s="846"/>
    </row>
    <row r="120" spans="1:17" ht="15.75" thickBot="1">
      <c r="A120" s="876"/>
      <c r="B120" s="885"/>
      <c r="C120" s="886">
        <v>100</v>
      </c>
      <c r="D120" s="886">
        <f t="shared" ref="D120:M120" si="36">C120-$K39</f>
        <v>100</v>
      </c>
      <c r="E120" s="886">
        <f t="shared" si="36"/>
        <v>100</v>
      </c>
      <c r="F120" s="886">
        <f t="shared" si="36"/>
        <v>100</v>
      </c>
      <c r="G120" s="886">
        <f t="shared" si="36"/>
        <v>100</v>
      </c>
      <c r="H120" s="886">
        <f t="shared" si="36"/>
        <v>100</v>
      </c>
      <c r="I120" s="886">
        <f t="shared" si="36"/>
        <v>100</v>
      </c>
      <c r="J120" s="886">
        <f t="shared" si="36"/>
        <v>100</v>
      </c>
      <c r="K120" s="886">
        <f t="shared" si="36"/>
        <v>100</v>
      </c>
      <c r="L120" s="886">
        <f t="shared" si="36"/>
        <v>100</v>
      </c>
      <c r="M120" s="887">
        <f t="shared" si="36"/>
        <v>100</v>
      </c>
      <c r="N120" s="2368"/>
      <c r="O120" s="2368"/>
      <c r="P120" s="334"/>
      <c r="Q120" s="846"/>
    </row>
    <row r="121" spans="1:17" ht="15" thickTop="1">
      <c r="A121" s="941"/>
      <c r="B121" s="880" t="s">
        <v>514</v>
      </c>
      <c r="C121" s="139"/>
      <c r="D121" s="139"/>
      <c r="E121" s="139"/>
      <c r="F121" s="131"/>
      <c r="G121" s="131"/>
      <c r="H121" s="131"/>
      <c r="I121" s="131"/>
      <c r="J121" s="131"/>
      <c r="K121" s="132"/>
      <c r="L121" s="133"/>
      <c r="M121" s="134"/>
      <c r="N121" s="2367"/>
      <c r="O121" s="2367"/>
      <c r="P121" s="334"/>
      <c r="Q121" s="846"/>
    </row>
    <row r="122" spans="1:17" ht="15.75" thickBot="1">
      <c r="A122" s="876"/>
      <c r="B122" s="885"/>
      <c r="C122" s="886">
        <v>100</v>
      </c>
      <c r="D122" s="886">
        <f t="shared" ref="D122:M122" si="37">C122-$K40</f>
        <v>100</v>
      </c>
      <c r="E122" s="886">
        <f t="shared" si="37"/>
        <v>100</v>
      </c>
      <c r="F122" s="886">
        <f t="shared" si="37"/>
        <v>100</v>
      </c>
      <c r="G122" s="886">
        <f t="shared" si="37"/>
        <v>100</v>
      </c>
      <c r="H122" s="886">
        <f t="shared" si="37"/>
        <v>100</v>
      </c>
      <c r="I122" s="886">
        <f t="shared" si="37"/>
        <v>100</v>
      </c>
      <c r="J122" s="886">
        <f t="shared" si="37"/>
        <v>100</v>
      </c>
      <c r="K122" s="886">
        <f t="shared" si="37"/>
        <v>100</v>
      </c>
      <c r="L122" s="886">
        <f t="shared" si="37"/>
        <v>100</v>
      </c>
      <c r="M122" s="887">
        <f t="shared" si="37"/>
        <v>100</v>
      </c>
      <c r="N122" s="2368"/>
      <c r="O122" s="2368"/>
      <c r="P122" s="334"/>
      <c r="Q122" s="846"/>
    </row>
    <row r="123" spans="1:17" s="813" customFormat="1" ht="15" thickTop="1">
      <c r="A123" s="935"/>
      <c r="B123" s="1053" t="s">
        <v>2506</v>
      </c>
      <c r="C123" s="139"/>
      <c r="D123" s="139"/>
      <c r="E123" s="139"/>
      <c r="F123" s="139"/>
      <c r="G123" s="139"/>
      <c r="H123" s="131"/>
      <c r="I123" s="131"/>
      <c r="J123" s="131"/>
      <c r="K123" s="132"/>
      <c r="L123" s="133"/>
      <c r="M123" s="134"/>
      <c r="N123" s="2369"/>
      <c r="O123" s="2369"/>
      <c r="P123" s="900"/>
      <c r="Q123" s="901"/>
    </row>
    <row r="124" spans="1:17" s="813" customFormat="1" ht="15.75" thickBot="1">
      <c r="A124" s="895"/>
      <c r="B124" s="885"/>
      <c r="C124" s="886">
        <v>100</v>
      </c>
      <c r="D124" s="886">
        <f>C124-$K41</f>
        <v>100</v>
      </c>
      <c r="E124" s="886">
        <f t="shared" ref="E124:M124" si="38">D124-$K41</f>
        <v>100</v>
      </c>
      <c r="F124" s="886">
        <f t="shared" si="38"/>
        <v>100</v>
      </c>
      <c r="G124" s="886">
        <f t="shared" si="38"/>
        <v>100</v>
      </c>
      <c r="H124" s="886">
        <f t="shared" si="38"/>
        <v>100</v>
      </c>
      <c r="I124" s="886">
        <f t="shared" si="38"/>
        <v>100</v>
      </c>
      <c r="J124" s="886">
        <f t="shared" si="38"/>
        <v>100</v>
      </c>
      <c r="K124" s="886">
        <f t="shared" si="38"/>
        <v>100</v>
      </c>
      <c r="L124" s="886">
        <f t="shared" si="38"/>
        <v>100</v>
      </c>
      <c r="M124" s="887">
        <f t="shared" si="38"/>
        <v>100</v>
      </c>
      <c r="N124" s="2369"/>
      <c r="O124" s="2369"/>
      <c r="P124" s="900"/>
      <c r="Q124" s="901"/>
    </row>
    <row r="125" spans="1:17" ht="15" thickTop="1">
      <c r="A125" s="941"/>
      <c r="B125" s="880" t="s">
        <v>515</v>
      </c>
      <c r="C125" s="139"/>
      <c r="D125" s="139"/>
      <c r="E125" s="131"/>
      <c r="F125" s="131"/>
      <c r="G125" s="131"/>
      <c r="H125" s="131"/>
      <c r="I125" s="131"/>
      <c r="J125" s="131"/>
      <c r="K125" s="132"/>
      <c r="L125" s="133"/>
      <c r="M125" s="134"/>
      <c r="N125" s="2367"/>
      <c r="O125" s="2367"/>
      <c r="P125" s="334"/>
      <c r="Q125" s="846"/>
    </row>
    <row r="126" spans="1:17" ht="15.75" thickBot="1">
      <c r="A126" s="876"/>
      <c r="B126" s="885"/>
      <c r="C126" s="886">
        <v>100</v>
      </c>
      <c r="D126" s="886">
        <f t="shared" ref="D126:M126" si="39">C126-$K42</f>
        <v>100</v>
      </c>
      <c r="E126" s="886">
        <f t="shared" si="39"/>
        <v>100</v>
      </c>
      <c r="F126" s="886">
        <f t="shared" si="39"/>
        <v>100</v>
      </c>
      <c r="G126" s="886">
        <f t="shared" si="39"/>
        <v>100</v>
      </c>
      <c r="H126" s="886">
        <f t="shared" si="39"/>
        <v>100</v>
      </c>
      <c r="I126" s="886">
        <f t="shared" si="39"/>
        <v>100</v>
      </c>
      <c r="J126" s="886">
        <f t="shared" si="39"/>
        <v>100</v>
      </c>
      <c r="K126" s="886">
        <f t="shared" si="39"/>
        <v>100</v>
      </c>
      <c r="L126" s="886">
        <f t="shared" si="39"/>
        <v>100</v>
      </c>
      <c r="M126" s="887">
        <f t="shared" si="39"/>
        <v>100</v>
      </c>
      <c r="N126" s="2368"/>
      <c r="O126" s="2368"/>
      <c r="P126" s="334"/>
      <c r="Q126" s="846"/>
    </row>
    <row r="127" spans="1:17" ht="15" thickTop="1">
      <c r="A127" s="941"/>
      <c r="B127" s="880">
        <f>B43</f>
        <v>111</v>
      </c>
      <c r="C127" s="139"/>
      <c r="D127" s="139"/>
      <c r="E127" s="139"/>
      <c r="F127" s="139"/>
      <c r="G127" s="139"/>
      <c r="H127" s="131"/>
      <c r="I127" s="131"/>
      <c r="J127" s="131"/>
      <c r="K127" s="132"/>
      <c r="L127" s="133"/>
      <c r="M127" s="134"/>
      <c r="N127" s="2367"/>
      <c r="O127" s="2367"/>
      <c r="P127" s="334"/>
      <c r="Q127" s="846"/>
    </row>
    <row r="128" spans="1:17" ht="15.75" thickBot="1">
      <c r="A128" s="876"/>
      <c r="B128" s="885"/>
      <c r="C128" s="902"/>
      <c r="D128" s="902"/>
      <c r="E128" s="902"/>
      <c r="F128" s="902"/>
      <c r="G128" s="878"/>
      <c r="H128" s="878"/>
      <c r="I128" s="878"/>
      <c r="J128" s="878"/>
      <c r="K128" s="878"/>
      <c r="L128" s="878"/>
      <c r="M128" s="879"/>
      <c r="N128" s="2368"/>
      <c r="O128" s="2368"/>
      <c r="P128" s="334"/>
      <c r="Q128" s="846"/>
    </row>
    <row r="129" spans="1:17" ht="15" thickTop="1">
      <c r="A129" s="941"/>
      <c r="B129" s="880">
        <f>B44</f>
        <v>111</v>
      </c>
      <c r="C129" s="140"/>
      <c r="D129" s="140"/>
      <c r="E129" s="140"/>
      <c r="F129" s="140"/>
      <c r="G129" s="131"/>
      <c r="H129" s="131"/>
      <c r="I129" s="131"/>
      <c r="J129" s="131"/>
      <c r="K129" s="132"/>
      <c r="L129" s="133"/>
      <c r="M129" s="134"/>
      <c r="N129" s="2367"/>
      <c r="O129" s="2367"/>
      <c r="P129" s="334"/>
      <c r="Q129" s="846"/>
    </row>
    <row r="130" spans="1:17" ht="15.75" thickBot="1">
      <c r="A130" s="876"/>
      <c r="B130" s="885"/>
      <c r="C130" s="912"/>
      <c r="D130" s="912"/>
      <c r="E130" s="912"/>
      <c r="F130" s="912"/>
      <c r="G130" s="878"/>
      <c r="H130" s="878"/>
      <c r="I130" s="878"/>
      <c r="J130" s="878"/>
      <c r="K130" s="878"/>
      <c r="L130" s="878"/>
      <c r="M130" s="879"/>
      <c r="N130" s="2368"/>
      <c r="O130" s="2368"/>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9"/>
      <c r="O131" s="2369"/>
      <c r="P131" s="900"/>
      <c r="Q131" s="901"/>
    </row>
    <row r="132" spans="1:17" s="813" customFormat="1" ht="15.75" thickBot="1">
      <c r="A132" s="910"/>
      <c r="B132" s="1108"/>
      <c r="C132" s="912"/>
      <c r="D132" s="912"/>
      <c r="E132" s="912"/>
      <c r="F132" s="912"/>
      <c r="G132" s="933"/>
      <c r="H132" s="933"/>
      <c r="I132" s="933"/>
      <c r="J132" s="933"/>
      <c r="K132" s="933"/>
      <c r="L132" s="933"/>
      <c r="M132" s="934"/>
      <c r="N132" s="2369"/>
      <c r="O132" s="2369"/>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0"/>
      <c r="D2" s="2340"/>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2894</v>
      </c>
      <c r="D3" s="3054"/>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4" t="s">
        <v>390</v>
      </c>
      <c r="B4" s="745"/>
      <c r="C4" s="3628" t="s">
        <v>391</v>
      </c>
      <c r="D4" s="3629"/>
      <c r="E4" s="3630" t="s">
        <v>392</v>
      </c>
      <c r="F4" s="3631"/>
      <c r="G4" s="3628" t="s">
        <v>393</v>
      </c>
      <c r="H4" s="3629"/>
      <c r="I4" s="3628" t="s">
        <v>394</v>
      </c>
      <c r="J4" s="3629"/>
      <c r="K4" s="952" t="s">
        <v>395</v>
      </c>
      <c r="L4" s="2345"/>
      <c r="M4" s="2346"/>
      <c r="N4" s="2346"/>
      <c r="O4" s="2346"/>
      <c r="P4" s="3632" t="s">
        <v>396</v>
      </c>
      <c r="Q4" s="3633"/>
      <c r="R4" s="3615" t="s">
        <v>392</v>
      </c>
      <c r="S4" s="3616"/>
      <c r="T4" s="3615" t="s">
        <v>393</v>
      </c>
      <c r="U4" s="3616"/>
      <c r="V4" s="3640" t="s">
        <v>394</v>
      </c>
      <c r="W4" s="3640"/>
      <c r="X4" s="1317"/>
      <c r="Y4" s="3615" t="s">
        <v>396</v>
      </c>
      <c r="Z4" s="3616"/>
      <c r="AA4" s="3610" t="s">
        <v>392</v>
      </c>
      <c r="AB4" s="3611" t="s">
        <v>393</v>
      </c>
      <c r="AC4" s="3610" t="s">
        <v>394</v>
      </c>
    </row>
    <row r="5" spans="1:29" ht="15">
      <c r="A5" s="747"/>
      <c r="B5" s="748"/>
      <c r="C5" s="3688" t="s">
        <v>1129</v>
      </c>
      <c r="D5" s="3689"/>
      <c r="E5" s="3690" t="s">
        <v>1130</v>
      </c>
      <c r="F5" s="3691"/>
      <c r="G5" s="3688" t="s">
        <v>1133</v>
      </c>
      <c r="H5" s="3689"/>
      <c r="I5" s="3688" t="s">
        <v>1131</v>
      </c>
      <c r="J5" s="3689"/>
      <c r="K5" s="952"/>
      <c r="L5" s="2345"/>
      <c r="M5" s="2346"/>
      <c r="N5" s="2346"/>
      <c r="O5" s="2346"/>
      <c r="P5" s="3634"/>
      <c r="Q5" s="3635"/>
      <c r="R5" s="3617"/>
      <c r="S5" s="3618"/>
      <c r="T5" s="3617"/>
      <c r="U5" s="3618"/>
      <c r="V5" s="3640"/>
      <c r="W5" s="3640"/>
      <c r="X5" s="1317"/>
      <c r="Y5" s="3617"/>
      <c r="Z5" s="3618"/>
      <c r="AA5" s="3611"/>
      <c r="AB5" s="3611"/>
      <c r="AC5" s="3611"/>
    </row>
    <row r="6" spans="1:29" ht="15.75" thickBot="1">
      <c r="A6" s="749"/>
      <c r="B6" s="750"/>
      <c r="C6" s="3756" t="s">
        <v>1132</v>
      </c>
      <c r="D6" s="3757"/>
      <c r="E6" s="3758" t="s">
        <v>1132</v>
      </c>
      <c r="F6" s="3759"/>
      <c r="G6" s="3756" t="s">
        <v>1132</v>
      </c>
      <c r="H6" s="3757"/>
      <c r="I6" s="3756" t="s">
        <v>1132</v>
      </c>
      <c r="J6" s="3757"/>
      <c r="K6" s="952" t="s">
        <v>397</v>
      </c>
      <c r="L6" s="2345"/>
      <c r="M6" s="2346"/>
      <c r="N6" s="2346"/>
      <c r="O6" s="2346"/>
      <c r="P6" s="3636"/>
      <c r="Q6" s="3637"/>
      <c r="R6" s="3617"/>
      <c r="S6" s="3618"/>
      <c r="T6" s="3638"/>
      <c r="U6" s="3639"/>
      <c r="V6" s="3640"/>
      <c r="W6" s="3640"/>
      <c r="X6" s="1317"/>
      <c r="Y6" s="3638"/>
      <c r="Z6" s="3639"/>
      <c r="AA6" s="3612"/>
      <c r="AB6" s="3612"/>
      <c r="AC6" s="3612"/>
    </row>
    <row r="7" spans="1:29" s="407" customFormat="1" ht="15.75" thickBot="1">
      <c r="A7" s="751" t="s">
        <v>398</v>
      </c>
      <c r="B7" s="752"/>
      <c r="C7" s="753">
        <f>'数据-取费表'!B2</f>
        <v>42935</v>
      </c>
      <c r="D7" s="754">
        <v>100</v>
      </c>
      <c r="E7" s="1016"/>
      <c r="F7" s="756">
        <f>SUMIF(65:65,YEAR(E7)&amp;"-"&amp;INT((MONTH(E7)+2)/3),66:66)</f>
        <v>0</v>
      </c>
      <c r="G7" s="1017"/>
      <c r="H7" s="754">
        <f>SUMIF(65:65,YEAR(G7)&amp;"-"&amp;INT((MONTH(G7)+2)/3),66:66)</f>
        <v>0</v>
      </c>
      <c r="I7" s="1017"/>
      <c r="J7" s="754">
        <f>SUMIF(65:65,YEAR(I7)&amp;"-"&amp;INT((MONTH(I7)+2)/3),66:66)</f>
        <v>0</v>
      </c>
      <c r="K7" s="953"/>
      <c r="L7" s="2347"/>
      <c r="M7" s="2348"/>
      <c r="N7" s="2348"/>
      <c r="O7" s="2348"/>
      <c r="P7" s="3613" t="s">
        <v>399</v>
      </c>
      <c r="Q7" s="3641"/>
      <c r="R7" s="1318" t="s">
        <v>65</v>
      </c>
      <c r="S7" s="1319">
        <f t="shared" ref="S7:S15" si="0">F7</f>
        <v>0</v>
      </c>
      <c r="T7" s="1318" t="s">
        <v>65</v>
      </c>
      <c r="U7" s="1319">
        <f t="shared" ref="U7:U15" si="1">H7</f>
        <v>0</v>
      </c>
      <c r="V7" s="1318" t="s">
        <v>65</v>
      </c>
      <c r="W7" s="1319">
        <f t="shared" ref="W7:W15" si="2">J7</f>
        <v>0</v>
      </c>
      <c r="X7" s="1320"/>
      <c r="Y7" s="3613" t="s">
        <v>399</v>
      </c>
      <c r="Z7" s="3614"/>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47"/>
      <c r="M8" s="2348"/>
      <c r="N8" s="2348"/>
      <c r="O8" s="2348"/>
      <c r="P8" s="3613" t="s">
        <v>435</v>
      </c>
      <c r="Q8" s="3614"/>
      <c r="R8" s="1318" t="s">
        <v>65</v>
      </c>
      <c r="S8" s="1319">
        <f t="shared" si="0"/>
        <v>0</v>
      </c>
      <c r="T8" s="1318" t="s">
        <v>65</v>
      </c>
      <c r="U8" s="1319">
        <f t="shared" si="1"/>
        <v>0</v>
      </c>
      <c r="V8" s="1318" t="s">
        <v>65</v>
      </c>
      <c r="W8" s="1319">
        <f t="shared" si="2"/>
        <v>0</v>
      </c>
      <c r="X8" s="1320"/>
      <c r="Y8" s="3613" t="s">
        <v>435</v>
      </c>
      <c r="Z8" s="3614"/>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47"/>
      <c r="M9" s="2348"/>
      <c r="N9" s="2348"/>
      <c r="O9" s="2349"/>
      <c r="P9" s="3627" t="s">
        <v>402</v>
      </c>
      <c r="Q9" s="296" t="str">
        <f t="shared" ref="Q9:Q15" si="6">B9</f>
        <v>用途</v>
      </c>
      <c r="R9" s="1318" t="s">
        <v>65</v>
      </c>
      <c r="S9" s="1319">
        <f t="shared" si="0"/>
        <v>100</v>
      </c>
      <c r="T9" s="1318" t="s">
        <v>65</v>
      </c>
      <c r="U9" s="1319">
        <f t="shared" si="1"/>
        <v>100</v>
      </c>
      <c r="V9" s="1318" t="s">
        <v>65</v>
      </c>
      <c r="W9" s="1319">
        <f t="shared" si="2"/>
        <v>100</v>
      </c>
      <c r="X9" s="1320"/>
      <c r="Y9" s="3588" t="s">
        <v>403</v>
      </c>
      <c r="Z9" s="344" t="str">
        <f t="shared" ref="Z9:Z15" si="7">Q9</f>
        <v>用途</v>
      </c>
      <c r="AA9" s="1321">
        <f t="shared" si="3"/>
        <v>1</v>
      </c>
      <c r="AB9" s="1321">
        <f t="shared" si="4"/>
        <v>1</v>
      </c>
      <c r="AC9" s="1321">
        <f t="shared" si="5"/>
        <v>1</v>
      </c>
    </row>
    <row r="10" spans="1:29" s="769" customFormat="1" ht="27">
      <c r="A10" s="763"/>
      <c r="B10" s="764" t="s">
        <v>404</v>
      </c>
      <c r="C10" s="1023"/>
      <c r="D10" s="426">
        <v>100</v>
      </c>
      <c r="E10" s="1023"/>
      <c r="F10" s="426">
        <f>ROUND(100/'数据-取费表'!G16,0)</f>
        <v>103</v>
      </c>
      <c r="G10" s="1023"/>
      <c r="H10" s="426">
        <f>ROUND(100/'数据-取费表'!G16,0)</f>
        <v>103</v>
      </c>
      <c r="I10" s="1023"/>
      <c r="J10" s="426">
        <f>ROUND(100/'数据-取费表'!G16,0)</f>
        <v>103</v>
      </c>
      <c r="K10" s="1080"/>
      <c r="L10" s="2350"/>
      <c r="M10" s="2351"/>
      <c r="N10" s="2351"/>
      <c r="O10" s="2352"/>
      <c r="P10" s="3627"/>
      <c r="Q10" s="296" t="str">
        <f t="shared" si="6"/>
        <v>土地使用年限（年）</v>
      </c>
      <c r="R10" s="1318" t="s">
        <v>65</v>
      </c>
      <c r="S10" s="1319">
        <f t="shared" si="0"/>
        <v>103</v>
      </c>
      <c r="T10" s="1318" t="s">
        <v>65</v>
      </c>
      <c r="U10" s="1319">
        <f t="shared" si="1"/>
        <v>103</v>
      </c>
      <c r="V10" s="1318" t="s">
        <v>65</v>
      </c>
      <c r="W10" s="1319">
        <f t="shared" si="2"/>
        <v>103</v>
      </c>
      <c r="X10" s="1320"/>
      <c r="Y10" s="3588"/>
      <c r="Z10" s="344" t="str">
        <f t="shared" si="7"/>
        <v>土地使用年限（年）</v>
      </c>
      <c r="AA10" s="1321">
        <f t="shared" si="3"/>
        <v>0.970873786407767</v>
      </c>
      <c r="AB10" s="1321">
        <f t="shared" si="4"/>
        <v>0.970873786407767</v>
      </c>
      <c r="AC10" s="1321">
        <f t="shared" si="5"/>
        <v>0.970873786407767</v>
      </c>
    </row>
    <row r="11" spans="1:29" ht="15">
      <c r="A11" s="770"/>
      <c r="B11" s="764" t="s">
        <v>405</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3"/>
      <c r="M11" s="2346"/>
      <c r="N11" s="2346"/>
      <c r="O11" s="2354"/>
      <c r="P11" s="3627"/>
      <c r="Q11" s="296" t="str">
        <f t="shared" si="6"/>
        <v>容积率</v>
      </c>
      <c r="R11" s="1318" t="s">
        <v>65</v>
      </c>
      <c r="S11" s="1319" t="e">
        <f t="shared" si="0"/>
        <v>#N/A</v>
      </c>
      <c r="T11" s="1318" t="s">
        <v>65</v>
      </c>
      <c r="U11" s="1319" t="e">
        <f t="shared" si="1"/>
        <v>#N/A</v>
      </c>
      <c r="V11" s="1318" t="s">
        <v>65</v>
      </c>
      <c r="W11" s="1319" t="e">
        <f t="shared" si="2"/>
        <v>#N/A</v>
      </c>
      <c r="X11" s="1320"/>
      <c r="Y11" s="3588"/>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7"/>
      <c r="M12" s="2348"/>
      <c r="N12" s="2348"/>
      <c r="O12" s="2349"/>
      <c r="P12" s="3627"/>
      <c r="Q12" s="296">
        <f t="shared" si="6"/>
        <v>111</v>
      </c>
      <c r="R12" s="1318" t="s">
        <v>65</v>
      </c>
      <c r="S12" s="1319">
        <f t="shared" si="0"/>
        <v>100</v>
      </c>
      <c r="T12" s="1318" t="s">
        <v>65</v>
      </c>
      <c r="U12" s="1319">
        <f t="shared" si="1"/>
        <v>100</v>
      </c>
      <c r="V12" s="1318" t="s">
        <v>65</v>
      </c>
      <c r="W12" s="1319">
        <f t="shared" si="2"/>
        <v>100</v>
      </c>
      <c r="X12" s="1320"/>
      <c r="Y12" s="3588"/>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5"/>
      <c r="M13" s="2346"/>
      <c r="N13" s="2346"/>
      <c r="O13" s="2354"/>
      <c r="P13" s="3627"/>
      <c r="Q13" s="296">
        <f t="shared" si="6"/>
        <v>111</v>
      </c>
      <c r="R13" s="1318" t="s">
        <v>65</v>
      </c>
      <c r="S13" s="1319">
        <f t="shared" si="0"/>
        <v>100</v>
      </c>
      <c r="T13" s="1318" t="s">
        <v>65</v>
      </c>
      <c r="U13" s="1319">
        <f t="shared" si="1"/>
        <v>100</v>
      </c>
      <c r="V13" s="1318" t="s">
        <v>65</v>
      </c>
      <c r="W13" s="1319">
        <f t="shared" si="2"/>
        <v>100</v>
      </c>
      <c r="X13" s="1320"/>
      <c r="Y13" s="3588"/>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5"/>
      <c r="M14" s="2346"/>
      <c r="N14" s="2346"/>
      <c r="O14" s="2354"/>
      <c r="P14" s="3627"/>
      <c r="Q14" s="296">
        <f t="shared" si="6"/>
        <v>111</v>
      </c>
      <c r="R14" s="1318" t="s">
        <v>65</v>
      </c>
      <c r="S14" s="1319">
        <f t="shared" si="0"/>
        <v>100</v>
      </c>
      <c r="T14" s="1318" t="s">
        <v>65</v>
      </c>
      <c r="U14" s="1319">
        <f t="shared" si="1"/>
        <v>100</v>
      </c>
      <c r="V14" s="1318" t="s">
        <v>65</v>
      </c>
      <c r="W14" s="1319">
        <f t="shared" si="2"/>
        <v>100</v>
      </c>
      <c r="X14" s="1320"/>
      <c r="Y14" s="3588"/>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5"/>
      <c r="M15" s="2346"/>
      <c r="N15" s="2346"/>
      <c r="O15" s="2354"/>
      <c r="P15" s="3642" t="s">
        <v>407</v>
      </c>
      <c r="Q15" s="1322" t="str">
        <f t="shared" si="6"/>
        <v>产业集聚程度</v>
      </c>
      <c r="R15" s="1323" t="s">
        <v>65</v>
      </c>
      <c r="S15" s="1324">
        <f t="shared" si="0"/>
        <v>100</v>
      </c>
      <c r="T15" s="1323" t="s">
        <v>65</v>
      </c>
      <c r="U15" s="1324">
        <f t="shared" si="1"/>
        <v>100</v>
      </c>
      <c r="V15" s="1323" t="s">
        <v>65</v>
      </c>
      <c r="W15" s="1324">
        <f t="shared" si="2"/>
        <v>100</v>
      </c>
      <c r="X15" s="1317"/>
      <c r="Y15" s="3642"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5"/>
      <c r="M16" s="2346"/>
      <c r="N16" s="2346"/>
      <c r="O16" s="2354"/>
      <c r="P16" s="3643"/>
      <c r="Q16" s="1322"/>
      <c r="R16" s="1323"/>
      <c r="S16" s="1324"/>
      <c r="T16" s="1323"/>
      <c r="U16" s="1324"/>
      <c r="V16" s="1323"/>
      <c r="W16" s="1324"/>
      <c r="X16" s="1317"/>
      <c r="Y16" s="3643"/>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5"/>
      <c r="M17" s="2346"/>
      <c r="N17" s="2346"/>
      <c r="O17" s="2354"/>
      <c r="P17" s="3643"/>
      <c r="Q17" s="1322" t="str">
        <f>B17</f>
        <v>交通便捷度</v>
      </c>
      <c r="R17" s="1323" t="s">
        <v>65</v>
      </c>
      <c r="S17" s="1324">
        <f>F17</f>
        <v>100</v>
      </c>
      <c r="T17" s="1323" t="s">
        <v>65</v>
      </c>
      <c r="U17" s="1324">
        <f>H17</f>
        <v>100</v>
      </c>
      <c r="V17" s="1323" t="s">
        <v>65</v>
      </c>
      <c r="W17" s="1324">
        <f>J17</f>
        <v>100</v>
      </c>
      <c r="X17" s="1317"/>
      <c r="Y17" s="3643"/>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5"/>
      <c r="M18" s="2346"/>
      <c r="N18" s="2346"/>
      <c r="O18" s="2354"/>
      <c r="P18" s="3643"/>
      <c r="Q18" s="1322"/>
      <c r="R18" s="1323"/>
      <c r="S18" s="1324"/>
      <c r="T18" s="1323"/>
      <c r="U18" s="1324"/>
      <c r="V18" s="1323"/>
      <c r="W18" s="1324"/>
      <c r="X18" s="1317"/>
      <c r="Y18" s="3643"/>
      <c r="Z18" s="1325"/>
      <c r="AA18" s="1326">
        <v>1</v>
      </c>
      <c r="AB18" s="1326">
        <v>1</v>
      </c>
      <c r="AC18" s="1326">
        <v>1</v>
      </c>
    </row>
    <row r="19" spans="1:29" ht="27">
      <c r="A19" s="770"/>
      <c r="B19" s="973"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5"/>
      <c r="M19" s="2346"/>
      <c r="N19" s="2346"/>
      <c r="O19" s="2354"/>
      <c r="P19" s="3643"/>
      <c r="Q19" s="1322" t="str">
        <f t="shared" ref="Q19:Q33" si="8">B19</f>
        <v>区域土地利用方向</v>
      </c>
      <c r="R19" s="1323" t="s">
        <v>65</v>
      </c>
      <c r="S19" s="1324">
        <f>F19</f>
        <v>100</v>
      </c>
      <c r="T19" s="1323" t="s">
        <v>65</v>
      </c>
      <c r="U19" s="1324">
        <f>H19</f>
        <v>100</v>
      </c>
      <c r="V19" s="1323" t="s">
        <v>65</v>
      </c>
      <c r="W19" s="1324">
        <f>J19</f>
        <v>100</v>
      </c>
      <c r="X19" s="1317"/>
      <c r="Y19" s="3643"/>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1"/>
      <c r="L20" s="2355"/>
      <c r="M20" s="2346"/>
      <c r="N20" s="2346"/>
      <c r="O20" s="2354"/>
      <c r="P20" s="3643"/>
      <c r="Q20" s="1469"/>
      <c r="R20" s="1323"/>
      <c r="S20" s="1324"/>
      <c r="T20" s="1323"/>
      <c r="U20" s="1324"/>
      <c r="V20" s="1323"/>
      <c r="W20" s="1324"/>
      <c r="X20" s="1468"/>
      <c r="Y20" s="3643"/>
      <c r="Z20" s="1470"/>
      <c r="AA20" s="1326"/>
      <c r="AB20" s="1326"/>
      <c r="AC20" s="1326"/>
    </row>
    <row r="21" spans="1:29" ht="81">
      <c r="A21" s="747"/>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5"/>
      <c r="M21" s="2346"/>
      <c r="N21" s="2346"/>
      <c r="O21" s="2354"/>
      <c r="P21" s="3643"/>
      <c r="Q21" s="1322" t="str">
        <f t="shared" si="8"/>
        <v>环境状况</v>
      </c>
      <c r="R21" s="1323" t="s">
        <v>65</v>
      </c>
      <c r="S21" s="1324">
        <f>F21</f>
        <v>100</v>
      </c>
      <c r="T21" s="1323" t="s">
        <v>65</v>
      </c>
      <c r="U21" s="1324">
        <f>H21</f>
        <v>100</v>
      </c>
      <c r="V21" s="1323" t="s">
        <v>65</v>
      </c>
      <c r="W21" s="1324">
        <f>J21</f>
        <v>100</v>
      </c>
      <c r="X21" s="1317"/>
      <c r="Y21" s="3643"/>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5"/>
      <c r="M22" s="2346"/>
      <c r="N22" s="2346"/>
      <c r="O22" s="2354"/>
      <c r="P22" s="3643"/>
      <c r="Q22" s="1322"/>
      <c r="R22" s="1323"/>
      <c r="S22" s="1324"/>
      <c r="T22" s="1323"/>
      <c r="U22" s="1324"/>
      <c r="V22" s="1323"/>
      <c r="W22" s="1324"/>
      <c r="X22" s="1317"/>
      <c r="Y22" s="3643"/>
      <c r="Z22" s="1325"/>
      <c r="AA22" s="1326">
        <v>1</v>
      </c>
      <c r="AB22" s="1326">
        <v>1</v>
      </c>
      <c r="AC22" s="1326">
        <v>1</v>
      </c>
    </row>
    <row r="23" spans="1:29" s="407" customFormat="1" ht="40.5">
      <c r="A23" s="991"/>
      <c r="B23" s="1035" t="s">
        <v>2675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7"/>
      <c r="M23" s="2348"/>
      <c r="N23" s="2348"/>
      <c r="O23" s="2349"/>
      <c r="P23" s="3643"/>
      <c r="Q23" s="296" t="str">
        <f t="shared" si="8"/>
        <v>公共配套设施</v>
      </c>
      <c r="R23" s="1318" t="s">
        <v>65</v>
      </c>
      <c r="S23" s="1319">
        <f>F23</f>
        <v>100</v>
      </c>
      <c r="T23" s="1318" t="s">
        <v>65</v>
      </c>
      <c r="U23" s="1319">
        <f>H23</f>
        <v>100</v>
      </c>
      <c r="V23" s="1318" t="s">
        <v>65</v>
      </c>
      <c r="W23" s="1319">
        <f>J23</f>
        <v>100</v>
      </c>
      <c r="X23" s="1320"/>
      <c r="Y23" s="3643"/>
      <c r="Z23" s="344" t="str">
        <f>Q23</f>
        <v>公共配套设施</v>
      </c>
      <c r="AA23" s="1326">
        <f>D23/F23</f>
        <v>1</v>
      </c>
      <c r="AB23" s="1326">
        <f>D23/H23</f>
        <v>1</v>
      </c>
      <c r="AC23" s="1326">
        <f>D23/J23</f>
        <v>1</v>
      </c>
    </row>
    <row r="24" spans="1:29" s="407" customFormat="1" ht="15">
      <c r="A24" s="991"/>
      <c r="B24" s="974"/>
      <c r="C24" s="2772"/>
      <c r="D24" s="790"/>
      <c r="E24" s="192"/>
      <c r="F24" s="790"/>
      <c r="G24" s="192"/>
      <c r="H24" s="790"/>
      <c r="I24" s="97"/>
      <c r="J24" s="790"/>
      <c r="K24" s="1080"/>
      <c r="L24" s="2347"/>
      <c r="M24" s="2348"/>
      <c r="N24" s="2348"/>
      <c r="O24" s="2349"/>
      <c r="P24" s="3643"/>
      <c r="Q24" s="296"/>
      <c r="R24" s="1318"/>
      <c r="S24" s="1319"/>
      <c r="T24" s="1318"/>
      <c r="U24" s="1319"/>
      <c r="V24" s="1318"/>
      <c r="W24" s="1319"/>
      <c r="X24" s="1320"/>
      <c r="Y24" s="3643"/>
      <c r="Z24" s="344"/>
      <c r="AA24" s="1321">
        <v>1</v>
      </c>
      <c r="AB24" s="1321">
        <v>1</v>
      </c>
      <c r="AC24" s="1321">
        <v>1</v>
      </c>
    </row>
    <row r="25" spans="1:29" s="407" customFormat="1" ht="40.5">
      <c r="A25" s="991"/>
      <c r="B25" s="1035" t="s">
        <v>2676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7"/>
      <c r="M25" s="2348"/>
      <c r="N25" s="2348"/>
      <c r="O25" s="2349"/>
      <c r="P25" s="3643"/>
      <c r="Q25" s="2741" t="str">
        <f t="shared" ref="Q25" si="9">B25</f>
        <v>基础设施水平</v>
      </c>
      <c r="R25" s="1318" t="s">
        <v>65</v>
      </c>
      <c r="S25" s="1319">
        <f>F25</f>
        <v>100</v>
      </c>
      <c r="T25" s="1318" t="s">
        <v>65</v>
      </c>
      <c r="U25" s="1319">
        <f>H25</f>
        <v>100</v>
      </c>
      <c r="V25" s="1318" t="s">
        <v>65</v>
      </c>
      <c r="W25" s="1319">
        <f>J25</f>
        <v>100</v>
      </c>
      <c r="X25" s="1320"/>
      <c r="Y25" s="3643"/>
      <c r="Z25" s="344" t="str">
        <f>Q25</f>
        <v>基础设施水平</v>
      </c>
      <c r="AA25" s="1326">
        <f>D25/F25</f>
        <v>1</v>
      </c>
      <c r="AB25" s="1326">
        <f>D25/H25</f>
        <v>1</v>
      </c>
      <c r="AC25" s="1326">
        <f>D25/J25</f>
        <v>1</v>
      </c>
    </row>
    <row r="26" spans="1:29" s="407" customFormat="1" ht="15">
      <c r="A26" s="991"/>
      <c r="B26" s="974"/>
      <c r="C26" s="2772"/>
      <c r="D26" s="790"/>
      <c r="E26" s="1036"/>
      <c r="F26" s="790"/>
      <c r="G26" s="1036"/>
      <c r="H26" s="790"/>
      <c r="I26" s="1036"/>
      <c r="J26" s="790"/>
      <c r="K26" s="1080"/>
      <c r="L26" s="2347"/>
      <c r="M26" s="2348"/>
      <c r="N26" s="2348"/>
      <c r="O26" s="2349"/>
      <c r="P26" s="3643"/>
      <c r="Q26" s="2741"/>
      <c r="R26" s="1318"/>
      <c r="S26" s="1319"/>
      <c r="T26" s="1318"/>
      <c r="U26" s="1319"/>
      <c r="V26" s="1318"/>
      <c r="W26" s="1319"/>
      <c r="X26" s="1320"/>
      <c r="Y26" s="3643"/>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5"/>
      <c r="M27" s="2346"/>
      <c r="N27" s="2346"/>
      <c r="O27" s="2354"/>
      <c r="P27" s="3643"/>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43"/>
      <c r="Z27" s="1325" t="str">
        <f t="shared" ref="Z27:Z40" si="13">Q27</f>
        <v>临街状况</v>
      </c>
      <c r="AA27" s="1326">
        <f t="shared" si="3"/>
        <v>1</v>
      </c>
      <c r="AB27" s="1326">
        <f t="shared" si="4"/>
        <v>1</v>
      </c>
      <c r="AC27" s="1326">
        <f t="shared" si="5"/>
        <v>1</v>
      </c>
    </row>
    <row r="28" spans="1:29" ht="27">
      <c r="A28" s="770"/>
      <c r="B28" s="975" t="s">
        <v>442</v>
      </c>
      <c r="C28" s="2773">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5"/>
      <c r="M28" s="2346"/>
      <c r="N28" s="2346"/>
      <c r="O28" s="2354"/>
      <c r="P28" s="3643"/>
      <c r="Q28" s="1322" t="str">
        <f t="shared" si="8"/>
        <v>毗邻道路的类型与等级</v>
      </c>
      <c r="R28" s="1323" t="s">
        <v>65</v>
      </c>
      <c r="S28" s="1324">
        <f t="shared" si="10"/>
        <v>100</v>
      </c>
      <c r="T28" s="1323" t="s">
        <v>65</v>
      </c>
      <c r="U28" s="1324">
        <f t="shared" si="11"/>
        <v>100</v>
      </c>
      <c r="V28" s="1323" t="s">
        <v>65</v>
      </c>
      <c r="W28" s="1324">
        <f t="shared" si="12"/>
        <v>100</v>
      </c>
      <c r="X28" s="1317"/>
      <c r="Y28" s="3643"/>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5"/>
      <c r="M29" s="2346"/>
      <c r="N29" s="2346"/>
      <c r="O29" s="2354"/>
      <c r="P29" s="3643"/>
      <c r="Q29" s="1322"/>
      <c r="R29" s="1323"/>
      <c r="S29" s="1324"/>
      <c r="T29" s="1323"/>
      <c r="U29" s="1324"/>
      <c r="V29" s="1323"/>
      <c r="W29" s="1324"/>
      <c r="X29" s="1317"/>
      <c r="Y29" s="3643"/>
      <c r="Z29" s="1325"/>
      <c r="AA29" s="1326">
        <v>1</v>
      </c>
      <c r="AB29" s="1326">
        <v>1</v>
      </c>
      <c r="AC29" s="1326">
        <v>1</v>
      </c>
    </row>
    <row r="30" spans="1:29" ht="15">
      <c r="A30" s="770"/>
      <c r="B30" s="996" t="s">
        <v>485</v>
      </c>
      <c r="C30" s="2774">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5"/>
      <c r="M30" s="2346"/>
      <c r="N30" s="2346"/>
      <c r="O30" s="2354"/>
      <c r="P30" s="3643"/>
      <c r="Q30" s="1322" t="str">
        <f t="shared" si="8"/>
        <v>土地级别</v>
      </c>
      <c r="R30" s="1323" t="s">
        <v>65</v>
      </c>
      <c r="S30" s="1324">
        <f t="shared" si="10"/>
        <v>100</v>
      </c>
      <c r="T30" s="1323" t="s">
        <v>65</v>
      </c>
      <c r="U30" s="1324">
        <f t="shared" si="11"/>
        <v>100</v>
      </c>
      <c r="V30" s="1323" t="s">
        <v>65</v>
      </c>
      <c r="W30" s="1324">
        <f t="shared" si="12"/>
        <v>100</v>
      </c>
      <c r="X30" s="1317"/>
      <c r="Y30" s="3643"/>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5"/>
      <c r="M31" s="2346"/>
      <c r="N31" s="2346"/>
      <c r="O31" s="2354"/>
      <c r="P31" s="3643"/>
      <c r="Q31" s="1322">
        <f t="shared" si="8"/>
        <v>111</v>
      </c>
      <c r="R31" s="1323" t="s">
        <v>65</v>
      </c>
      <c r="S31" s="1324">
        <f t="shared" si="10"/>
        <v>100</v>
      </c>
      <c r="T31" s="1323" t="s">
        <v>65</v>
      </c>
      <c r="U31" s="1324">
        <f t="shared" si="11"/>
        <v>100</v>
      </c>
      <c r="V31" s="1323" t="s">
        <v>65</v>
      </c>
      <c r="W31" s="1324">
        <f t="shared" si="12"/>
        <v>100</v>
      </c>
      <c r="X31" s="1317"/>
      <c r="Y31" s="3643"/>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5"/>
      <c r="M32" s="2346"/>
      <c r="N32" s="2346"/>
      <c r="O32" s="2354"/>
      <c r="P32" s="3644" t="s">
        <v>409</v>
      </c>
      <c r="Q32" s="1322">
        <f t="shared" si="8"/>
        <v>111</v>
      </c>
      <c r="R32" s="1323" t="s">
        <v>65</v>
      </c>
      <c r="S32" s="1324">
        <f t="shared" si="10"/>
        <v>100</v>
      </c>
      <c r="T32" s="1323" t="s">
        <v>65</v>
      </c>
      <c r="U32" s="1324">
        <f t="shared" si="11"/>
        <v>100</v>
      </c>
      <c r="V32" s="1323" t="s">
        <v>65</v>
      </c>
      <c r="W32" s="1324">
        <f t="shared" si="12"/>
        <v>100</v>
      </c>
      <c r="X32" s="1317"/>
      <c r="Y32" s="3645" t="s">
        <v>409</v>
      </c>
      <c r="Z32" s="1325">
        <f t="shared" si="13"/>
        <v>111</v>
      </c>
      <c r="AA32" s="1326">
        <f t="shared" si="3"/>
        <v>1</v>
      </c>
      <c r="AB32" s="1326">
        <f t="shared" si="4"/>
        <v>1</v>
      </c>
      <c r="AC32" s="1326">
        <f t="shared" si="5"/>
        <v>1</v>
      </c>
    </row>
    <row r="33" spans="1:29" s="813" customFormat="1" ht="15.75" thickBot="1">
      <c r="A33" s="1084"/>
      <c r="B33" s="3301">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3"/>
      <c r="M33" s="2356"/>
      <c r="N33" s="2356"/>
      <c r="O33" s="2357"/>
      <c r="P33" s="3645"/>
      <c r="Q33" s="1322">
        <f t="shared" si="8"/>
        <v>111</v>
      </c>
      <c r="R33" s="1328" t="s">
        <v>65</v>
      </c>
      <c r="S33" s="1329">
        <f t="shared" si="10"/>
        <v>100</v>
      </c>
      <c r="T33" s="1328" t="s">
        <v>65</v>
      </c>
      <c r="U33" s="1329">
        <f t="shared" si="11"/>
        <v>100</v>
      </c>
      <c r="V33" s="1328" t="s">
        <v>65</v>
      </c>
      <c r="W33" s="1329">
        <f t="shared" si="12"/>
        <v>100</v>
      </c>
      <c r="X33" s="1330"/>
      <c r="Y33" s="3645"/>
      <c r="Z33" s="1331">
        <f t="shared" si="13"/>
        <v>111</v>
      </c>
      <c r="AA33" s="1326">
        <f t="shared" si="3"/>
        <v>1</v>
      </c>
      <c r="AB33" s="1326">
        <f t="shared" si="4"/>
        <v>1</v>
      </c>
      <c r="AC33" s="1326">
        <f t="shared" si="5"/>
        <v>1</v>
      </c>
    </row>
    <row r="34" spans="1:29" ht="15">
      <c r="A34" s="782" t="s">
        <v>2801</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5"/>
      <c r="M34" s="2346"/>
      <c r="N34" s="2346"/>
      <c r="O34" s="2354"/>
      <c r="P34" s="3645"/>
      <c r="Q34" s="1322" t="str">
        <f>B34</f>
        <v>宗地面积</v>
      </c>
      <c r="R34" s="1323" t="s">
        <v>65</v>
      </c>
      <c r="S34" s="1324" t="e">
        <f t="shared" si="10"/>
        <v>#N/A</v>
      </c>
      <c r="T34" s="1323" t="s">
        <v>65</v>
      </c>
      <c r="U34" s="1324" t="e">
        <f t="shared" si="11"/>
        <v>#N/A</v>
      </c>
      <c r="V34" s="1323" t="s">
        <v>65</v>
      </c>
      <c r="W34" s="1324" t="e">
        <f t="shared" si="12"/>
        <v>#N/A</v>
      </c>
      <c r="X34" s="1317"/>
      <c r="Y34" s="3645"/>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5"/>
      <c r="M35" s="2346"/>
      <c r="N35" s="2346"/>
      <c r="O35" s="2354"/>
      <c r="P35" s="3645"/>
      <c r="Q35" s="1322" t="str">
        <f t="shared" ref="Q35:Q40" si="14">B35</f>
        <v>宗地形状</v>
      </c>
      <c r="R35" s="1323" t="s">
        <v>65</v>
      </c>
      <c r="S35" s="1324">
        <f t="shared" si="10"/>
        <v>100</v>
      </c>
      <c r="T35" s="1323" t="s">
        <v>65</v>
      </c>
      <c r="U35" s="1324">
        <f t="shared" si="11"/>
        <v>100</v>
      </c>
      <c r="V35" s="1323" t="s">
        <v>65</v>
      </c>
      <c r="W35" s="1324">
        <f t="shared" si="12"/>
        <v>100</v>
      </c>
      <c r="X35" s="1317"/>
      <c r="Y35" s="3645"/>
      <c r="Z35" s="1325" t="str">
        <f t="shared" si="13"/>
        <v>宗地形状</v>
      </c>
      <c r="AA35" s="1326">
        <f t="shared" si="3"/>
        <v>1</v>
      </c>
      <c r="AB35" s="1326">
        <f t="shared" si="4"/>
        <v>1</v>
      </c>
      <c r="AC35" s="1326">
        <f t="shared" si="5"/>
        <v>1</v>
      </c>
    </row>
    <row r="36" spans="1:29" s="407" customFormat="1" ht="15">
      <c r="A36" s="815"/>
      <c r="B36" s="2607" t="s">
        <v>2508</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7"/>
      <c r="M36" s="2348"/>
      <c r="N36" s="2348"/>
      <c r="O36" s="2349"/>
      <c r="P36" s="3645"/>
      <c r="Q36" s="1322" t="str">
        <f t="shared" si="14"/>
        <v>宗地开发程度</v>
      </c>
      <c r="R36" s="1318" t="s">
        <v>65</v>
      </c>
      <c r="S36" s="1319">
        <f t="shared" si="10"/>
        <v>100</v>
      </c>
      <c r="T36" s="1318" t="s">
        <v>65</v>
      </c>
      <c r="U36" s="1319">
        <f t="shared" si="11"/>
        <v>100</v>
      </c>
      <c r="V36" s="1318" t="s">
        <v>65</v>
      </c>
      <c r="W36" s="1319">
        <f t="shared" si="12"/>
        <v>100</v>
      </c>
      <c r="X36" s="1320"/>
      <c r="Y36" s="3645"/>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5"/>
      <c r="M37" s="2346"/>
      <c r="N37" s="2346"/>
      <c r="O37" s="2354"/>
      <c r="P37" s="3645" t="s">
        <v>520</v>
      </c>
      <c r="Q37" s="1322" t="str">
        <f t="shared" si="14"/>
        <v>工程地质条件</v>
      </c>
      <c r="R37" s="1323" t="s">
        <v>65</v>
      </c>
      <c r="S37" s="1324">
        <f t="shared" si="10"/>
        <v>100</v>
      </c>
      <c r="T37" s="1323" t="s">
        <v>65</v>
      </c>
      <c r="U37" s="1324">
        <f t="shared" si="11"/>
        <v>100</v>
      </c>
      <c r="V37" s="1323" t="s">
        <v>65</v>
      </c>
      <c r="W37" s="1324">
        <f t="shared" si="12"/>
        <v>100</v>
      </c>
      <c r="X37" s="1317"/>
      <c r="Y37" s="3645"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5"/>
      <c r="M38" s="2346"/>
      <c r="N38" s="2346"/>
      <c r="O38" s="2354"/>
      <c r="P38" s="3645"/>
      <c r="Q38" s="1322">
        <f t="shared" si="14"/>
        <v>111</v>
      </c>
      <c r="R38" s="1323" t="s">
        <v>65</v>
      </c>
      <c r="S38" s="1324">
        <f t="shared" si="10"/>
        <v>100</v>
      </c>
      <c r="T38" s="1323" t="s">
        <v>65</v>
      </c>
      <c r="U38" s="1324">
        <f t="shared" si="11"/>
        <v>100</v>
      </c>
      <c r="V38" s="1323" t="s">
        <v>65</v>
      </c>
      <c r="W38" s="1324">
        <f t="shared" si="12"/>
        <v>100</v>
      </c>
      <c r="X38" s="1317"/>
      <c r="Y38" s="3645"/>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5"/>
      <c r="M39" s="2346"/>
      <c r="N39" s="2346"/>
      <c r="O39" s="2354"/>
      <c r="P39" s="3645"/>
      <c r="Q39" s="1322">
        <f t="shared" si="14"/>
        <v>111</v>
      </c>
      <c r="R39" s="1323" t="s">
        <v>65</v>
      </c>
      <c r="S39" s="1324">
        <f t="shared" si="10"/>
        <v>100</v>
      </c>
      <c r="T39" s="1323" t="s">
        <v>65</v>
      </c>
      <c r="U39" s="1324">
        <f t="shared" si="11"/>
        <v>100</v>
      </c>
      <c r="V39" s="1323" t="s">
        <v>65</v>
      </c>
      <c r="W39" s="1324">
        <f t="shared" si="12"/>
        <v>100</v>
      </c>
      <c r="X39" s="1317"/>
      <c r="Y39" s="3645"/>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3"/>
      <c r="M40" s="2356"/>
      <c r="N40" s="2356"/>
      <c r="O40" s="2357"/>
      <c r="P40" s="3645"/>
      <c r="Q40" s="1322">
        <f t="shared" si="14"/>
        <v>111</v>
      </c>
      <c r="R40" s="1328" t="s">
        <v>65</v>
      </c>
      <c r="S40" s="1329">
        <f t="shared" si="10"/>
        <v>100</v>
      </c>
      <c r="T40" s="1328" t="s">
        <v>65</v>
      </c>
      <c r="U40" s="1329">
        <f t="shared" si="11"/>
        <v>100</v>
      </c>
      <c r="V40" s="1328" t="s">
        <v>65</v>
      </c>
      <c r="W40" s="1329">
        <f t="shared" si="12"/>
        <v>100</v>
      </c>
      <c r="X40" s="1330"/>
      <c r="Y40" s="3645"/>
      <c r="Z40" s="1331">
        <f t="shared" si="13"/>
        <v>111</v>
      </c>
      <c r="AA40" s="1326">
        <f t="shared" si="3"/>
        <v>1</v>
      </c>
      <c r="AB40" s="1326">
        <f t="shared" si="4"/>
        <v>1</v>
      </c>
      <c r="AC40" s="1326">
        <f t="shared" si="5"/>
        <v>1</v>
      </c>
    </row>
    <row r="41" spans="1:29" ht="15">
      <c r="A41" s="821" t="s">
        <v>490</v>
      </c>
      <c r="B41" s="207" t="s">
        <v>3032</v>
      </c>
      <c r="C41" s="1090" t="s">
        <v>23</v>
      </c>
      <c r="D41" s="823"/>
      <c r="E41" s="824"/>
      <c r="F41" s="825"/>
      <c r="G41" s="826"/>
      <c r="H41" s="827"/>
      <c r="I41" s="824"/>
      <c r="J41" s="827"/>
      <c r="K41" s="1399"/>
      <c r="L41" s="2358"/>
      <c r="M41" s="2346"/>
      <c r="N41" s="2346"/>
      <c r="O41" s="2359"/>
      <c r="P41" s="3627" t="str">
        <f>A41</f>
        <v>成交单价</v>
      </c>
      <c r="Q41" s="3627"/>
      <c r="R41" s="3640">
        <f>E41</f>
        <v>0</v>
      </c>
      <c r="S41" s="3640"/>
      <c r="T41" s="3640">
        <f>G41</f>
        <v>0</v>
      </c>
      <c r="U41" s="3640"/>
      <c r="V41" s="3640">
        <f>I41</f>
        <v>0</v>
      </c>
      <c r="W41" s="3640"/>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8"/>
      <c r="M42" s="2346"/>
      <c r="N42" s="2346"/>
      <c r="O42" s="2359"/>
      <c r="P42" s="3627" t="str">
        <f>A42</f>
        <v>比较价值（元/平方米）</v>
      </c>
      <c r="Q42" s="3627"/>
      <c r="R42" s="3749" t="e">
        <f>ROUND(PRODUCT(R41,AA7:AA40),0)</f>
        <v>#DIV/0!</v>
      </c>
      <c r="S42" s="3749"/>
      <c r="T42" s="3749" t="e">
        <f>ROUND(PRODUCT(T41,AB7:AB40),0)</f>
        <v>#DIV/0!</v>
      </c>
      <c r="U42" s="3749"/>
      <c r="V42" s="3749" t="e">
        <f>ROUND(PRODUCT(V41,AC7:AC40),0)</f>
        <v>#DIV/0!</v>
      </c>
      <c r="W42" s="3749"/>
      <c r="X42" s="1306"/>
      <c r="Y42" s="1306"/>
      <c r="Z42" s="1306"/>
      <c r="AA42" s="1306"/>
      <c r="AB42" s="1306"/>
      <c r="AC42" s="1306"/>
    </row>
    <row r="43" spans="1:29" ht="15.75" thickBot="1">
      <c r="A43" s="115" t="s">
        <v>3025</v>
      </c>
      <c r="B43" s="835"/>
      <c r="C43" s="836" t="e">
        <f>R43</f>
        <v>#DIV/0!</v>
      </c>
      <c r="D43" s="836"/>
      <c r="E43" s="836"/>
      <c r="F43" s="836"/>
      <c r="G43" s="836"/>
      <c r="H43" s="836"/>
      <c r="I43" s="836"/>
      <c r="J43" s="836"/>
      <c r="K43" s="1401"/>
      <c r="L43" s="2358"/>
      <c r="M43" s="2346"/>
      <c r="N43" s="2346"/>
      <c r="O43" s="2359"/>
      <c r="P43" s="3647" t="str">
        <f>A43</f>
        <v>估价对象XX用房的比较价值（楼面单价，元/平方米）</v>
      </c>
      <c r="Q43" s="3648"/>
      <c r="R43" s="3750" t="e">
        <f>ROUND(AVERAGE(R42:V42),0)</f>
        <v>#DIV/0!</v>
      </c>
      <c r="S43" s="3750"/>
      <c r="T43" s="3750"/>
      <c r="U43" s="3750"/>
      <c r="V43" s="3750"/>
      <c r="W43" s="3750"/>
      <c r="X43" s="1306"/>
      <c r="Y43" s="1306"/>
      <c r="Z43" s="1306"/>
      <c r="AA43" s="1306"/>
      <c r="AB43" s="1306"/>
      <c r="AC43" s="1306"/>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5"/>
      <c r="L46" s="2186"/>
      <c r="M46" s="2346"/>
      <c r="N46" s="2346"/>
      <c r="O46" s="2359"/>
    </row>
    <row r="47" spans="1:29" ht="13.5" customHeight="1">
      <c r="A47" s="2359"/>
      <c r="B47" s="2359"/>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5"/>
      <c r="L47" s="2186"/>
      <c r="M47" s="2359"/>
      <c r="N47" s="2359"/>
      <c r="O47" s="2359"/>
    </row>
    <row r="48" spans="1:29" s="844" customFormat="1" ht="13.5" customHeight="1">
      <c r="A48" s="2360"/>
      <c r="B48" s="2360"/>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3"/>
      <c r="L48" s="2364"/>
      <c r="M48" s="2360"/>
      <c r="N48" s="2360"/>
      <c r="O48" s="2360"/>
    </row>
    <row r="49" spans="1:17" s="844" customFormat="1" ht="15" thickBot="1">
      <c r="A49" s="2360"/>
      <c r="B49" s="2361"/>
      <c r="C49" s="1309"/>
      <c r="D49" s="1307"/>
      <c r="E49" s="1307"/>
      <c r="F49" s="1307"/>
      <c r="G49" s="1307"/>
      <c r="H49" s="1307"/>
      <c r="I49" s="1307"/>
      <c r="J49" s="1307"/>
      <c r="K49" s="2363"/>
      <c r="L49" s="2364"/>
      <c r="M49" s="2360"/>
      <c r="N49" s="2360"/>
      <c r="O49" s="2360"/>
    </row>
    <row r="50" spans="1:17" ht="27">
      <c r="A50" s="1092" t="s">
        <v>491</v>
      </c>
      <c r="B50" s="1093" t="s">
        <v>492</v>
      </c>
      <c r="C50" s="1773" t="s">
        <v>1890</v>
      </c>
      <c r="D50" s="2390" t="s">
        <v>2331</v>
      </c>
      <c r="E50" s="1094" t="s">
        <v>493</v>
      </c>
      <c r="F50" s="1095" t="s">
        <v>494</v>
      </c>
      <c r="G50" s="3751" t="s">
        <v>2324</v>
      </c>
      <c r="H50" s="3752"/>
      <c r="I50" s="2180" t="s">
        <v>1889</v>
      </c>
      <c r="J50" s="1763" t="str">
        <f>项目基本情况!F35</f>
        <v>福建省福州市</v>
      </c>
      <c r="K50" s="2373" t="s">
        <v>1891</v>
      </c>
      <c r="L50" s="2186"/>
      <c r="M50" s="2359"/>
      <c r="N50" s="2359"/>
      <c r="O50" s="2359"/>
    </row>
    <row r="51" spans="1:17" s="1100" customFormat="1">
      <c r="A51" s="1096" t="s">
        <v>495</v>
      </c>
      <c r="B51" s="1097" t="e">
        <f>C43</f>
        <v>#DIV/0!</v>
      </c>
      <c r="C51" s="1098">
        <v>1</v>
      </c>
      <c r="D51" s="2391">
        <v>1</v>
      </c>
      <c r="E51" s="1098">
        <f>'数据-汇总表'!E8+'数据-汇总表'!E9</f>
        <v>0</v>
      </c>
      <c r="F51" s="1099" t="e">
        <f t="shared" ref="F51:F60" si="15">ROUND(B51*E51/10000,0)</f>
        <v>#DIV/0!</v>
      </c>
      <c r="G51" s="3753"/>
      <c r="H51" s="3754"/>
      <c r="I51" s="1771">
        <v>1</v>
      </c>
      <c r="J51" s="1771">
        <v>1</v>
      </c>
      <c r="K51" s="2360"/>
      <c r="L51" s="1770"/>
      <c r="M51" s="1770"/>
      <c r="N51" s="1770"/>
      <c r="O51" s="1770"/>
    </row>
    <row r="52" spans="1:17" s="1100" customFormat="1">
      <c r="A52" s="1101" t="s">
        <v>496</v>
      </c>
      <c r="B52" s="594" t="e">
        <f>ROUND($C$43*C52*D52,0)</f>
        <v>#DIV/0!</v>
      </c>
      <c r="C52" s="532">
        <f t="shared" ref="C52:C60" si="16">IF($C$50="北京市系数",I52,J52)</f>
        <v>0</v>
      </c>
      <c r="D52" s="2392">
        <v>0.25</v>
      </c>
      <c r="E52" s="1102"/>
      <c r="F52" s="1099" t="e">
        <f t="shared" si="15"/>
        <v>#DIV/0!</v>
      </c>
      <c r="G52" s="3755" t="s">
        <v>2325</v>
      </c>
      <c r="H52" s="2184">
        <f>项目基本情况!B37</f>
        <v>0</v>
      </c>
      <c r="I52" s="1771">
        <f>SUMIF(修正!A45:A56,H52,修正!B45:B56)</f>
        <v>0</v>
      </c>
      <c r="J52" s="1772"/>
      <c r="K52" s="2359"/>
      <c r="L52" s="1770"/>
      <c r="M52" s="1770"/>
      <c r="N52" s="1770"/>
      <c r="O52" s="1770"/>
    </row>
    <row r="53" spans="1:17" s="1100" customFormat="1">
      <c r="A53" s="1101" t="s">
        <v>497</v>
      </c>
      <c r="B53" s="594" t="e">
        <f t="shared" ref="B53:B60" si="17">ROUND($C$43*C53*D53,0)</f>
        <v>#DIV/0!</v>
      </c>
      <c r="C53" s="532">
        <f t="shared" si="16"/>
        <v>0</v>
      </c>
      <c r="D53" s="2392">
        <v>0.25</v>
      </c>
      <c r="E53" s="1102"/>
      <c r="F53" s="1099" t="e">
        <f t="shared" si="15"/>
        <v>#DIV/0!</v>
      </c>
      <c r="G53" s="3755"/>
      <c r="H53" s="2184">
        <f>项目基本情况!B37</f>
        <v>0</v>
      </c>
      <c r="I53" s="1771">
        <f>SUMIF(修正!A45:A56,H53,修正!C45:C56)</f>
        <v>0</v>
      </c>
      <c r="J53" s="1772"/>
      <c r="K53" s="2360"/>
      <c r="L53" s="1770"/>
      <c r="M53" s="1770"/>
      <c r="N53" s="1770"/>
      <c r="O53" s="1770"/>
    </row>
    <row r="54" spans="1:17" s="1100" customFormat="1">
      <c r="A54" s="1101" t="s">
        <v>498</v>
      </c>
      <c r="B54" s="594" t="e">
        <f t="shared" si="17"/>
        <v>#DIV/0!</v>
      </c>
      <c r="C54" s="532">
        <f t="shared" si="16"/>
        <v>0</v>
      </c>
      <c r="D54" s="2392">
        <v>0.25</v>
      </c>
      <c r="E54" s="1102"/>
      <c r="F54" s="1099" t="e">
        <f t="shared" si="15"/>
        <v>#DIV/0!</v>
      </c>
      <c r="G54" s="3755"/>
      <c r="H54" s="2184">
        <f>项目基本情况!B37</f>
        <v>0</v>
      </c>
      <c r="I54" s="1771">
        <f>SUMIF(修正!A45:A56,H54,修正!D45:D56)</f>
        <v>0</v>
      </c>
      <c r="J54" s="1772"/>
      <c r="K54" s="2359"/>
      <c r="L54" s="1770"/>
      <c r="M54" s="1770"/>
      <c r="N54" s="1770"/>
      <c r="O54" s="1770"/>
    </row>
    <row r="55" spans="1:17" s="1100" customFormat="1">
      <c r="A55" s="1101" t="s">
        <v>499</v>
      </c>
      <c r="B55" s="594" t="e">
        <f t="shared" si="17"/>
        <v>#DIV/0!</v>
      </c>
      <c r="C55" s="532">
        <f t="shared" si="16"/>
        <v>0</v>
      </c>
      <c r="D55" s="2392">
        <v>0.25</v>
      </c>
      <c r="E55" s="1102"/>
      <c r="F55" s="1099" t="e">
        <f t="shared" si="15"/>
        <v>#DIV/0!</v>
      </c>
      <c r="G55" s="3755"/>
      <c r="H55" s="2184">
        <f>项目基本情况!B37</f>
        <v>0</v>
      </c>
      <c r="I55" s="1771">
        <f>SUMIF(修正!A45:A56,H55,修正!E45:E56)</f>
        <v>0</v>
      </c>
      <c r="J55" s="1772"/>
      <c r="K55" s="2360"/>
      <c r="L55" s="1770"/>
      <c r="M55" s="1770"/>
      <c r="N55" s="1770"/>
      <c r="O55" s="1770"/>
    </row>
    <row r="56" spans="1:17" s="1100" customFormat="1">
      <c r="A56" s="2512" t="s">
        <v>2407</v>
      </c>
      <c r="B56" s="594" t="e">
        <f t="shared" si="17"/>
        <v>#DIV/0!</v>
      </c>
      <c r="C56" s="532">
        <f t="shared" si="16"/>
        <v>0</v>
      </c>
      <c r="D56" s="2392">
        <v>0.25</v>
      </c>
      <c r="E56" s="593">
        <f>'数据-汇总表'!E11</f>
        <v>0</v>
      </c>
      <c r="F56" s="1099" t="e">
        <f t="shared" si="15"/>
        <v>#DIV/0!</v>
      </c>
      <c r="G56" s="2196" t="s">
        <v>2326</v>
      </c>
      <c r="H56" s="2184">
        <f>项目基本情况!C37</f>
        <v>0</v>
      </c>
      <c r="I56" s="1771">
        <f>SUMIF(修正!A45:A56,H56,修正!F45:F56)</f>
        <v>0</v>
      </c>
      <c r="J56" s="1772"/>
      <c r="K56" s="2359"/>
      <c r="L56" s="1770"/>
      <c r="M56" s="1770"/>
      <c r="N56" s="1770"/>
      <c r="O56" s="1770"/>
    </row>
    <row r="57" spans="1:17" s="1100" customFormat="1">
      <c r="A57" s="1101" t="s">
        <v>500</v>
      </c>
      <c r="B57" s="594" t="e">
        <f t="shared" si="17"/>
        <v>#DIV/0!</v>
      </c>
      <c r="C57" s="532">
        <f t="shared" si="16"/>
        <v>0</v>
      </c>
      <c r="D57" s="2392">
        <v>0.25</v>
      </c>
      <c r="E57" s="593">
        <f>'数据-汇总表'!E12</f>
        <v>0</v>
      </c>
      <c r="F57" s="1099" t="e">
        <f t="shared" si="15"/>
        <v>#DIV/0!</v>
      </c>
      <c r="G57" s="2190" t="s">
        <v>141</v>
      </c>
      <c r="H57" s="2184">
        <f>IF(G57="商业",项目基本情况!B37,IF(G57="办公",项目基本情况!C37,IF(G57="住宅",项目基本情况!D37,项目基本情况!E37)))</f>
        <v>0</v>
      </c>
      <c r="I57" s="1771">
        <f>SUMIF(修正!A45:A56,H57,修正!G45:G56)</f>
        <v>0</v>
      </c>
      <c r="J57" s="1772"/>
      <c r="K57" s="2360"/>
      <c r="L57" s="1770"/>
      <c r="M57" s="1770"/>
      <c r="N57" s="1770"/>
      <c r="O57" s="1770"/>
    </row>
    <row r="58" spans="1:17" s="1100" customFormat="1">
      <c r="A58" s="1101" t="s">
        <v>501</v>
      </c>
      <c r="B58" s="594" t="e">
        <f t="shared" si="17"/>
        <v>#DIV/0!</v>
      </c>
      <c r="C58" s="532">
        <f t="shared" si="16"/>
        <v>0</v>
      </c>
      <c r="D58" s="2392">
        <v>0.25</v>
      </c>
      <c r="E58" s="593">
        <f>'数据-汇总表'!E13</f>
        <v>31303.89</v>
      </c>
      <c r="F58" s="1099"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100" customFormat="1">
      <c r="A59" s="1101" t="s">
        <v>502</v>
      </c>
      <c r="B59" s="594" t="e">
        <f t="shared" si="17"/>
        <v>#DIV/0!</v>
      </c>
      <c r="C59" s="532">
        <f t="shared" si="16"/>
        <v>0</v>
      </c>
      <c r="D59" s="2392">
        <v>0.25</v>
      </c>
      <c r="E59" s="593">
        <f>'数据-汇总表'!E14</f>
        <v>0</v>
      </c>
      <c r="F59" s="1099" t="e">
        <f t="shared" si="15"/>
        <v>#DIV/0!</v>
      </c>
      <c r="G59" s="2196" t="s">
        <v>2327</v>
      </c>
      <c r="H59" s="2184">
        <f>项目基本情况!B37</f>
        <v>0</v>
      </c>
      <c r="I59" s="1771">
        <f>SUMIF(修正!A45:A56,H59,修正!H45:H56)</f>
        <v>0</v>
      </c>
      <c r="J59" s="1772"/>
      <c r="K59" s="2360"/>
      <c r="L59" s="1770"/>
      <c r="M59" s="1770"/>
      <c r="N59" s="1770"/>
      <c r="O59" s="1770"/>
    </row>
    <row r="60" spans="1:17" s="1100" customFormat="1" ht="15" thickBot="1">
      <c r="A60" s="1101" t="s">
        <v>503</v>
      </c>
      <c r="B60" s="594" t="e">
        <f t="shared" si="17"/>
        <v>#DIV/0!</v>
      </c>
      <c r="C60" s="532">
        <f t="shared" si="16"/>
        <v>0</v>
      </c>
      <c r="D60" s="2392">
        <v>0.25</v>
      </c>
      <c r="E60" s="593">
        <f>'数据-汇总表'!E15</f>
        <v>0</v>
      </c>
      <c r="F60" s="1099" t="e">
        <f t="shared" si="15"/>
        <v>#DIV/0!</v>
      </c>
      <c r="G60" s="2197" t="s">
        <v>2326</v>
      </c>
      <c r="H60" s="2198">
        <f>项目基本情况!C37</f>
        <v>0</v>
      </c>
      <c r="I60" s="1771">
        <f>SUMIF(修正!A45:A56,H60,修正!H45:H56)</f>
        <v>0</v>
      </c>
      <c r="J60" s="1772"/>
      <c r="K60" s="2359"/>
      <c r="L60" s="1770"/>
      <c r="M60" s="1770"/>
      <c r="N60" s="1770"/>
      <c r="O60" s="1770"/>
    </row>
    <row r="61" spans="1:17" s="1100" customFormat="1" ht="15" thickBot="1">
      <c r="A61" s="1103" t="s">
        <v>504</v>
      </c>
      <c r="B61" s="1104" t="s">
        <v>156</v>
      </c>
      <c r="C61" s="1104" t="s">
        <v>157</v>
      </c>
      <c r="D61" s="1104" t="s">
        <v>2332</v>
      </c>
      <c r="E61" s="1104">
        <f>IF(B41="楼面地价",SUM(E51:E60),'数据-汇总表'!D3)</f>
        <v>0</v>
      </c>
      <c r="F61" s="1105"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415</v>
      </c>
      <c r="B64" s="1306"/>
      <c r="C64" s="1311"/>
      <c r="D64" s="1311"/>
      <c r="E64" s="1311"/>
      <c r="F64" s="1312"/>
      <c r="G64" s="1312"/>
      <c r="H64" s="1311"/>
      <c r="I64" s="1311"/>
      <c r="J64" s="1311"/>
      <c r="K64" s="1313"/>
      <c r="L64" s="1314"/>
      <c r="M64" s="1311"/>
      <c r="N64" s="1311"/>
      <c r="O64" s="2375"/>
      <c r="P64" s="845"/>
      <c r="Q64" s="846"/>
    </row>
    <row r="65" spans="1:17" s="850" customFormat="1" ht="15">
      <c r="A65" s="2703" t="s">
        <v>2798</v>
      </c>
      <c r="B65" s="2704"/>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9"/>
    </row>
    <row r="66" spans="1:17" s="407" customFormat="1" ht="30.75" customHeight="1">
      <c r="A66" s="3034" t="s">
        <v>2797</v>
      </c>
      <c r="B66" s="664" t="str">
        <f>"北京市平均增长率"&amp;TEXT(基准地价修正!P24,"0.00%")</f>
        <v>北京市平均增长率1.34%</v>
      </c>
      <c r="C66" s="945">
        <v>100</v>
      </c>
      <c r="D66" s="937"/>
      <c r="E66" s="937"/>
      <c r="F66" s="937"/>
      <c r="G66" s="937"/>
      <c r="H66" s="937"/>
      <c r="I66" s="937"/>
      <c r="J66" s="937"/>
      <c r="K66" s="937"/>
      <c r="L66" s="937"/>
      <c r="M66" s="3032"/>
      <c r="N66" s="3032"/>
      <c r="O66" s="3035"/>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6"/>
      <c r="O68" s="2366"/>
      <c r="P68" s="868"/>
      <c r="Q68" s="846"/>
    </row>
    <row r="69" spans="1:17" s="407" customFormat="1" ht="15.75" thickBot="1">
      <c r="A69" s="863"/>
      <c r="B69" s="852"/>
      <c r="C69" s="981">
        <v>100</v>
      </c>
      <c r="D69" s="854"/>
      <c r="E69" s="854"/>
      <c r="F69" s="854"/>
      <c r="G69" s="854"/>
      <c r="H69" s="854"/>
      <c r="I69" s="854"/>
      <c r="J69" s="854"/>
      <c r="K69" s="854"/>
      <c r="L69" s="854"/>
      <c r="M69" s="856"/>
      <c r="N69" s="2366"/>
      <c r="O69" s="2366"/>
      <c r="P69" s="846"/>
      <c r="Q69" s="846"/>
    </row>
    <row r="70" spans="1:17">
      <c r="A70" s="869" t="s">
        <v>418</v>
      </c>
      <c r="B70" s="870" t="s">
        <v>419</v>
      </c>
      <c r="C70" s="122"/>
      <c r="D70" s="122"/>
      <c r="E70" s="122"/>
      <c r="F70" s="122"/>
      <c r="G70" s="122"/>
      <c r="H70" s="122"/>
      <c r="I70" s="122"/>
      <c r="J70" s="122"/>
      <c r="K70" s="123"/>
      <c r="L70" s="124"/>
      <c r="M70" s="125"/>
      <c r="N70" s="2367"/>
      <c r="O70" s="2367"/>
      <c r="P70" s="334"/>
      <c r="Q70" s="846"/>
    </row>
    <row r="71" spans="1:17" ht="15.75" thickBot="1">
      <c r="A71" s="876"/>
      <c r="B71" s="877"/>
      <c r="C71" s="878"/>
      <c r="D71" s="878"/>
      <c r="E71" s="878"/>
      <c r="F71" s="878"/>
      <c r="G71" s="878"/>
      <c r="H71" s="878"/>
      <c r="I71" s="878"/>
      <c r="J71" s="878"/>
      <c r="K71" s="878"/>
      <c r="L71" s="878"/>
      <c r="M71" s="879"/>
      <c r="N71" s="2368"/>
      <c r="O71" s="2368"/>
      <c r="P71" s="334"/>
      <c r="Q71" s="846"/>
    </row>
    <row r="72" spans="1:17" ht="27.75" thickTop="1">
      <c r="A72" s="876"/>
      <c r="B72" s="880" t="s">
        <v>404</v>
      </c>
      <c r="C72" s="881"/>
      <c r="D72" s="881"/>
      <c r="E72" s="881"/>
      <c r="F72" s="881"/>
      <c r="G72" s="881"/>
      <c r="H72" s="881"/>
      <c r="I72" s="881"/>
      <c r="J72" s="881"/>
      <c r="K72" s="882"/>
      <c r="L72" s="883"/>
      <c r="M72" s="884"/>
      <c r="N72" s="2367"/>
      <c r="O72" s="2367"/>
      <c r="P72" s="334"/>
      <c r="Q72" s="846"/>
    </row>
    <row r="73" spans="1:17" ht="15.75" thickBot="1">
      <c r="A73" s="876"/>
      <c r="B73" s="885"/>
      <c r="C73" s="886"/>
      <c r="D73" s="886"/>
      <c r="E73" s="886"/>
      <c r="F73" s="886"/>
      <c r="G73" s="886"/>
      <c r="H73" s="886"/>
      <c r="I73" s="886"/>
      <c r="J73" s="886"/>
      <c r="K73" s="886"/>
      <c r="L73" s="886"/>
      <c r="M73" s="887"/>
      <c r="N73" s="2368"/>
      <c r="O73" s="2368"/>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8"/>
      <c r="O74" s="2368"/>
      <c r="P74" s="334"/>
      <c r="Q74" s="846"/>
    </row>
    <row r="75" spans="1:17" ht="15">
      <c r="A75" s="876"/>
      <c r="B75" s="1056"/>
      <c r="C75" s="891"/>
      <c r="D75" s="891"/>
      <c r="E75" s="891"/>
      <c r="F75" s="891"/>
      <c r="G75" s="891"/>
      <c r="H75" s="891"/>
      <c r="I75" s="891"/>
      <c r="J75" s="891"/>
      <c r="K75" s="892"/>
      <c r="L75" s="893"/>
      <c r="M75" s="894"/>
      <c r="N75" s="2367"/>
      <c r="O75" s="2367"/>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8"/>
      <c r="O76" s="2368"/>
      <c r="P76" s="334"/>
      <c r="Q76" s="846"/>
    </row>
    <row r="77" spans="1:17" s="813" customFormat="1" ht="15.75" thickTop="1">
      <c r="A77" s="895"/>
      <c r="B77" s="1053">
        <f>B12</f>
        <v>111</v>
      </c>
      <c r="C77" s="139"/>
      <c r="D77" s="139"/>
      <c r="E77" s="139"/>
      <c r="F77" s="139"/>
      <c r="G77" s="139"/>
      <c r="H77" s="1058"/>
      <c r="I77" s="1058"/>
      <c r="J77" s="1058"/>
      <c r="K77" s="1058"/>
      <c r="L77" s="1059"/>
      <c r="M77" s="1060"/>
      <c r="N77" s="2369"/>
      <c r="O77" s="2369"/>
      <c r="P77" s="900"/>
      <c r="Q77" s="901"/>
    </row>
    <row r="78" spans="1:17" s="813" customFormat="1" ht="15.75" thickBot="1">
      <c r="A78" s="895"/>
      <c r="B78" s="1054"/>
      <c r="C78" s="902"/>
      <c r="D78" s="878"/>
      <c r="E78" s="878"/>
      <c r="F78" s="878"/>
      <c r="G78" s="878"/>
      <c r="H78" s="878"/>
      <c r="I78" s="878"/>
      <c r="J78" s="878"/>
      <c r="K78" s="878"/>
      <c r="L78" s="878"/>
      <c r="M78" s="879"/>
      <c r="N78" s="2368"/>
      <c r="O78" s="2368"/>
      <c r="P78" s="900"/>
      <c r="Q78" s="901"/>
    </row>
    <row r="79" spans="1:17" s="813" customFormat="1" ht="15.75" thickTop="1">
      <c r="A79" s="895"/>
      <c r="B79" s="1053">
        <f>B13</f>
        <v>111</v>
      </c>
      <c r="C79" s="139"/>
      <c r="D79" s="139"/>
      <c r="E79" s="139"/>
      <c r="F79" s="139"/>
      <c r="G79" s="139"/>
      <c r="H79" s="1058"/>
      <c r="I79" s="1058"/>
      <c r="J79" s="1058"/>
      <c r="K79" s="1058"/>
      <c r="L79" s="1059"/>
      <c r="M79" s="1060"/>
      <c r="N79" s="2369"/>
      <c r="O79" s="2369"/>
      <c r="P79" s="812"/>
      <c r="Q79" s="903"/>
    </row>
    <row r="80" spans="1:17" s="813" customFormat="1" ht="15.75" thickBot="1">
      <c r="A80" s="895"/>
      <c r="B80" s="1054"/>
      <c r="C80" s="902"/>
      <c r="D80" s="902"/>
      <c r="E80" s="902"/>
      <c r="F80" s="902"/>
      <c r="G80" s="902"/>
      <c r="H80" s="904"/>
      <c r="I80" s="904"/>
      <c r="J80" s="904"/>
      <c r="K80" s="904"/>
      <c r="L80" s="904"/>
      <c r="M80" s="905"/>
      <c r="N80" s="2369"/>
      <c r="O80" s="2369"/>
      <c r="P80" s="900"/>
      <c r="Q80" s="901"/>
    </row>
    <row r="81" spans="1:17" s="813" customFormat="1" ht="15.75" thickTop="1">
      <c r="A81" s="895"/>
      <c r="B81" s="1055">
        <f>B14</f>
        <v>111</v>
      </c>
      <c r="C81" s="140"/>
      <c r="D81" s="140"/>
      <c r="E81" s="140"/>
      <c r="F81" s="140"/>
      <c r="G81" s="140"/>
      <c r="H81" s="1065"/>
      <c r="I81" s="1065"/>
      <c r="J81" s="1065"/>
      <c r="K81" s="1065"/>
      <c r="L81" s="1066"/>
      <c r="M81" s="1067"/>
      <c r="N81" s="2369"/>
      <c r="O81" s="2369"/>
      <c r="P81" s="909"/>
      <c r="Q81" s="901"/>
    </row>
    <row r="82" spans="1:17" s="813" customFormat="1" ht="15.75" thickBot="1">
      <c r="A82" s="910"/>
      <c r="B82" s="1070"/>
      <c r="C82" s="912"/>
      <c r="D82" s="912"/>
      <c r="E82" s="912"/>
      <c r="F82" s="912"/>
      <c r="G82" s="912"/>
      <c r="H82" s="913"/>
      <c r="I82" s="913"/>
      <c r="J82" s="913"/>
      <c r="K82" s="913"/>
      <c r="L82" s="913"/>
      <c r="M82" s="914"/>
      <c r="N82" s="2369"/>
      <c r="O82" s="2369"/>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7"/>
      <c r="O83" s="2367"/>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8"/>
      <c r="O84" s="2368"/>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7"/>
      <c r="O85" s="2367"/>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8"/>
      <c r="O86" s="2368"/>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6"/>
      <c r="O87" s="2366"/>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8"/>
      <c r="O88" s="2368"/>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6"/>
      <c r="O89" s="2366"/>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8"/>
      <c r="O90" s="2368"/>
      <c r="P90" s="334"/>
      <c r="Q90" s="846"/>
    </row>
    <row r="91" spans="1:17" s="813" customFormat="1" ht="15.75" thickTop="1">
      <c r="A91" s="895"/>
      <c r="B91" s="1053" t="s">
        <v>2675</v>
      </c>
      <c r="C91" s="915" t="s">
        <v>425</v>
      </c>
      <c r="D91" s="915" t="s">
        <v>426</v>
      </c>
      <c r="E91" s="915" t="s">
        <v>427</v>
      </c>
      <c r="F91" s="915" t="s">
        <v>428</v>
      </c>
      <c r="G91" s="915" t="s">
        <v>429</v>
      </c>
      <c r="H91" s="942"/>
      <c r="I91" s="942"/>
      <c r="J91" s="942"/>
      <c r="K91" s="942"/>
      <c r="L91" s="943"/>
      <c r="M91" s="944"/>
      <c r="N91" s="2369"/>
      <c r="O91" s="2369"/>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9"/>
      <c r="O92" s="2369"/>
      <c r="P92" s="900"/>
      <c r="Q92" s="901"/>
    </row>
    <row r="93" spans="1:17" s="813" customFormat="1" ht="15.75" thickTop="1">
      <c r="A93" s="895"/>
      <c r="B93" s="1055" t="s">
        <v>2677</v>
      </c>
      <c r="C93" s="213" t="s">
        <v>2663</v>
      </c>
      <c r="D93" s="213" t="s">
        <v>2664</v>
      </c>
      <c r="E93" s="213" t="s">
        <v>2665</v>
      </c>
      <c r="F93" s="213" t="s">
        <v>2666</v>
      </c>
      <c r="G93" s="213" t="s">
        <v>2667</v>
      </c>
      <c r="H93" s="942"/>
      <c r="I93" s="942"/>
      <c r="J93" s="942"/>
      <c r="K93" s="942"/>
      <c r="L93" s="942"/>
      <c r="M93" s="944"/>
      <c r="N93" s="2369"/>
      <c r="O93" s="2369"/>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7"/>
      <c r="N94" s="2369"/>
      <c r="O94" s="2369"/>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7"/>
      <c r="O95" s="2367"/>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8"/>
      <c r="O96" s="2368"/>
      <c r="P96" s="334"/>
      <c r="Q96" s="846"/>
    </row>
    <row r="97" spans="1:17" ht="27.75" thickTop="1">
      <c r="A97" s="876"/>
      <c r="B97" s="1053" t="s">
        <v>144</v>
      </c>
      <c r="C97" s="139"/>
      <c r="D97" s="139"/>
      <c r="E97" s="139"/>
      <c r="F97" s="139"/>
      <c r="G97" s="139"/>
      <c r="H97" s="131"/>
      <c r="I97" s="131"/>
      <c r="J97" s="131"/>
      <c r="K97" s="132"/>
      <c r="L97" s="133"/>
      <c r="M97" s="134"/>
      <c r="N97" s="2367"/>
      <c r="O97" s="2367"/>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8"/>
      <c r="O98" s="2368"/>
      <c r="P98" s="334"/>
      <c r="Q98" s="846"/>
    </row>
    <row r="99" spans="1:17" ht="15.75" thickTop="1">
      <c r="A99" s="876"/>
      <c r="B99" s="1053" t="s">
        <v>153</v>
      </c>
      <c r="C99" s="925"/>
      <c r="D99" s="925"/>
      <c r="E99" s="925"/>
      <c r="F99" s="925"/>
      <c r="G99" s="925"/>
      <c r="H99" s="925"/>
      <c r="I99" s="925"/>
      <c r="J99" s="925"/>
      <c r="K99" s="926"/>
      <c r="L99" s="927"/>
      <c r="M99" s="928"/>
      <c r="N99" s="2367"/>
      <c r="O99" s="2367"/>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8"/>
      <c r="O100" s="2368"/>
      <c r="P100" s="334"/>
      <c r="Q100" s="846"/>
    </row>
    <row r="101" spans="1:17" ht="15.75" thickTop="1">
      <c r="A101" s="876"/>
      <c r="B101" s="1055">
        <f>B31</f>
        <v>111</v>
      </c>
      <c r="C101" s="139"/>
      <c r="D101" s="139"/>
      <c r="E101" s="139"/>
      <c r="F101" s="139"/>
      <c r="G101" s="135"/>
      <c r="H101" s="135"/>
      <c r="I101" s="135"/>
      <c r="J101" s="135"/>
      <c r="K101" s="136"/>
      <c r="L101" s="137"/>
      <c r="M101" s="138"/>
      <c r="N101" s="2367"/>
      <c r="O101" s="2367"/>
      <c r="P101" s="334"/>
      <c r="Q101" s="846"/>
    </row>
    <row r="102" spans="1:17" ht="15.75" thickBot="1">
      <c r="A102" s="876"/>
      <c r="B102" s="1070"/>
      <c r="C102" s="902"/>
      <c r="D102" s="878"/>
      <c r="E102" s="878"/>
      <c r="F102" s="878"/>
      <c r="G102" s="933"/>
      <c r="H102" s="933"/>
      <c r="I102" s="933"/>
      <c r="J102" s="933"/>
      <c r="K102" s="933"/>
      <c r="L102" s="933"/>
      <c r="M102" s="934"/>
      <c r="N102" s="2368"/>
      <c r="O102" s="2368"/>
      <c r="P102" s="334"/>
      <c r="Q102" s="846"/>
    </row>
    <row r="103" spans="1:17" ht="15" thickTop="1">
      <c r="A103" s="1083"/>
      <c r="B103" s="1053">
        <f>B32</f>
        <v>111</v>
      </c>
      <c r="C103" s="139"/>
      <c r="D103" s="139"/>
      <c r="E103" s="139"/>
      <c r="F103" s="139"/>
      <c r="G103" s="131"/>
      <c r="H103" s="131"/>
      <c r="I103" s="131"/>
      <c r="J103" s="131"/>
      <c r="K103" s="132"/>
      <c r="L103" s="133"/>
      <c r="M103" s="134"/>
      <c r="N103" s="2367"/>
      <c r="O103" s="2367"/>
      <c r="P103" s="334"/>
      <c r="Q103" s="846"/>
    </row>
    <row r="104" spans="1:17" ht="15.75" thickBot="1">
      <c r="A104" s="876"/>
      <c r="B104" s="1054"/>
      <c r="C104" s="902"/>
      <c r="D104" s="902"/>
      <c r="E104" s="902"/>
      <c r="F104" s="902"/>
      <c r="G104" s="878"/>
      <c r="H104" s="878"/>
      <c r="I104" s="878"/>
      <c r="J104" s="878"/>
      <c r="K104" s="878"/>
      <c r="L104" s="878"/>
      <c r="M104" s="879"/>
      <c r="N104" s="2368"/>
      <c r="O104" s="2368"/>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9"/>
      <c r="O105" s="2369"/>
      <c r="P105" s="900"/>
      <c r="Q105" s="901"/>
    </row>
    <row r="106" spans="1:17" s="813" customFormat="1" ht="15.75" thickBot="1">
      <c r="A106" s="895"/>
      <c r="B106" s="1055"/>
      <c r="C106" s="912"/>
      <c r="D106" s="912"/>
      <c r="E106" s="912"/>
      <c r="F106" s="912"/>
      <c r="G106" s="1085"/>
      <c r="H106" s="1085"/>
      <c r="I106" s="1085"/>
      <c r="J106" s="1085"/>
      <c r="K106" s="1085"/>
      <c r="L106" s="1085"/>
      <c r="M106" s="1107"/>
      <c r="N106" s="2368"/>
      <c r="O106" s="2368"/>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2" t="str">
        <f t="shared" si="25"/>
        <v>(含)-</v>
      </c>
      <c r="L107" s="3302" t="str">
        <f t="shared" si="25"/>
        <v>(含)-</v>
      </c>
      <c r="M107" s="3303" t="str">
        <f>M108&amp;"(含)"&amp;"-"&amp;P108</f>
        <v>(含)-</v>
      </c>
      <c r="N107" s="2367"/>
      <c r="O107" s="2367"/>
      <c r="P107" s="334"/>
      <c r="Q107" s="846"/>
    </row>
    <row r="108" spans="1:17" ht="15">
      <c r="A108" s="876"/>
      <c r="B108" s="1055"/>
      <c r="C108" s="937"/>
      <c r="D108" s="937"/>
      <c r="E108" s="937"/>
      <c r="F108" s="937"/>
      <c r="G108" s="937"/>
      <c r="H108" s="937"/>
      <c r="I108" s="937"/>
      <c r="J108" s="938"/>
      <c r="K108" s="938"/>
      <c r="L108" s="939"/>
      <c r="M108" s="940"/>
      <c r="N108" s="2367"/>
      <c r="O108" s="2367"/>
      <c r="P108" s="334"/>
      <c r="Q108" s="846"/>
    </row>
    <row r="109" spans="1:17" ht="15.75" thickBot="1">
      <c r="A109" s="876"/>
      <c r="B109" s="1054"/>
      <c r="C109" s="912"/>
      <c r="D109" s="933"/>
      <c r="E109" s="933"/>
      <c r="F109" s="933"/>
      <c r="G109" s="933"/>
      <c r="H109" s="933"/>
      <c r="I109" s="933"/>
      <c r="J109" s="933"/>
      <c r="K109" s="933"/>
      <c r="L109" s="933"/>
      <c r="M109" s="934"/>
      <c r="N109" s="2368"/>
      <c r="O109" s="2368"/>
      <c r="P109" s="334"/>
      <c r="Q109" s="846"/>
    </row>
    <row r="110" spans="1:17" ht="15" thickTop="1">
      <c r="A110" s="941"/>
      <c r="B110" s="1053" t="s">
        <v>86</v>
      </c>
      <c r="C110" s="131"/>
      <c r="D110" s="131"/>
      <c r="E110" s="131"/>
      <c r="F110" s="131"/>
      <c r="G110" s="131"/>
      <c r="H110" s="131"/>
      <c r="I110" s="131"/>
      <c r="J110" s="131"/>
      <c r="K110" s="132"/>
      <c r="L110" s="133"/>
      <c r="M110" s="134"/>
      <c r="N110" s="2367"/>
      <c r="O110" s="2367"/>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8"/>
      <c r="O111" s="2368"/>
      <c r="P111" s="334"/>
      <c r="Q111" s="846"/>
    </row>
    <row r="112" spans="1:17" s="813" customFormat="1" ht="15" thickTop="1">
      <c r="A112" s="935"/>
      <c r="B112" s="1053" t="s">
        <v>2509</v>
      </c>
      <c r="C112" s="139"/>
      <c r="D112" s="139"/>
      <c r="E112" s="139"/>
      <c r="F112" s="139"/>
      <c r="G112" s="139"/>
      <c r="H112" s="131"/>
      <c r="I112" s="131"/>
      <c r="J112" s="131"/>
      <c r="K112" s="132"/>
      <c r="L112" s="133"/>
      <c r="M112" s="134"/>
      <c r="N112" s="2369"/>
      <c r="O112" s="2369"/>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9"/>
      <c r="O113" s="2369"/>
      <c r="P113" s="900"/>
      <c r="Q113" s="901"/>
    </row>
    <row r="114" spans="1:17" ht="15" thickTop="1">
      <c r="A114" s="941"/>
      <c r="B114" s="1053" t="s">
        <v>85</v>
      </c>
      <c r="C114" s="139"/>
      <c r="D114" s="139"/>
      <c r="E114" s="131"/>
      <c r="F114" s="131"/>
      <c r="G114" s="131"/>
      <c r="H114" s="131"/>
      <c r="I114" s="131"/>
      <c r="J114" s="131"/>
      <c r="K114" s="132"/>
      <c r="L114" s="133"/>
      <c r="M114" s="134"/>
      <c r="N114" s="2367"/>
      <c r="O114" s="2367"/>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8"/>
      <c r="O115" s="2368"/>
      <c r="P115" s="334"/>
      <c r="Q115" s="846"/>
    </row>
    <row r="116" spans="1:17" ht="15" thickTop="1">
      <c r="A116" s="941"/>
      <c r="B116" s="1053">
        <f>B38</f>
        <v>111</v>
      </c>
      <c r="C116" s="139"/>
      <c r="D116" s="139"/>
      <c r="E116" s="139"/>
      <c r="F116" s="139"/>
      <c r="G116" s="139"/>
      <c r="H116" s="131"/>
      <c r="I116" s="131"/>
      <c r="J116" s="131"/>
      <c r="K116" s="132"/>
      <c r="L116" s="133"/>
      <c r="M116" s="134"/>
      <c r="N116" s="2367"/>
      <c r="O116" s="2367"/>
      <c r="P116" s="334"/>
      <c r="Q116" s="846"/>
    </row>
    <row r="117" spans="1:17" ht="15.75" thickBot="1">
      <c r="A117" s="876"/>
      <c r="B117" s="1054"/>
      <c r="C117" s="902"/>
      <c r="D117" s="878"/>
      <c r="E117" s="878"/>
      <c r="F117" s="878"/>
      <c r="G117" s="878"/>
      <c r="H117" s="878"/>
      <c r="I117" s="878"/>
      <c r="J117" s="878"/>
      <c r="K117" s="878"/>
      <c r="L117" s="878"/>
      <c r="M117" s="879"/>
      <c r="N117" s="2368"/>
      <c r="O117" s="2368"/>
      <c r="P117" s="334"/>
      <c r="Q117" s="846"/>
    </row>
    <row r="118" spans="1:17" ht="15" thickTop="1">
      <c r="A118" s="941"/>
      <c r="B118" s="1053">
        <f>B39</f>
        <v>111</v>
      </c>
      <c r="C118" s="139"/>
      <c r="D118" s="139"/>
      <c r="E118" s="139"/>
      <c r="F118" s="139"/>
      <c r="G118" s="131"/>
      <c r="H118" s="131"/>
      <c r="I118" s="131"/>
      <c r="J118" s="131"/>
      <c r="K118" s="132"/>
      <c r="L118" s="133"/>
      <c r="M118" s="134"/>
      <c r="N118" s="2367"/>
      <c r="O118" s="2367"/>
      <c r="P118" s="334"/>
      <c r="Q118" s="846"/>
    </row>
    <row r="119" spans="1:17" ht="15.75" thickBot="1">
      <c r="A119" s="876"/>
      <c r="B119" s="1054"/>
      <c r="C119" s="902"/>
      <c r="D119" s="902"/>
      <c r="E119" s="902"/>
      <c r="F119" s="902"/>
      <c r="G119" s="878"/>
      <c r="H119" s="878"/>
      <c r="I119" s="878"/>
      <c r="J119" s="878"/>
      <c r="K119" s="878"/>
      <c r="L119" s="878"/>
      <c r="M119" s="879"/>
      <c r="N119" s="2368"/>
      <c r="O119" s="2368"/>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9"/>
      <c r="O120" s="2369"/>
      <c r="P120" s="900"/>
      <c r="Q120" s="901"/>
    </row>
    <row r="121" spans="1:17" s="813" customFormat="1" ht="15.75" thickBot="1">
      <c r="A121" s="910"/>
      <c r="B121" s="1078"/>
      <c r="C121" s="912"/>
      <c r="D121" s="912"/>
      <c r="E121" s="912"/>
      <c r="F121" s="912"/>
      <c r="G121" s="933"/>
      <c r="H121" s="933"/>
      <c r="I121" s="933"/>
      <c r="J121" s="933"/>
      <c r="K121" s="933"/>
      <c r="L121" s="933"/>
      <c r="M121" s="934"/>
      <c r="N121" s="2369"/>
      <c r="O121" s="2369"/>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2034</v>
      </c>
      <c r="B1" s="1960"/>
      <c r="C1" s="1960"/>
      <c r="D1" s="1960"/>
      <c r="E1" s="1960"/>
    </row>
    <row r="2" spans="1:5" ht="78" customHeight="1">
      <c r="A2" s="342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2"/>
      <c r="C2" s="3422"/>
      <c r="D2" s="3422"/>
      <c r="E2" s="3422"/>
    </row>
    <row r="3" spans="1:5" ht="18.75">
      <c r="A3" s="3423" t="s">
        <v>2035</v>
      </c>
      <c r="B3" s="3423"/>
      <c r="C3" s="3423"/>
      <c r="D3" s="3423"/>
      <c r="E3" s="3423"/>
    </row>
    <row r="4" spans="1:5" ht="19.5" thickBot="1">
      <c r="A4" s="1972"/>
      <c r="B4" s="3421" t="s">
        <v>2040</v>
      </c>
      <c r="C4" s="3421"/>
      <c r="D4" s="3421"/>
      <c r="E4" s="1972"/>
    </row>
    <row r="5" spans="1:5" ht="16.5" thickTop="1">
      <c r="A5" s="1960"/>
      <c r="B5" s="3419" t="s">
        <v>2036</v>
      </c>
      <c r="C5" s="1962" t="s">
        <v>2041</v>
      </c>
      <c r="D5" s="1963">
        <f ca="1">结果表!H101</f>
        <v>21523</v>
      </c>
      <c r="E5" s="1960"/>
    </row>
    <row r="6" spans="1:5" ht="15.75">
      <c r="A6" s="1960"/>
      <c r="B6" s="3419"/>
      <c r="C6" s="1962" t="s">
        <v>2882</v>
      </c>
      <c r="D6" s="1963" t="str">
        <f ca="1">NUMBERSTRING(INT(D5*10000),2)&amp;"元整"</f>
        <v>贰亿壹仟伍佰贰拾叁万元整</v>
      </c>
      <c r="E6" s="1960"/>
    </row>
    <row r="7" spans="1:5" ht="15.75">
      <c r="A7" s="1960"/>
      <c r="B7" s="3424"/>
      <c r="C7" s="1964" t="s">
        <v>2042</v>
      </c>
      <c r="D7" s="1965">
        <f ca="1">结果表!H102</f>
        <v>6876</v>
      </c>
      <c r="E7" s="1960"/>
    </row>
    <row r="8" spans="1:5" ht="15.75">
      <c r="A8" s="1960"/>
      <c r="B8" s="3425" t="str">
        <f>结果表!E103</f>
        <v>2.估价师知悉的法定优先受偿款</v>
      </c>
      <c r="C8" s="1966" t="s">
        <v>2043</v>
      </c>
      <c r="D8" s="1965">
        <f>结果表!H103</f>
        <v>0</v>
      </c>
      <c r="E8" s="1960"/>
    </row>
    <row r="9" spans="1:5" ht="15.75">
      <c r="A9" s="1960"/>
      <c r="B9" s="3427"/>
      <c r="C9" s="1962" t="s">
        <v>2882</v>
      </c>
      <c r="D9" s="1963" t="str">
        <f>NUMBERSTRING(INT(D8*10000),2)&amp;"元整"</f>
        <v>零元整</v>
      </c>
      <c r="E9" s="1960"/>
    </row>
    <row r="10" spans="1:5" ht="15">
      <c r="A10" s="1960"/>
      <c r="B10" s="1967" t="s">
        <v>2037</v>
      </c>
      <c r="C10" s="1968" t="s">
        <v>2043</v>
      </c>
      <c r="D10" s="1969">
        <f>结果表!H104</f>
        <v>0</v>
      </c>
      <c r="E10" s="1960"/>
    </row>
    <row r="11" spans="1:5" ht="15">
      <c r="A11" s="1960"/>
      <c r="B11" s="1967" t="s">
        <v>2038</v>
      </c>
      <c r="C11" s="1968" t="s">
        <v>2043</v>
      </c>
      <c r="D11" s="1969">
        <f>结果表!H105</f>
        <v>0</v>
      </c>
      <c r="E11" s="1960"/>
    </row>
    <row r="12" spans="1:5" ht="15">
      <c r="A12" s="1960"/>
      <c r="B12" s="1967" t="s">
        <v>2039</v>
      </c>
      <c r="C12" s="1968" t="s">
        <v>2043</v>
      </c>
      <c r="D12" s="1969">
        <f>结果表!H106</f>
        <v>0</v>
      </c>
      <c r="E12" s="1960"/>
    </row>
    <row r="13" spans="1:5" ht="15.75">
      <c r="A13" s="1960"/>
      <c r="B13" s="3418" t="str">
        <f>结果表!E107</f>
        <v>3.房地产抵押价值</v>
      </c>
      <c r="C13" s="1970" t="s">
        <v>2041</v>
      </c>
      <c r="D13" s="1973">
        <f ca="1">结果表!H107</f>
        <v>21523</v>
      </c>
      <c r="E13" s="1960"/>
    </row>
    <row r="14" spans="1:5" ht="15.75">
      <c r="A14" s="1960"/>
      <c r="B14" s="3419"/>
      <c r="C14" s="1962" t="s">
        <v>2882</v>
      </c>
      <c r="D14" s="1963" t="str">
        <f ca="1">NUMBERSTRING(INT(D13*10000),2)&amp;"元整"</f>
        <v>贰亿壹仟伍佰贰拾叁万元整</v>
      </c>
      <c r="E14" s="1960"/>
    </row>
    <row r="15" spans="1:5" ht="15">
      <c r="A15" s="1960"/>
      <c r="B15" s="3424"/>
      <c r="C15" s="1964" t="s">
        <v>2042</v>
      </c>
      <c r="D15" s="2075">
        <f ca="1">结果表!H108</f>
        <v>6876</v>
      </c>
      <c r="E15" s="1960"/>
    </row>
    <row r="16" spans="1:5" ht="14.25">
      <c r="A16" s="1960"/>
      <c r="B16" s="3425" t="str">
        <f>结果表!E109</f>
        <v>——</v>
      </c>
      <c r="C16" s="1970" t="s">
        <v>2041</v>
      </c>
      <c r="D16" s="2076" t="str">
        <f>结果表!H109</f>
        <v>——</v>
      </c>
      <c r="E16" s="1960"/>
    </row>
    <row r="17" spans="1:5" ht="15.75">
      <c r="A17" s="1960"/>
      <c r="B17" s="3426"/>
      <c r="C17" s="1962" t="s">
        <v>2882</v>
      </c>
      <c r="D17" s="1963" t="e">
        <f>NUMBERSTRING(INT(D16*10000),2)&amp;"元整"</f>
        <v>#VALUE!</v>
      </c>
      <c r="E17" s="1960"/>
    </row>
    <row r="18" spans="1:5" ht="15">
      <c r="A18" s="1960"/>
      <c r="B18" s="3427"/>
      <c r="C18" s="1964" t="s">
        <v>2042</v>
      </c>
      <c r="D18" s="2075" t="str">
        <f>结果表!H110</f>
        <v>——</v>
      </c>
      <c r="E18" s="1960"/>
    </row>
    <row r="19" spans="1:5" ht="15.75">
      <c r="A19" s="1960"/>
      <c r="B19" s="3418" t="str">
        <f>结果表!E111</f>
        <v>——</v>
      </c>
      <c r="C19" s="1970" t="s">
        <v>2041</v>
      </c>
      <c r="D19" s="1965" t="str">
        <f>结果表!H111</f>
        <v>——</v>
      </c>
      <c r="E19" s="1960"/>
    </row>
    <row r="20" spans="1:5" ht="15.75">
      <c r="A20" s="1960"/>
      <c r="B20" s="3419"/>
      <c r="C20" s="1962" t="s">
        <v>2882</v>
      </c>
      <c r="D20" s="1963" t="e">
        <f>NUMBERSTRING(INT(D19*10000),2)&amp;"元整"</f>
        <v>#VALUE!</v>
      </c>
      <c r="E20" s="1960"/>
    </row>
    <row r="21" spans="1:5" ht="15.75" thickBot="1">
      <c r="A21" s="1960"/>
      <c r="B21" s="3420"/>
      <c r="C21" s="2077" t="s">
        <v>2042</v>
      </c>
      <c r="D21" s="2078" t="str">
        <f>结果表!H112</f>
        <v>——</v>
      </c>
      <c r="E21" s="1960"/>
    </row>
    <row r="22" spans="1:5" ht="14.25" thickTop="1">
      <c r="A22" s="1960"/>
      <c r="B22" s="1971" t="s">
        <v>2069</v>
      </c>
      <c r="C22" s="1960"/>
      <c r="D22" s="1960"/>
      <c r="E22" s="1960"/>
    </row>
    <row r="23" spans="1:5">
      <c r="A23" s="1960"/>
      <c r="B23" s="1960"/>
      <c r="C23" s="1960"/>
      <c r="D23" s="1960"/>
      <c r="E23" s="1960"/>
    </row>
    <row r="24" spans="1:5" ht="18.75">
      <c r="A24" s="1991"/>
      <c r="B24" s="1992" t="s">
        <v>2049</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2" t="s">
        <v>1796</v>
      </c>
      <c r="B1" s="1473"/>
      <c r="C1" s="86" t="s">
        <v>2510</v>
      </c>
      <c r="D1" s="1735">
        <f>SUM(D29:D30,D33:D39)</f>
        <v>0</v>
      </c>
      <c r="E1" s="1619"/>
      <c r="F1" s="1619"/>
      <c r="G1" s="1619"/>
      <c r="H1" s="1619"/>
      <c r="I1" s="1619"/>
      <c r="J1" s="1619"/>
      <c r="K1" s="2379"/>
      <c r="L1" s="1881" t="s">
        <v>1228</v>
      </c>
      <c r="M1" s="2134">
        <f>SUMPRODUCT((区片价!B5:B9=I2)*(区片价!C3:F3=E2)*(区片价!C5:F9))</f>
        <v>0</v>
      </c>
      <c r="N1" s="2137">
        <f>SUMPRODUCT((因素修正幅度!B5:B9=I2)*(因素修正幅度!C3:F3=E2)*(因素修正幅度!C5:F9))</f>
        <v>0</v>
      </c>
      <c r="O1" s="2383"/>
      <c r="P1" s="2383"/>
      <c r="Q1" s="2379"/>
      <c r="R1" s="3073" t="s">
        <v>2898</v>
      </c>
      <c r="S1" s="3073" t="s">
        <v>2899</v>
      </c>
      <c r="T1" s="3073" t="s">
        <v>2900</v>
      </c>
      <c r="U1" s="3073" t="s">
        <v>2901</v>
      </c>
      <c r="V1" s="3073" t="s">
        <v>2902</v>
      </c>
      <c r="W1" s="3074"/>
      <c r="X1" s="3074"/>
      <c r="Y1" s="3074"/>
      <c r="Z1" s="3074"/>
      <c r="AA1" s="3074"/>
      <c r="AB1" s="3074"/>
      <c r="AC1" s="3075"/>
      <c r="AD1" s="3076"/>
      <c r="AE1" s="3076"/>
      <c r="AF1" s="3076"/>
      <c r="AG1" s="3076"/>
      <c r="AH1" s="3076"/>
      <c r="AI1" s="3076"/>
      <c r="AJ1" s="3077"/>
    </row>
    <row r="2" spans="1:36" ht="15.75">
      <c r="A2" s="86" t="s">
        <v>1797</v>
      </c>
      <c r="B2" s="580" t="e">
        <f>C26</f>
        <v>#DIV/0!</v>
      </c>
      <c r="C2" s="1471" t="s">
        <v>1138</v>
      </c>
      <c r="D2" s="1624" t="s">
        <v>1798</v>
      </c>
      <c r="E2" s="1779"/>
      <c r="F2" s="1624" t="s">
        <v>1799</v>
      </c>
      <c r="G2" s="1601">
        <f>IF(E2="商业",项目基本情况!B37,IF(E2="办公",项目基本情况!C37,IF(E2="住宅",项目基本情况!D37,项目基本情况!E37)))</f>
        <v>0</v>
      </c>
      <c r="H2" s="1624" t="s">
        <v>1800</v>
      </c>
      <c r="I2" s="1601">
        <f>IF(E2="商业",项目基本情况!B38,IF(E2="办公",项目基本情况!C38,IF(E2="住宅",项目基本情况!D38,项目基本情况!E38)))</f>
        <v>0</v>
      </c>
      <c r="J2" s="1625"/>
      <c r="K2" s="2379"/>
      <c r="L2" s="1882" t="s">
        <v>1285</v>
      </c>
      <c r="M2" s="2135">
        <f>SUMPRODUCT((区片价!B10:B28=I2)*(区片价!C3:F3=E2)*(区片价!C10:F28))</f>
        <v>0</v>
      </c>
      <c r="N2" s="2137">
        <f>SUMPRODUCT((因素修正幅度!B10:B28=I2)*(因素修正幅度!C3:F3=E2)*(因素修正幅度!C10:F28))</f>
        <v>0</v>
      </c>
      <c r="O2" s="2379"/>
      <c r="P2" s="2379"/>
      <c r="Q2" s="2379"/>
      <c r="R2" s="3078">
        <v>1</v>
      </c>
      <c r="S2" s="3078" t="e">
        <f>ROUND(IF(G3&gt;1,IF(R2&lt;7,SUMPRODUCT((B93:B98=R2)*(C92:N92=G2)*(C93:N98)),SUMIF(C92:N92,G2,C100:N100)),IF(R2&lt;7,SUMPRODUCT((B102:B107=R2)*(C92:N92=G2)*(C102:N107)),SUMIF(C92:N92,G2,C109:N109))),4)</f>
        <v>#DIV/0!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1801</v>
      </c>
      <c r="B3" s="580" t="e">
        <f>ROUND(B2*10000/D1,0)</f>
        <v>#DIV/0!</v>
      </c>
      <c r="C3" s="1471" t="s">
        <v>1802</v>
      </c>
      <c r="D3" s="1624" t="s">
        <v>1141</v>
      </c>
      <c r="E3" s="1780"/>
      <c r="F3" s="1781" t="s">
        <v>3033</v>
      </c>
      <c r="G3" s="1626" t="e">
        <f>IF(F3="宗地容积率",'数据-汇总表'!I4,IF(F3="估价对象容积率",'数据-汇总表'!I6,'数据-汇总表'!I7))</f>
        <v>#DIV/0!</v>
      </c>
      <c r="H3" s="1627" t="s">
        <v>1142</v>
      </c>
      <c r="I3" s="1782"/>
      <c r="J3" s="1625" t="s">
        <v>1143</v>
      </c>
      <c r="K3" s="2379"/>
      <c r="L3" s="1882" t="s">
        <v>1458</v>
      </c>
      <c r="M3" s="2135">
        <f>SUMPRODUCT((区片价!B29:B48=I2)*(区片价!C3:F3=E2)*(区片价!C29:F48))</f>
        <v>0</v>
      </c>
      <c r="N3" s="2137">
        <f>SUMPRODUCT((因素修正幅度!B29:B48=I2)*(因素修正幅度!C3:F3=E2)*(因素修正幅度!C29:F48))</f>
        <v>0</v>
      </c>
      <c r="O3" s="2379"/>
      <c r="P3" s="2379"/>
      <c r="Q3" s="2379"/>
      <c r="R3" s="3078">
        <v>2</v>
      </c>
      <c r="S3" s="3078" t="e">
        <f>ROUND(IF(G3&gt;1,IF(R3&lt;7,SUMPRODUCT((B93:B98=R3)*(C92:N92=G2)*(C93:N98)),SUMIF(C92:N92,G2,C100:N100)),IF(R3&lt;7,SUMPRODUCT((B102:B107=R3)*(C92:N92=G2)*(C102:N107)),SUMIF(C92:N92,G2,C109:N109))),4)</f>
        <v>#DIV/0!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73"/>
      <c r="B4" s="3774"/>
      <c r="C4" s="3774"/>
      <c r="D4" s="3775"/>
      <c r="E4" s="3775"/>
      <c r="F4" s="3775"/>
      <c r="G4" s="3775"/>
      <c r="H4" s="3775"/>
      <c r="I4" s="3775"/>
      <c r="J4" s="3776"/>
      <c r="K4" s="2379"/>
      <c r="L4" s="1882" t="s">
        <v>1139</v>
      </c>
      <c r="M4" s="2135">
        <f>SUMPRODUCT((区片价!B49:B75=I2)*(区片价!C3:F3=E2)*(区片价!C49:F75))</f>
        <v>0</v>
      </c>
      <c r="N4" s="2137">
        <f>SUMPRODUCT((因素修正幅度!B49:B75=I2)*(因素修正幅度!C3:F3=E2)*(因素修正幅度!C49:F75))</f>
        <v>0</v>
      </c>
      <c r="O4" s="2379"/>
      <c r="P4" s="2379"/>
      <c r="Q4" s="2379"/>
      <c r="R4" s="3078">
        <v>3</v>
      </c>
      <c r="S4" s="3078" t="e">
        <f>ROUND(IF(G3&gt;1,IF(R4&lt;7,SUMPRODUCT((B93:B98=R4)*(C92:N92=G2)*(C93:N98)),SUMIF(C92:N92,G2,C100:N100)),IF(R4&lt;7,SUMPRODUCT((B102:B107=R4)*(C92:N92=G2)*(C102:N107)),SUMIF(C92:N92,G2,C109:N109))),4)</f>
        <v>#DIV/0!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5" customFormat="1" ht="15.75" thickBot="1">
      <c r="A5" s="1875" t="s">
        <v>1939</v>
      </c>
      <c r="B5" s="1628" t="s">
        <v>1803</v>
      </c>
      <c r="C5" s="1629" t="e">
        <f>ROUND(IF(E2="商业",IF(F16="增加",C6*C7+C16,C6*C7-C16),IF(E2="住宅",IF(F16="增加",C6*C12+C16,C6*C12-C16),IF(F16="增加",C6+C16,C6-C16))),0)</f>
        <v>#DIV/0!</v>
      </c>
      <c r="D5" s="1630"/>
      <c r="E5" s="1631"/>
      <c r="F5" s="1631"/>
      <c r="G5" s="1632"/>
      <c r="H5" s="1632"/>
      <c r="I5" s="1632"/>
      <c r="J5" s="1633"/>
      <c r="K5" s="2384"/>
      <c r="L5" s="1882" t="s">
        <v>1539</v>
      </c>
      <c r="M5" s="2135">
        <f>SUMPRODUCT((区片价!B76:B109=I2)*(区片价!C3:F3=E2)*(区片价!C76:F109))</f>
        <v>0</v>
      </c>
      <c r="N5" s="2137">
        <f>SUMPRODUCT((因素修正幅度!B76:B109=I2)*(因素修正幅度!C3:F3=E2)*(因素修正幅度!C76:F109))</f>
        <v>0</v>
      </c>
      <c r="O5" s="2379"/>
      <c r="P5" s="2379"/>
      <c r="Q5" s="2379"/>
      <c r="R5" s="3078">
        <v>4</v>
      </c>
      <c r="S5" s="3078" t="e">
        <f>ROUND(IF(G3&gt;1,IF(R5&lt;7,SUMPRODUCT((B93:B98=R5)*(C92:N92=G2)*(C93:N98)),SUMIF(C92:N92,G2,C100:N100)),IF(R5&lt;7,SUMPRODUCT((B102:B107=R5)*(C92:N92=G2)*(C102:N107)),SUMIF(C92:N92,G2,C109:N109))),4)</f>
        <v>#DIV/0!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79" t="s">
        <v>1946</v>
      </c>
      <c r="B6" s="1636" t="s">
        <v>1803</v>
      </c>
      <c r="C6" s="1637">
        <f>SUMIF(L1:L12,G2,M1:M12)</f>
        <v>0</v>
      </c>
      <c r="D6" s="1638" t="s">
        <v>1804</v>
      </c>
      <c r="E6" s="1639"/>
      <c r="F6" s="1639"/>
      <c r="G6" s="1640"/>
      <c r="H6" s="1640"/>
      <c r="I6" s="1640"/>
      <c r="J6" s="1641"/>
      <c r="K6" s="2385"/>
      <c r="L6" s="1882" t="s">
        <v>203</v>
      </c>
      <c r="M6" s="2135">
        <f>SUMPRODUCT((区片价!B110:B157=I2)*(区片价!C3:F3=E2)*(区片价!C110:F157))</f>
        <v>0</v>
      </c>
      <c r="N6" s="2137">
        <f>SUMPRODUCT((因素修正幅度!B110:B157=I2)*(因素修正幅度!C3:F3=E2)*(因素修正幅度!C110:F157))</f>
        <v>0</v>
      </c>
      <c r="O6" s="2379"/>
      <c r="P6" s="2379"/>
      <c r="Q6" s="2379"/>
      <c r="R6" s="3078">
        <v>5</v>
      </c>
      <c r="S6" s="3078" t="e">
        <f>ROUND(IF(G3&gt;1,IF(R6&lt;7,SUMPRODUCT((B93:B98=R6)*(C92:N92=G2)*(C93:N98)),SUMIF(C92:N92,G2,C100:N100)),IF(R6&lt;7,SUMPRODUCT((B102:B107=R6)*(C92:N92=G2)*(C102:N107)),SUMIF(C92:N92,G2,C109:N109))),4)</f>
        <v>#DIV/0!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60" t="str">
        <f>IF(E2="商业",IF(C8="不临58条商业街","",2),"")</f>
        <v/>
      </c>
      <c r="B7" s="1642" t="s">
        <v>1805</v>
      </c>
      <c r="C7" s="1643" t="e">
        <f>IF(C8="不临58条商业街",1,ROUND(1+(1.6*E8+1.2*E9+0.8*E10+0.4*E11)*C9,4))</f>
        <v>#DIV/0!</v>
      </c>
      <c r="D7" s="1644" t="s">
        <v>1806</v>
      </c>
      <c r="E7" s="1783"/>
      <c r="F7" s="1645"/>
      <c r="G7" s="1646"/>
      <c r="H7" s="1646"/>
      <c r="I7" s="1646"/>
      <c r="J7" s="1647"/>
      <c r="K7" s="2385"/>
      <c r="L7" s="1882" t="s">
        <v>1542</v>
      </c>
      <c r="M7" s="2135">
        <f>SUMPRODUCT((区片价!B158:B205=I2)*(区片价!C3:F3=E2)*(区片价!C158:F205))</f>
        <v>0</v>
      </c>
      <c r="N7" s="2137">
        <f>SUMPRODUCT((因素修正幅度!B158:B205=I2)*(因素修正幅度!C3:F3=E2)*(因素修正幅度!C158:F205))</f>
        <v>0</v>
      </c>
      <c r="O7" s="2379"/>
      <c r="P7" s="2379"/>
      <c r="Q7" s="2379"/>
      <c r="R7" s="3078">
        <v>6</v>
      </c>
      <c r="S7" s="3078" t="e">
        <f>ROUND(IF(G3&gt;1,IF(R7&lt;7,SUMPRODUCT((B93:B98=R7)*(C92:N92=G2)*(C93:N98)),SUMIF(C92:N92,G2,C100:N100)),IF(R7&lt;7,SUMPRODUCT((B102:B107=R7)*(C92:N92=G2)*(C102:N107)),SUMIF(C92:N92,G2,C109:N109))),4)</f>
        <v>#DIV/0!</v>
      </c>
      <c r="T7" s="3078" t="e">
        <f t="shared" si="0"/>
        <v>#DIV/0!</v>
      </c>
      <c r="U7" s="3079"/>
      <c r="V7" s="3078" t="e">
        <f t="shared" si="1"/>
        <v>#DIV/0!</v>
      </c>
      <c r="W7" s="3083" t="s">
        <v>2903</v>
      </c>
      <c r="X7" s="3084">
        <f>G2</f>
        <v>0</v>
      </c>
      <c r="Y7" s="3084" t="s">
        <v>2904</v>
      </c>
      <c r="Z7" s="3085" t="e">
        <f>G3</f>
        <v>#DIV/0!</v>
      </c>
      <c r="AA7" s="3086"/>
      <c r="AB7" s="3086"/>
      <c r="AC7" s="3087"/>
      <c r="AD7" s="3088"/>
      <c r="AE7" s="3088"/>
      <c r="AF7" s="3088"/>
      <c r="AG7" s="3088"/>
      <c r="AH7" s="3088"/>
      <c r="AI7" s="3088"/>
      <c r="AJ7" s="3089"/>
    </row>
    <row r="8" spans="1:36" ht="15">
      <c r="A8" s="3761"/>
      <c r="B8" s="1627" t="s">
        <v>1807</v>
      </c>
      <c r="C8" s="1784"/>
      <c r="D8" s="1648" t="s">
        <v>1144</v>
      </c>
      <c r="E8" s="1649" t="e">
        <f>ROUND(C11/E7,4)</f>
        <v>#DIV/0!</v>
      </c>
      <c r="F8" s="1650" t="s">
        <v>1808</v>
      </c>
      <c r="G8" s="1651"/>
      <c r="H8" s="1651"/>
      <c r="I8" s="1651"/>
      <c r="J8" s="1652"/>
      <c r="K8" s="2379"/>
      <c r="L8" s="1882" t="s">
        <v>1544</v>
      </c>
      <c r="M8" s="2135">
        <f>SUMPRODUCT((区片价!B206:B244=I2)*(区片价!C3:F3=E2)*(区片价!C206:F244))</f>
        <v>0</v>
      </c>
      <c r="N8" s="2137">
        <f>SUMPRODUCT((因素修正幅度!B206:B244=I2)*(因素修正幅度!C3:F3=E2)*(因素修正幅度!C206:F244))</f>
        <v>0</v>
      </c>
      <c r="O8" s="2379"/>
      <c r="P8" s="2379"/>
      <c r="Q8" s="2379"/>
      <c r="R8" s="3078">
        <v>7</v>
      </c>
      <c r="S8" s="3079"/>
      <c r="T8" s="3078" t="e">
        <f t="shared" si="0"/>
        <v>#DIV/0!</v>
      </c>
      <c r="U8" s="3079"/>
      <c r="V8" s="3078" t="e">
        <f t="shared" si="1"/>
        <v>#DIV/0!</v>
      </c>
      <c r="W8" s="3770" t="s">
        <v>2905</v>
      </c>
      <c r="X8" s="3771"/>
      <c r="Y8" s="3090" t="s">
        <v>165</v>
      </c>
      <c r="Z8" s="3090" t="s">
        <v>166</v>
      </c>
      <c r="AA8" s="3090" t="s">
        <v>161</v>
      </c>
      <c r="AB8" s="3090" t="s">
        <v>162</v>
      </c>
      <c r="AC8" s="3090" t="s">
        <v>163</v>
      </c>
      <c r="AD8" s="3090" t="s">
        <v>164</v>
      </c>
      <c r="AE8" s="3090" t="s">
        <v>1179</v>
      </c>
      <c r="AF8" s="3090" t="s">
        <v>1180</v>
      </c>
      <c r="AG8" s="3090" t="s">
        <v>1181</v>
      </c>
      <c r="AH8" s="3090" t="s">
        <v>1182</v>
      </c>
      <c r="AI8" s="3090" t="s">
        <v>1183</v>
      </c>
      <c r="AJ8" s="3090" t="s">
        <v>1184</v>
      </c>
    </row>
    <row r="9" spans="1:36" ht="15">
      <c r="A9" s="3761"/>
      <c r="B9" s="1627" t="s">
        <v>1809</v>
      </c>
      <c r="C9" s="1653">
        <f>SUMIF(修正!C59:C119,C8,修正!E59:E119)</f>
        <v>0</v>
      </c>
      <c r="D9" s="532" t="s">
        <v>1145</v>
      </c>
      <c r="E9" s="532" t="e">
        <f>ROUND(C11/E7,4)</f>
        <v>#DIV/0!</v>
      </c>
      <c r="F9" s="1650" t="s">
        <v>1810</v>
      </c>
      <c r="G9" s="1651"/>
      <c r="H9" s="1651"/>
      <c r="I9" s="1651"/>
      <c r="J9" s="1652"/>
      <c r="K9" s="2379"/>
      <c r="L9" s="1882" t="s">
        <v>1546</v>
      </c>
      <c r="M9" s="2135">
        <f>SUMPRODUCT((区片价!B245:B289=I2)*(区片价!C3:F3=E2)*(区片价!C245:F289))</f>
        <v>0</v>
      </c>
      <c r="N9" s="2137">
        <f>SUMPRODUCT((因素修正幅度!B245:B289=I2)*(因素修正幅度!C3:F3=E2)*(因素修正幅度!C245:F289))</f>
        <v>0</v>
      </c>
      <c r="O9" s="2379"/>
      <c r="P9" s="2379"/>
      <c r="Q9" s="2379"/>
      <c r="R9" s="3078">
        <v>8</v>
      </c>
      <c r="S9" s="3079"/>
      <c r="T9" s="3078" t="e">
        <f t="shared" si="0"/>
        <v>#DIV/0!</v>
      </c>
      <c r="U9" s="3079"/>
      <c r="V9" s="3078" t="e">
        <f t="shared" si="1"/>
        <v>#DIV/0!</v>
      </c>
      <c r="W9" s="3772" t="s">
        <v>2906</v>
      </c>
      <c r="X9" s="3091" t="s">
        <v>1766</v>
      </c>
      <c r="Y9" s="3316"/>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61"/>
      <c r="B10" s="1627" t="s">
        <v>1811</v>
      </c>
      <c r="C10" s="532">
        <f>SUMIF(修正!C59:C119,C8,修正!F59:F119)</f>
        <v>0</v>
      </c>
      <c r="D10" s="532" t="s">
        <v>1146</v>
      </c>
      <c r="E10" s="532" t="e">
        <f>ROUND(C11/E7,4)</f>
        <v>#DIV/0!</v>
      </c>
      <c r="F10" s="1650" t="s">
        <v>1812</v>
      </c>
      <c r="G10" s="1651"/>
      <c r="H10" s="1651"/>
      <c r="I10" s="1651"/>
      <c r="J10" s="1652"/>
      <c r="K10" s="2379"/>
      <c r="L10" s="1882" t="s">
        <v>1550</v>
      </c>
      <c r="M10" s="2135">
        <f>SUMPRODUCT((区片价!B290:B316=I2)*(区片价!C3:F3=E2)*(区片价!C290:F316))</f>
        <v>0</v>
      </c>
      <c r="N10" s="2137">
        <f>SUMPRODUCT((因素修正幅度!B290:B316=I2)*(因素修正幅度!C3:F3=E2)*(因素修正幅度!C290:F316))</f>
        <v>0</v>
      </c>
      <c r="O10" s="2379"/>
      <c r="P10" s="2379"/>
      <c r="Q10" s="2379"/>
      <c r="R10" s="3078">
        <v>9</v>
      </c>
      <c r="S10" s="3079"/>
      <c r="T10" s="3078" t="e">
        <f t="shared" si="0"/>
        <v>#DIV/0!</v>
      </c>
      <c r="U10" s="3079"/>
      <c r="V10" s="3078" t="e">
        <f t="shared" si="1"/>
        <v>#DIV/0!</v>
      </c>
      <c r="W10" s="377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61"/>
      <c r="B11" s="1654" t="s">
        <v>1813</v>
      </c>
      <c r="C11" s="1655">
        <f>C10/4</f>
        <v>0</v>
      </c>
      <c r="D11" s="1655" t="s">
        <v>1147</v>
      </c>
      <c r="E11" s="1655" t="e">
        <f>ROUND(C11/E7,4)</f>
        <v>#DIV/0!</v>
      </c>
      <c r="F11" s="1656" t="s">
        <v>1814</v>
      </c>
      <c r="G11" s="1657"/>
      <c r="H11" s="1657"/>
      <c r="I11" s="1657"/>
      <c r="J11" s="1658"/>
      <c r="K11" s="2379"/>
      <c r="L11" s="1882" t="s">
        <v>1949</v>
      </c>
      <c r="M11" s="2135">
        <f>SUMPRODUCT((区片价!B317:B337=I2)*(区片价!C3:F3=E2)*(区片价!C317:F337))</f>
        <v>0</v>
      </c>
      <c r="N11" s="2137">
        <f>SUMPRODUCT((因素修正幅度!B317:B337=I2)*(因素修正幅度!C3:F3=E2)*(因素修正幅度!C317:F337))</f>
        <v>0</v>
      </c>
      <c r="O11" s="2379"/>
      <c r="P11" s="2379"/>
      <c r="Q11" s="2379"/>
      <c r="R11" s="3078">
        <v>10</v>
      </c>
      <c r="S11" s="3079"/>
      <c r="T11" s="3078" t="e">
        <f t="shared" si="0"/>
        <v>#DIV/0!</v>
      </c>
      <c r="U11" s="3079"/>
      <c r="V11" s="3078" t="e">
        <f t="shared" si="1"/>
        <v>#DIV/0!</v>
      </c>
      <c r="W11" s="3772" t="s">
        <v>2907</v>
      </c>
      <c r="X11" s="3094" t="s">
        <v>2904</v>
      </c>
      <c r="Y11" s="3095" t="e">
        <f>$G$3</f>
        <v>#DIV/0!</v>
      </c>
      <c r="Z11" s="3095" t="e">
        <f t="shared" ref="Z11:AJ11" si="3">$G$3</f>
        <v>#DIV/0!</v>
      </c>
      <c r="AA11" s="3095" t="e">
        <f t="shared" si="3"/>
        <v>#DIV/0!</v>
      </c>
      <c r="AB11" s="3095" t="e">
        <f t="shared" si="3"/>
        <v>#DIV/0!</v>
      </c>
      <c r="AC11" s="3095" t="e">
        <f t="shared" si="3"/>
        <v>#DIV/0!</v>
      </c>
      <c r="AD11" s="3095" t="e">
        <f t="shared" si="3"/>
        <v>#DIV/0!</v>
      </c>
      <c r="AE11" s="3095" t="e">
        <f t="shared" si="3"/>
        <v>#DIV/0!</v>
      </c>
      <c r="AF11" s="3095" t="e">
        <f t="shared" si="3"/>
        <v>#DIV/0!</v>
      </c>
      <c r="AG11" s="3095" t="e">
        <f t="shared" si="3"/>
        <v>#DIV/0!</v>
      </c>
      <c r="AH11" s="3095" t="e">
        <f t="shared" si="3"/>
        <v>#DIV/0!</v>
      </c>
      <c r="AI11" s="3095" t="e">
        <f t="shared" si="3"/>
        <v>#DIV/0!</v>
      </c>
      <c r="AJ11" s="3095" t="e">
        <f t="shared" si="3"/>
        <v>#DIV/0!</v>
      </c>
    </row>
    <row r="12" spans="1:36" ht="26.25" thickBot="1">
      <c r="A12" s="3760" t="s">
        <v>1947</v>
      </c>
      <c r="B12" s="1659" t="s">
        <v>1815</v>
      </c>
      <c r="C12" s="1643">
        <f>ROUND(C15*D15*E15*F15*G15*H15*I15*J15,4)</f>
        <v>1</v>
      </c>
      <c r="D12" s="1660" t="s">
        <v>1816</v>
      </c>
      <c r="E12" s="1661"/>
      <c r="F12" s="1661"/>
      <c r="G12" s="1662"/>
      <c r="H12" s="1662"/>
      <c r="I12" s="1662"/>
      <c r="J12" s="1663"/>
      <c r="K12" s="2379"/>
      <c r="L12" s="1883" t="s">
        <v>1950</v>
      </c>
      <c r="M12" s="2136">
        <f>SUMPRODUCT((区片价!B338:B344=I2)*(区片价!C3:F3=E2)*(区片价!C338:F344))</f>
        <v>0</v>
      </c>
      <c r="N12" s="2137">
        <f>SUMPRODUCT((因素修正幅度!B338:B344=I2)*(因素修正幅度!C3:F3=E2)*(因素修正幅度!C338:F344))</f>
        <v>0</v>
      </c>
      <c r="O12" s="2379"/>
      <c r="P12" s="2379"/>
      <c r="Q12" s="2379"/>
      <c r="R12" s="3078">
        <v>11</v>
      </c>
      <c r="S12" s="3079"/>
      <c r="T12" s="3078" t="e">
        <f t="shared" si="0"/>
        <v>#DIV/0!</v>
      </c>
      <c r="U12" s="3079"/>
      <c r="V12" s="3078" t="e">
        <f t="shared" si="1"/>
        <v>#DIV/0!</v>
      </c>
      <c r="W12" s="3772"/>
      <c r="X12" s="3096" t="s">
        <v>1769</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77"/>
      <c r="B13" s="1664" t="s">
        <v>1817</v>
      </c>
      <c r="C13" s="1665" t="s">
        <v>1818</v>
      </c>
      <c r="D13" s="1666" t="s">
        <v>1819</v>
      </c>
      <c r="E13" s="1666" t="s">
        <v>1820</v>
      </c>
      <c r="F13" s="81" t="s">
        <v>1148</v>
      </c>
      <c r="G13" s="1785" t="s">
        <v>1871</v>
      </c>
      <c r="H13" s="1785" t="s">
        <v>1871</v>
      </c>
      <c r="I13" s="1785" t="s">
        <v>1871</v>
      </c>
      <c r="J13" s="1786" t="s">
        <v>1871</v>
      </c>
      <c r="K13" s="2379"/>
      <c r="L13" s="2379"/>
      <c r="M13" s="2379"/>
      <c r="N13" s="2379"/>
      <c r="O13" s="2379"/>
      <c r="P13" s="2379"/>
      <c r="Q13" s="2379"/>
      <c r="R13" s="3078">
        <v>12</v>
      </c>
      <c r="S13" s="3079"/>
      <c r="T13" s="3078" t="e">
        <f t="shared" si="0"/>
        <v>#DIV/0!</v>
      </c>
      <c r="U13" s="3079"/>
      <c r="V13" s="3078" t="e">
        <f t="shared" si="1"/>
        <v>#DIV/0!</v>
      </c>
      <c r="W13" s="3772"/>
      <c r="X13" s="3096"/>
      <c r="Y13" s="3093" t="e">
        <f>(-0.163*(Y12^2)-0.59*Y12+7617)*(10^(-4))/Y11</f>
        <v>#DIV/0!</v>
      </c>
      <c r="Z13" s="3093" t="e">
        <f t="shared" ref="Z13:AJ13" si="5">(-0.163*(Z12^2)-0.59*Z12+7617)*(10^(-4))/Z11</f>
        <v>#DIV/0!</v>
      </c>
      <c r="AA13" s="3093" t="e">
        <f t="shared" si="5"/>
        <v>#DIV/0!</v>
      </c>
      <c r="AB13" s="3093" t="e">
        <f t="shared" si="5"/>
        <v>#DIV/0!</v>
      </c>
      <c r="AC13" s="3093" t="e">
        <f t="shared" si="5"/>
        <v>#DIV/0!</v>
      </c>
      <c r="AD13" s="3093" t="e">
        <f t="shared" si="5"/>
        <v>#DIV/0!</v>
      </c>
      <c r="AE13" s="3093" t="e">
        <f t="shared" si="5"/>
        <v>#DIV/0!</v>
      </c>
      <c r="AF13" s="3093" t="e">
        <f t="shared" si="5"/>
        <v>#DIV/0!</v>
      </c>
      <c r="AG13" s="3093" t="e">
        <f t="shared" si="5"/>
        <v>#DIV/0!</v>
      </c>
      <c r="AH13" s="3093" t="e">
        <f t="shared" si="5"/>
        <v>#DIV/0!</v>
      </c>
      <c r="AI13" s="3093" t="e">
        <f t="shared" si="5"/>
        <v>#DIV/0!</v>
      </c>
      <c r="AJ13" s="3093" t="e">
        <f t="shared" si="5"/>
        <v>#DIV/0!</v>
      </c>
    </row>
    <row r="14" spans="1:36" ht="15">
      <c r="A14" s="3777"/>
      <c r="B14" s="1667"/>
      <c r="C14" s="1787"/>
      <c r="D14" s="1483"/>
      <c r="E14" s="1483"/>
      <c r="F14" s="1788"/>
      <c r="G14" s="1668" t="s">
        <v>1848</v>
      </c>
      <c r="H14" s="1669"/>
      <c r="I14" s="1670"/>
      <c r="J14" s="1671"/>
      <c r="K14" s="2379"/>
      <c r="L14" s="2379"/>
      <c r="M14" s="2379"/>
      <c r="N14" s="2379"/>
      <c r="O14" s="2379"/>
      <c r="P14" s="2379"/>
      <c r="Q14" s="2379"/>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78"/>
      <c r="B15" s="1672" t="s">
        <v>1821</v>
      </c>
      <c r="C15" s="561">
        <f>IF(C14="有",1.1,1)</f>
        <v>1</v>
      </c>
      <c r="D15" s="561">
        <f>IF(D14="有",1.1,1)</f>
        <v>1</v>
      </c>
      <c r="E15" s="561">
        <f>IF(E14="有",1.1,1)</f>
        <v>1</v>
      </c>
      <c r="F15" s="561">
        <f>IF(F14="500米范围内",1.2,IF(F14="500-1000米",1.1,1))</f>
        <v>1</v>
      </c>
      <c r="G15" s="1789">
        <v>1</v>
      </c>
      <c r="H15" s="1789">
        <v>1</v>
      </c>
      <c r="I15" s="1789">
        <v>1</v>
      </c>
      <c r="J15" s="1790">
        <v>1</v>
      </c>
      <c r="K15" s="2379"/>
      <c r="L15" s="1703" t="s">
        <v>1837</v>
      </c>
      <c r="M15" s="1704" t="s">
        <v>1838</v>
      </c>
      <c r="N15" s="1704" t="s">
        <v>1839</v>
      </c>
      <c r="O15" s="1704" t="s">
        <v>979</v>
      </c>
      <c r="P15" s="1705" t="s">
        <v>1840</v>
      </c>
      <c r="Q15" s="2379"/>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60" t="s">
        <v>1948</v>
      </c>
      <c r="B16" s="1642" t="s">
        <v>1822</v>
      </c>
      <c r="C16" s="1775" t="e">
        <f>ROUND(SUM(G17:J17)/C17,0)</f>
        <v>#DIV/0!</v>
      </c>
      <c r="D16" s="1673" t="s">
        <v>1823</v>
      </c>
      <c r="E16" s="1791"/>
      <c r="F16" s="1792"/>
      <c r="G16" s="1793"/>
      <c r="H16" s="1793"/>
      <c r="I16" s="1793"/>
      <c r="J16" s="1794"/>
      <c r="K16" s="2379"/>
      <c r="L16" s="1709" t="s">
        <v>1842</v>
      </c>
      <c r="M16" s="1653">
        <v>0.25</v>
      </c>
      <c r="N16" s="1653">
        <v>0.2</v>
      </c>
      <c r="O16" s="1653">
        <v>0.15</v>
      </c>
      <c r="P16" s="2729">
        <v>0.1</v>
      </c>
      <c r="Q16" s="2730"/>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61"/>
      <c r="B17" s="1674" t="s">
        <v>1824</v>
      </c>
      <c r="C17" s="1675">
        <f>SUMPRODUCT((修正!A2:A5=E2)*(修正!B1:M1=G2)*(修正!B2:M5))</f>
        <v>0</v>
      </c>
      <c r="D17" s="1676" t="s">
        <v>1825</v>
      </c>
      <c r="E17" s="1746" t="str">
        <f>IF(OR(G2="八级",G2="九级",G2="十级",G2="十一级",G2="十二级"),"五通一平","七通一平")</f>
        <v>七通一平</v>
      </c>
      <c r="F17" s="1677" t="s">
        <v>1826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1831</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0"/>
      <c r="AF17" s="1620"/>
      <c r="AG17" s="1623"/>
      <c r="AH17" s="1623"/>
      <c r="AI17" s="1623"/>
      <c r="AJ17" s="1623"/>
    </row>
    <row r="18" spans="1:37" s="1635" customFormat="1" ht="15.75" thickBot="1">
      <c r="A18" s="1876" t="s">
        <v>1940</v>
      </c>
      <c r="B18" s="1679" t="s">
        <v>1827</v>
      </c>
      <c r="C18" s="1680">
        <f>SUMIF(修正!C18:C39,E3,修正!E18:E39)</f>
        <v>0</v>
      </c>
      <c r="D18" s="1681"/>
      <c r="E18" s="1682"/>
      <c r="F18" s="1683"/>
      <c r="G18" s="1684"/>
      <c r="H18" s="1684"/>
      <c r="I18" s="1684"/>
      <c r="J18" s="1685"/>
      <c r="K18" s="2386"/>
      <c r="O18" s="2735"/>
      <c r="P18" s="2735"/>
      <c r="Q18" s="2736"/>
      <c r="R18" s="2736"/>
      <c r="S18" s="2736"/>
      <c r="T18" s="2731"/>
      <c r="U18" s="2731"/>
      <c r="V18" s="2731"/>
      <c r="W18" s="2730"/>
      <c r="X18" s="2730"/>
      <c r="Y18" s="2730"/>
      <c r="Z18" s="2737"/>
      <c r="AA18" s="2738"/>
      <c r="AB18" s="2738"/>
      <c r="AC18" s="2738"/>
      <c r="AD18" s="2738"/>
      <c r="AE18" s="1621"/>
      <c r="AF18" s="1621"/>
      <c r="AG18" s="1622"/>
      <c r="AH18" s="1622"/>
      <c r="AI18" s="1622"/>
    </row>
    <row r="19" spans="1:37" s="1635" customFormat="1" ht="27.75" thickBot="1">
      <c r="A19" s="1876" t="s">
        <v>1941</v>
      </c>
      <c r="B19" s="1679" t="s">
        <v>1828</v>
      </c>
      <c r="C19" s="1688" t="e">
        <f>ROUND(IF(H19="按公示增长率计算",SUMPRODUCT((地价!A3:A19=YEAR(G19)&amp;"-"&amp;ROUNDUP(MONTH(G19)/3,0))*(地价!X2:AB2=E2)*(地价!X3:AB19)),IF(H19="地价指数",M20/M19,(1+I19)^O19)),4)</f>
        <v>#DIV/0!</v>
      </c>
      <c r="D19" s="1689" t="s">
        <v>1149</v>
      </c>
      <c r="E19" s="1690">
        <v>41640</v>
      </c>
      <c r="F19" s="1689" t="s">
        <v>1150</v>
      </c>
      <c r="G19" s="1691">
        <f>'数据-取费表'!B2</f>
        <v>42935</v>
      </c>
      <c r="H19" s="3020" t="s">
        <v>2966</v>
      </c>
      <c r="I19" s="1692" t="str">
        <f>IF(H19="季度增幅（自定义）",SUMIF(N21:N24,E2,O21:O24),"")</f>
        <v/>
      </c>
      <c r="J19" s="1685"/>
      <c r="K19" s="2386"/>
      <c r="L19" s="3247" t="s">
        <v>2964</v>
      </c>
      <c r="M19" s="3249">
        <f>ROUND(SUMIF(地价!B2:F2,E2,地价!B19:F19),0)</f>
        <v>0</v>
      </c>
      <c r="N19" s="3245" t="s">
        <v>1873</v>
      </c>
      <c r="O19" s="1693">
        <f>ROUNDDOWN(DATEDIF(E19,G19,"M")/3,0)</f>
        <v>14</v>
      </c>
      <c r="P19" s="2734"/>
      <c r="Q19" s="2736"/>
      <c r="R19" s="2736"/>
      <c r="S19" s="2736"/>
      <c r="T19" s="2731"/>
      <c r="U19" s="2731"/>
      <c r="V19" s="2731"/>
      <c r="W19" s="2730"/>
      <c r="X19" s="2730"/>
      <c r="Y19" s="2730"/>
      <c r="Z19" s="2737"/>
      <c r="AA19" s="2738"/>
      <c r="AB19" s="2738"/>
      <c r="AC19" s="2738"/>
      <c r="AD19" s="2738"/>
      <c r="AE19" s="1686"/>
      <c r="AF19" s="1687"/>
      <c r="AG19" s="1694"/>
      <c r="AH19" s="1622"/>
      <c r="AI19" s="1634"/>
      <c r="AJ19" s="1634"/>
      <c r="AK19" s="1634"/>
    </row>
    <row r="20" spans="1:37" s="1635" customFormat="1" ht="27.75" thickBot="1">
      <c r="A20" s="1877" t="s">
        <v>1942</v>
      </c>
      <c r="B20" s="1748" t="s">
        <v>1829</v>
      </c>
      <c r="C20" s="1695" t="e">
        <f>ROUND(POWER(1+G20,J20-I20)*(POWER(1+G20,I20)-1)/(POWER(1+G20,J20)-1),4)</f>
        <v>#DIV/0!</v>
      </c>
      <c r="D20" s="1749" t="s">
        <v>1830</v>
      </c>
      <c r="E20" s="3304">
        <f ca="1">存贷款利率!D4/100</f>
        <v>4.3499999999999997E-2</v>
      </c>
      <c r="F20" s="1749" t="s">
        <v>1831</v>
      </c>
      <c r="G20" s="1750">
        <f>SUMIF(M15:P15,E2,M17:P17)</f>
        <v>0</v>
      </c>
      <c r="H20" s="1749" t="s">
        <v>1832</v>
      </c>
      <c r="I20" s="1751" t="e">
        <f>SUMIF('数据-取费表'!C6:C15,E2,'数据-取费表'!F6:F15)/COUNTIF('数据-取费表'!C6:C15,E2)</f>
        <v>#DIV/0!</v>
      </c>
      <c r="J20" s="1752">
        <f>IF(E2="住宅",70,IF(E2="商业",40,50))</f>
        <v>50</v>
      </c>
      <c r="K20" s="2386"/>
      <c r="L20" s="3248" t="s">
        <v>2965</v>
      </c>
      <c r="M20" s="3250">
        <f>ROUND(SUMPRODUCT((地价!A4:A19=YEAR(G19)&amp;"-"&amp;ROUNDUP(MONTH(G19)/3,0))*(地价!B2:F2=E2)*(地价!B4:F19)),0)</f>
        <v>0</v>
      </c>
      <c r="N20" s="3246" t="s">
        <v>2792</v>
      </c>
      <c r="O20" s="3021" t="s">
        <v>2793</v>
      </c>
      <c r="P20" s="3022" t="s">
        <v>2802</v>
      </c>
      <c r="R20" s="2736"/>
      <c r="S20" s="2736"/>
      <c r="T20" s="2731"/>
      <c r="U20" s="2731"/>
      <c r="V20" s="2731"/>
      <c r="W20" s="2730"/>
      <c r="X20" s="2730"/>
      <c r="Y20" s="2730"/>
      <c r="Z20" s="2737"/>
      <c r="AA20" s="2738"/>
      <c r="AB20" s="2738"/>
      <c r="AC20" s="2738"/>
      <c r="AD20" s="2738"/>
      <c r="AE20" s="1686"/>
      <c r="AF20" s="1686"/>
    </row>
    <row r="21" spans="1:37" s="1635" customFormat="1" ht="14.25">
      <c r="A21" s="1878" t="s">
        <v>1943</v>
      </c>
      <c r="B21" s="1795" t="s">
        <v>2504</v>
      </c>
      <c r="C21" s="1753" t="e">
        <f>IF(B21="容积率修正",IF(G3&lt;=10,D22,J22),C23)</f>
        <v>#DIV/0!</v>
      </c>
      <c r="D21" s="1754"/>
      <c r="E21" s="1754"/>
      <c r="F21" s="1754"/>
      <c r="G21" s="1754"/>
      <c r="H21" s="1754"/>
      <c r="I21" s="1754"/>
      <c r="J21" s="1755"/>
      <c r="K21" s="2386"/>
      <c r="N21" s="3023" t="s">
        <v>2794</v>
      </c>
      <c r="O21" s="3024"/>
      <c r="P21" s="3025">
        <f>SUMPRODUCT((地价!A3:A19=YEAR(G19)&amp;"-"&amp;ROUNDUP(MONTH(G19)/3,0))*(地价!AD2:AH2=N21)*(地价!AD3:AH19))</f>
        <v>1.5699999999999999E-2</v>
      </c>
      <c r="R21" s="2736"/>
      <c r="S21" s="2736"/>
      <c r="T21" s="2731"/>
      <c r="U21" s="2731"/>
      <c r="V21" s="2731"/>
      <c r="W21" s="2730"/>
      <c r="X21" s="2730"/>
      <c r="Y21" s="2730"/>
      <c r="Z21" s="2737"/>
      <c r="AA21" s="2738"/>
      <c r="AB21" s="2738"/>
      <c r="AC21" s="2738"/>
      <c r="AD21" s="2738"/>
      <c r="AE21" s="1686"/>
      <c r="AF21" s="1686"/>
    </row>
    <row r="22" spans="1:37" s="1635" customFormat="1" ht="14.25">
      <c r="A22" s="190" t="s">
        <v>1946</v>
      </c>
      <c r="B22" s="1697" t="s">
        <v>1833</v>
      </c>
      <c r="C22" s="1776" t="s">
        <v>1846</v>
      </c>
      <c r="D22" s="1776" t="e">
        <f>IF(E22=G22,F22,IF(G3&lt;=10,ROUND(F22+(H22-F22)*(G3-E22)/(G22-E22),4),"——"))</f>
        <v>#DIV/0!</v>
      </c>
      <c r="E22" s="1626" t="e">
        <f>ROUNDDOWN(G3,1)</f>
        <v>#DIV/0!</v>
      </c>
      <c r="F22" s="17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26" t="e">
        <f>ROUNDUP(G3,1)</f>
        <v>#DIV/0!</v>
      </c>
      <c r="H22" s="17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6" t="s">
        <v>1163</v>
      </c>
      <c r="J22" s="1756" t="e">
        <f>IF(G3&gt;10,D113,"——")</f>
        <v>#DIV/0!</v>
      </c>
      <c r="K22" s="2386"/>
      <c r="N22" s="3023" t="s">
        <v>2795</v>
      </c>
      <c r="O22" s="3024"/>
      <c r="P22" s="3025">
        <f>SUMPRODUCT((地价!A3:A19=YEAR(G19)&amp;"-"&amp;ROUNDUP(MONTH(G19)/3,0))*(地价!AD2:AH2=N22)*(地价!AD3:AH19))</f>
        <v>1.5699999999999999E-2</v>
      </c>
      <c r="R22" s="2736"/>
      <c r="S22" s="2736"/>
      <c r="T22" s="2731"/>
      <c r="U22" s="2731"/>
      <c r="V22" s="2731"/>
      <c r="W22" s="2730"/>
      <c r="X22" s="2730"/>
      <c r="Y22" s="2730"/>
      <c r="Z22" s="2737"/>
      <c r="AA22" s="2738"/>
      <c r="AB22" s="2738"/>
      <c r="AC22" s="2738"/>
      <c r="AD22" s="2738"/>
      <c r="AE22" s="1686"/>
      <c r="AF22" s="1686"/>
    </row>
    <row r="23" spans="1:37" ht="27.75" thickBot="1">
      <c r="A23" s="190" t="s">
        <v>1947</v>
      </c>
      <c r="B23" s="1868" t="s">
        <v>1834</v>
      </c>
      <c r="C23" s="1869" t="e">
        <f>ROUND(IF(G3&gt;1,IF(I3&lt;7,SUMPRODUCT((B93:B98=I3)*(C92:N92=G2)*(C93:N98)),SUMIF(C92:N92,G2,C100:N100)),IF(I3&lt;7,SUMPRODUCT((B102:B107=I3)*(C92:N92=G2)*(C102:N107)),SUMIF(C92:N92,G2,C109:N109))),4)</f>
        <v>#DIV/0!</v>
      </c>
      <c r="D23" s="1669"/>
      <c r="E23" s="1669"/>
      <c r="F23" s="1698"/>
      <c r="G23" s="1699"/>
      <c r="H23" s="1870"/>
      <c r="I23" s="1871"/>
      <c r="J23" s="1872"/>
      <c r="K23" s="2379"/>
      <c r="N23" s="3023" t="s">
        <v>40</v>
      </c>
      <c r="O23" s="3024"/>
      <c r="P23" s="3025">
        <f>SUMPRODUCT((地价!A3:A19=YEAR(G19)&amp;"-"&amp;ROUNDUP(MONTH(G19)/3,0))*(地价!AD2:AH2=N23)*(地价!AD3:AH19))</f>
        <v>2.6599999999999999E-2</v>
      </c>
      <c r="R23" s="2736"/>
      <c r="S23" s="2736"/>
      <c r="T23" s="2731"/>
      <c r="U23" s="2731"/>
      <c r="V23" s="2731"/>
      <c r="W23" s="2730"/>
      <c r="X23" s="2730"/>
      <c r="Y23" s="2730"/>
      <c r="Z23" s="2737"/>
      <c r="AA23" s="2738"/>
      <c r="AB23" s="2738"/>
      <c r="AC23" s="2738"/>
      <c r="AD23" s="2738"/>
      <c r="AK23" s="1622"/>
    </row>
    <row r="24" spans="1:37" s="1635" customFormat="1" ht="15.75" thickBot="1">
      <c r="A24" s="1877" t="s">
        <v>1944</v>
      </c>
      <c r="B24" s="1679" t="s">
        <v>1835</v>
      </c>
      <c r="C24" s="1688">
        <f>SUMIF(A45:A88,E2,B45:B88)</f>
        <v>0</v>
      </c>
      <c r="D24" s="1683"/>
      <c r="E24" s="1873"/>
      <c r="F24" s="1873"/>
      <c r="G24" s="1873"/>
      <c r="H24" s="1873"/>
      <c r="I24" s="1873"/>
      <c r="J24" s="1874"/>
      <c r="K24" s="2386"/>
      <c r="N24" s="3026" t="s">
        <v>39</v>
      </c>
      <c r="O24" s="3027"/>
      <c r="P24" s="3028">
        <f>SUMPRODUCT((地价!A3:A19=YEAR(G19)&amp;"-"&amp;ROUNDUP(MONTH(G19)/3,0))*(地价!AD2:AH2=N24)*(地价!AD3:AH19))</f>
        <v>1.34E-2</v>
      </c>
      <c r="R24" s="2736"/>
      <c r="S24" s="2736"/>
      <c r="T24" s="2731"/>
      <c r="U24" s="2731"/>
      <c r="V24" s="2731"/>
      <c r="W24" s="2730"/>
      <c r="X24" s="2730"/>
      <c r="Y24" s="2730"/>
      <c r="Z24" s="2737"/>
      <c r="AA24" s="2738"/>
      <c r="AB24" s="2738"/>
      <c r="AC24" s="2738"/>
      <c r="AD24" s="2738"/>
      <c r="AE24" s="1686"/>
      <c r="AF24" s="1686"/>
    </row>
    <row r="25" spans="1:37" ht="15" thickBot="1">
      <c r="A25" s="1877" t="s">
        <v>1945</v>
      </c>
      <c r="B25" s="1700" t="s">
        <v>1836</v>
      </c>
      <c r="C25" s="1701"/>
      <c r="D25" s="1646"/>
      <c r="E25" s="1646"/>
      <c r="F25" s="1702"/>
      <c r="G25" s="1646"/>
      <c r="H25" s="1646"/>
      <c r="I25" s="1646"/>
      <c r="J25" s="1647"/>
      <c r="K25" s="2379"/>
      <c r="N25" s="3030" t="s">
        <v>2796</v>
      </c>
      <c r="O25" s="3029"/>
      <c r="P25" s="3028">
        <f>SUMPRODUCT((地价!A3:A19=YEAR(G19)&amp;"-"&amp;ROUNDUP(MONTH(G19)/3,0))*(地价!AD2:AH2=N25)*(地价!AD3:AH19))</f>
        <v>2.3900000000000001E-2</v>
      </c>
      <c r="R25" s="2736"/>
      <c r="S25" s="2736"/>
      <c r="T25" s="2731"/>
      <c r="U25" s="2731"/>
      <c r="V25" s="2731"/>
      <c r="W25" s="2730"/>
      <c r="X25" s="2730"/>
      <c r="Y25" s="2730"/>
      <c r="Z25" s="2737"/>
      <c r="AA25" s="2738"/>
      <c r="AB25" s="2738"/>
      <c r="AC25" s="2738"/>
      <c r="AD25" s="2738"/>
    </row>
    <row r="26" spans="1:37" ht="14.25">
      <c r="A26" s="1880"/>
      <c r="B26" s="1697" t="s">
        <v>1867</v>
      </c>
      <c r="C26" s="538" t="e">
        <f>E29+SUM(E33:E39)</f>
        <v>#DIV/0!</v>
      </c>
      <c r="D26" s="1706"/>
      <c r="E26" s="1669"/>
      <c r="F26" s="1707"/>
      <c r="G26" s="1669"/>
      <c r="H26" s="1669"/>
      <c r="I26" s="1669"/>
      <c r="J26" s="1708"/>
      <c r="K26" s="2379"/>
      <c r="R26" s="2736"/>
      <c r="S26" s="2736"/>
      <c r="T26" s="2731"/>
      <c r="U26" s="2731"/>
      <c r="V26" s="2731"/>
      <c r="W26" s="2730"/>
      <c r="X26" s="2730"/>
      <c r="Y26" s="2730"/>
      <c r="Z26" s="2737"/>
      <c r="AA26" s="2738"/>
      <c r="AB26" s="2738"/>
      <c r="AC26" s="2738"/>
      <c r="AD26" s="2738"/>
    </row>
    <row r="27" spans="1:37" ht="15" thickBot="1">
      <c r="A27" s="1880"/>
      <c r="B27" s="1710" t="s">
        <v>1868</v>
      </c>
      <c r="C27" s="1711" t="e">
        <f>E30+SUM(I33:I39)</f>
        <v>#DIV/0!</v>
      </c>
      <c r="D27" s="1712"/>
      <c r="E27" s="1713"/>
      <c r="F27" s="1714"/>
      <c r="G27" s="1713"/>
      <c r="H27" s="1713"/>
      <c r="I27" s="1713"/>
      <c r="J27" s="1715"/>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7"/>
      <c r="B28" s="1717" t="s">
        <v>1866</v>
      </c>
      <c r="C28" s="1718" t="s">
        <v>1841</v>
      </c>
      <c r="D28" s="1718" t="s">
        <v>1857</v>
      </c>
      <c r="E28" s="1719" t="s">
        <v>1858</v>
      </c>
      <c r="F28" s="1720"/>
      <c r="G28" s="1662"/>
      <c r="H28" s="1662"/>
      <c r="I28" s="1662"/>
      <c r="J28" s="1663"/>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7"/>
      <c r="B29" s="1721" t="s">
        <v>1861</v>
      </c>
      <c r="C29" s="538" t="e">
        <f>ROUND(C5*C18*C19*C20*C21*C24,0)</f>
        <v>#DIV/0!</v>
      </c>
      <c r="D29" s="1744"/>
      <c r="E29" s="1778" t="e">
        <f>ROUND(C29*D29/10000,0)</f>
        <v>#DIV/0!</v>
      </c>
      <c r="F29" s="1722" t="s">
        <v>1843</v>
      </c>
      <c r="G29" s="1723"/>
      <c r="H29" s="1723"/>
      <c r="I29" s="1723"/>
      <c r="J29" s="1724"/>
      <c r="K29" s="2379"/>
      <c r="L29" s="2379"/>
      <c r="M29" s="2379"/>
      <c r="N29" s="2379"/>
      <c r="O29" s="2735"/>
      <c r="P29" s="2735"/>
      <c r="Q29" s="2736"/>
      <c r="R29" s="2736"/>
      <c r="S29" s="2736"/>
      <c r="T29" s="2731"/>
      <c r="U29" s="2731"/>
      <c r="V29" s="2731"/>
      <c r="W29" s="2730"/>
      <c r="X29" s="2730"/>
      <c r="Y29" s="2730"/>
      <c r="Z29" s="2737"/>
      <c r="AA29" s="2738"/>
      <c r="AB29" s="2738"/>
      <c r="AC29" s="2738"/>
      <c r="AD29" s="2738"/>
      <c r="AE29" s="1620"/>
      <c r="AF29" s="1620"/>
      <c r="AG29" s="1623"/>
      <c r="AH29" s="1623"/>
      <c r="AI29" s="1623"/>
      <c r="AJ29" s="1623"/>
    </row>
    <row r="30" spans="1:37" ht="24.75" thickBot="1">
      <c r="A30" s="1725"/>
      <c r="B30" s="1726" t="s">
        <v>1862</v>
      </c>
      <c r="C30" s="561" t="e">
        <f>ROUND(IF(E2="工业",C29*M39,C29*M38),0)</f>
        <v>#DIV/0!</v>
      </c>
      <c r="D30" s="1745"/>
      <c r="E30" s="1778" t="e">
        <f>ROUND(C30*D30/10000,0)</f>
        <v>#DIV/0!</v>
      </c>
      <c r="F30" s="1727" t="s">
        <v>1859</v>
      </c>
      <c r="G30" s="1728"/>
      <c r="H30" s="1728"/>
      <c r="I30" s="1728"/>
      <c r="J30" s="1729"/>
      <c r="K30" s="2379"/>
      <c r="L30" s="2379"/>
      <c r="M30" s="2379"/>
      <c r="N30" s="2379"/>
      <c r="O30" s="2735"/>
      <c r="P30" s="2735"/>
      <c r="Q30" s="2736"/>
      <c r="R30" s="2736"/>
      <c r="S30" s="2736"/>
      <c r="T30" s="2731"/>
      <c r="U30" s="2731"/>
      <c r="V30" s="2731"/>
      <c r="W30" s="2730"/>
      <c r="X30" s="2730"/>
      <c r="Y30" s="2730"/>
      <c r="Z30" s="2737"/>
      <c r="AA30" s="2738"/>
      <c r="AB30" s="2738"/>
      <c r="AC30" s="2738"/>
      <c r="AD30" s="2738"/>
      <c r="AE30" s="1620"/>
      <c r="AF30" s="1620"/>
      <c r="AG30" s="1623"/>
      <c r="AH30" s="1623"/>
      <c r="AI30" s="1623"/>
      <c r="AJ30" s="1623"/>
    </row>
    <row r="31" spans="1:37" ht="14.25">
      <c r="A31" s="1730"/>
      <c r="B31" s="1731" t="s">
        <v>1863</v>
      </c>
      <c r="C31" s="1732" t="s">
        <v>1864</v>
      </c>
      <c r="D31" s="1662"/>
      <c r="E31" s="1732"/>
      <c r="F31" s="1732"/>
      <c r="G31" s="1660" t="s">
        <v>1865</v>
      </c>
      <c r="H31" s="1662"/>
      <c r="I31" s="1733"/>
      <c r="J31" s="1663"/>
      <c r="K31" s="2379"/>
      <c r="L31" s="2379"/>
      <c r="M31" s="2379"/>
      <c r="N31" s="2379"/>
      <c r="O31" s="2735"/>
      <c r="P31" s="2735"/>
      <c r="Q31" s="2736"/>
      <c r="R31" s="2736"/>
      <c r="S31" s="2736"/>
      <c r="T31" s="2731"/>
      <c r="U31" s="2731"/>
      <c r="V31" s="2731"/>
      <c r="W31" s="2730"/>
      <c r="X31" s="2730"/>
      <c r="Y31" s="2730"/>
      <c r="Z31" s="2737"/>
      <c r="AA31" s="2738"/>
      <c r="AB31" s="2738"/>
      <c r="AC31" s="2738"/>
      <c r="AD31" s="2738"/>
      <c r="AE31" s="1620"/>
      <c r="AF31" s="1620"/>
      <c r="AG31" s="1623"/>
      <c r="AH31" s="1623"/>
      <c r="AI31" s="1623"/>
      <c r="AJ31" s="1623"/>
    </row>
    <row r="32" spans="1:37" ht="24">
      <c r="A32" s="1777"/>
      <c r="B32" s="1734"/>
      <c r="C32" s="171" t="s">
        <v>1841</v>
      </c>
      <c r="D32" s="168" t="s">
        <v>1857</v>
      </c>
      <c r="E32" s="168" t="s">
        <v>1858</v>
      </c>
      <c r="F32" s="1735" t="s">
        <v>1845</v>
      </c>
      <c r="G32" s="1696" t="s">
        <v>1841</v>
      </c>
      <c r="H32" s="1696" t="s">
        <v>1857</v>
      </c>
      <c r="I32" s="1696" t="s">
        <v>1858</v>
      </c>
      <c r="J32" s="1736"/>
      <c r="K32" s="2379"/>
      <c r="L32" s="2379"/>
      <c r="M32" s="2379"/>
      <c r="N32" s="2379"/>
      <c r="O32" s="2735"/>
      <c r="P32" s="2735"/>
      <c r="Q32" s="2736"/>
      <c r="R32" s="2736"/>
      <c r="S32" s="2736"/>
      <c r="T32" s="2731"/>
      <c r="U32" s="2731"/>
      <c r="V32" s="2731"/>
      <c r="W32" s="2730"/>
      <c r="X32" s="2730"/>
      <c r="Y32" s="2730"/>
      <c r="Z32" s="2737"/>
      <c r="AA32" s="2738"/>
      <c r="AB32" s="2738"/>
      <c r="AC32" s="2738"/>
      <c r="AD32" s="2738"/>
      <c r="AE32" s="1620"/>
      <c r="AF32" s="1620"/>
      <c r="AG32" s="1623"/>
      <c r="AH32" s="1623"/>
      <c r="AI32" s="1623"/>
      <c r="AJ32" s="1623"/>
    </row>
    <row r="33" spans="1:37" ht="14.25">
      <c r="A33" s="1737"/>
      <c r="B33" s="1738" t="s">
        <v>1165</v>
      </c>
      <c r="C33" s="538" t="e">
        <f>ROUND(C5*C19*C20*C24*F33,0)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1737"/>
      <c r="B34" s="1665" t="s">
        <v>1166</v>
      </c>
      <c r="C34" s="538" t="e">
        <f>ROUND(C5*C19*C20*C24*F34,0)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1737"/>
      <c r="B35" s="1665" t="s">
        <v>1167</v>
      </c>
      <c r="C35" s="538" t="e">
        <f>ROUND(C5*C19*C20*C24*F35,0)</f>
        <v>#DIV/0!</v>
      </c>
      <c r="D35" s="1744"/>
      <c r="E35" s="532" t="e">
        <f t="shared" si="7"/>
        <v>#DIV/0!</v>
      </c>
      <c r="F35" s="532">
        <f>SUMIF(修正!A45:A56,G2,修正!D45:D56)</f>
        <v>0</v>
      </c>
      <c r="G35" s="532" t="e">
        <f t="shared" si="6"/>
        <v>#DIV/0!</v>
      </c>
      <c r="H35" s="532">
        <f t="shared" si="8"/>
        <v>0</v>
      </c>
      <c r="I35" s="532"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1737"/>
      <c r="B36" s="1665" t="s">
        <v>1168</v>
      </c>
      <c r="C36" s="538" t="e">
        <f>ROUND(C5*C19*C20*C24*F36,0)</f>
        <v>#DIV/0!</v>
      </c>
      <c r="D36" s="1744"/>
      <c r="E36" s="532" t="e">
        <f t="shared" si="7"/>
        <v>#DIV/0!</v>
      </c>
      <c r="F36" s="532">
        <f>SUMIF(修正!A45:A56,G2,修正!E45:E56)</f>
        <v>0</v>
      </c>
      <c r="G36" s="532" t="e">
        <f t="shared" si="6"/>
        <v>#DIV/0!</v>
      </c>
      <c r="H36" s="532">
        <f t="shared" si="8"/>
        <v>0</v>
      </c>
      <c r="I36" s="532"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9"/>
      <c r="L37" s="2387" t="s">
        <v>1860</v>
      </c>
      <c r="M37" s="2388"/>
      <c r="N37" s="2379"/>
      <c r="O37" s="2379"/>
      <c r="P37" s="2379"/>
      <c r="Q37" s="2379"/>
      <c r="R37" s="2379"/>
      <c r="S37" s="2379"/>
      <c r="T37" s="2379"/>
      <c r="U37" s="2379"/>
      <c r="V37" s="2379"/>
      <c r="W37" s="2379"/>
      <c r="X37" s="2379"/>
      <c r="Y37" s="2379"/>
      <c r="Z37" s="2380"/>
    </row>
    <row r="38" spans="1:37" ht="12.75">
      <c r="A38" s="1737"/>
      <c r="B38" s="1665" t="s">
        <v>1170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9"/>
      <c r="L38" s="1759" t="s">
        <v>1844</v>
      </c>
      <c r="M38" s="1760">
        <v>0.25</v>
      </c>
      <c r="N38" s="2379"/>
      <c r="O38" s="2379"/>
      <c r="P38" s="2379"/>
      <c r="Q38" s="2379"/>
      <c r="R38" s="2379"/>
      <c r="S38" s="2379"/>
      <c r="T38" s="2379"/>
      <c r="U38" s="2379"/>
      <c r="V38" s="2379"/>
      <c r="W38" s="2379"/>
      <c r="X38" s="2379"/>
      <c r="Y38" s="2379"/>
      <c r="Z38" s="2380"/>
    </row>
    <row r="39" spans="1:37" ht="13.5" thickBot="1">
      <c r="A39" s="1725"/>
      <c r="B39" s="1740" t="s">
        <v>1171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9"/>
      <c r="L39" s="1761" t="s">
        <v>1840</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4" t="s">
        <v>1780</v>
      </c>
      <c r="B45" s="1485"/>
      <c r="C45" s="1161"/>
      <c r="D45" s="294"/>
      <c r="E45" s="294"/>
      <c r="F45" s="292"/>
      <c r="G45" s="1541"/>
      <c r="H45" s="292"/>
      <c r="I45" s="1486"/>
      <c r="J45" s="1486"/>
      <c r="K45" s="1486"/>
      <c r="L45" s="1486"/>
      <c r="M45" s="1486"/>
      <c r="N45" s="1620"/>
      <c r="Z45" s="2380"/>
      <c r="AA45" s="2380"/>
      <c r="AB45" s="2380"/>
      <c r="AC45" s="2380"/>
      <c r="AD45" s="2380"/>
      <c r="AE45" s="2380"/>
      <c r="AF45" s="2380"/>
      <c r="AG45" s="2380"/>
      <c r="AH45" s="2380"/>
      <c r="AI45" s="2380"/>
      <c r="AJ45" s="2380"/>
    </row>
    <row r="46" spans="1:37" s="2379" customFormat="1" ht="15">
      <c r="A46" s="1487" t="s">
        <v>1</v>
      </c>
      <c r="B46" s="1488">
        <f>1+E48</f>
        <v>1</v>
      </c>
      <c r="C46" s="1489"/>
      <c r="D46" s="1490"/>
      <c r="E46" s="1491"/>
      <c r="F46" s="2133"/>
      <c r="G46" s="292"/>
      <c r="H46" s="1486"/>
      <c r="I46" s="1486"/>
      <c r="J46" s="1486"/>
      <c r="K46" s="1486"/>
      <c r="L46" s="1486"/>
      <c r="M46" s="1486"/>
      <c r="N46" s="1620"/>
      <c r="Z46" s="2380"/>
      <c r="AA46" s="2380"/>
      <c r="AB46" s="2380"/>
      <c r="AC46" s="2380"/>
      <c r="AD46" s="2380"/>
      <c r="AE46" s="2380"/>
      <c r="AF46" s="2380"/>
      <c r="AG46" s="2380"/>
      <c r="AH46" s="2380"/>
      <c r="AI46" s="2380"/>
      <c r="AJ46" s="2380"/>
    </row>
    <row r="47" spans="1:37" s="2379" customFormat="1" ht="24">
      <c r="A47" s="1493" t="s">
        <v>1781</v>
      </c>
      <c r="B47" s="1494" t="s">
        <v>1782</v>
      </c>
      <c r="C47" s="1495" t="s">
        <v>1783</v>
      </c>
      <c r="D47" s="1496" t="s">
        <v>1854</v>
      </c>
      <c r="E47" s="1497" t="s">
        <v>1856</v>
      </c>
      <c r="F47" s="2601" t="s">
        <v>2502</v>
      </c>
      <c r="G47" s="1496" t="s">
        <v>1852</v>
      </c>
      <c r="H47" s="2602" t="s">
        <v>2503</v>
      </c>
      <c r="I47" s="1496" t="s">
        <v>1855</v>
      </c>
      <c r="J47" s="945" t="s">
        <v>425</v>
      </c>
      <c r="K47" s="945" t="s">
        <v>426</v>
      </c>
      <c r="L47" s="945" t="s">
        <v>427</v>
      </c>
      <c r="M47" s="945" t="s">
        <v>428</v>
      </c>
      <c r="N47" s="945" t="s">
        <v>429</v>
      </c>
      <c r="AA47" s="2380"/>
      <c r="AB47" s="2380"/>
      <c r="AC47" s="2380"/>
      <c r="AD47" s="2380"/>
      <c r="AE47" s="2380"/>
      <c r="AF47" s="2380"/>
      <c r="AG47" s="2380"/>
      <c r="AH47" s="2380"/>
      <c r="AI47" s="2380"/>
      <c r="AJ47" s="2380"/>
      <c r="AK47" s="2380"/>
    </row>
    <row r="48" spans="1:37" s="2379" customFormat="1" ht="72">
      <c r="A48" s="1493" t="s">
        <v>1784</v>
      </c>
      <c r="B48" s="1498" t="str">
        <f>估价对象房地状况!C4</f>
        <v>估价对象位于福州东二环泰禾广场商圈，周围有泰禾广场购物中心及步行街，周边商业氛围成熟，人流量大，商业繁华度好。</v>
      </c>
      <c r="C48" s="1483"/>
      <c r="D48" s="2600">
        <f t="shared" ref="D48:D56" si="10">SUMIF($J$47:$N$47,C48,J48:N48)</f>
        <v>0</v>
      </c>
      <c r="E48" s="1500">
        <f>ROUND(SUM(D48:D56),4)</f>
        <v>0</v>
      </c>
      <c r="F48" s="1501" t="str">
        <f>IF(E2="商业",SUMIF(L1:L12,G2,N1:N12),"——")</f>
        <v>——</v>
      </c>
      <c r="G48" s="2598"/>
      <c r="H48" s="2616" t="str">
        <f t="shared" ref="H48:H56" si="11">IFERROR(ROUNDDOWN($F$48*I48/2,4),"——")</f>
        <v>——</v>
      </c>
      <c r="I48" s="1499">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84">
      <c r="A49" s="1493" t="s">
        <v>92</v>
      </c>
      <c r="B49" s="1502" t="str">
        <f>估价对象房地状况!C18</f>
        <v>估价对象周边道路状况较好，有56、46、68路等多条公交线路经过，临近东二环路，估价对象所在商圈配有地下停车场，停车方便，综合评价交通便捷度较好。</v>
      </c>
      <c r="C49" s="1483"/>
      <c r="D49" s="2600">
        <f t="shared" si="10"/>
        <v>0</v>
      </c>
      <c r="E49" s="1503"/>
      <c r="F49" s="1501"/>
      <c r="G49" s="2598"/>
      <c r="H49" s="2616" t="str">
        <f t="shared" si="11"/>
        <v>——</v>
      </c>
      <c r="I49" s="1499">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3" t="s">
        <v>109</v>
      </c>
      <c r="B50" s="1502">
        <f>估价对象房地状况!C19</f>
        <v>0</v>
      </c>
      <c r="C50" s="1483"/>
      <c r="D50" s="2600">
        <f t="shared" si="10"/>
        <v>0</v>
      </c>
      <c r="E50" s="1503"/>
      <c r="F50" s="1501"/>
      <c r="G50" s="2598"/>
      <c r="H50" s="2616" t="str">
        <f t="shared" si="11"/>
        <v>——</v>
      </c>
      <c r="I50" s="1499">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3" t="s">
        <v>1785</v>
      </c>
      <c r="B51" s="3307" t="s">
        <v>3035</v>
      </c>
      <c r="C51" s="1483"/>
      <c r="D51" s="2600">
        <f t="shared" si="10"/>
        <v>0</v>
      </c>
      <c r="E51" s="1503"/>
      <c r="F51" s="1501"/>
      <c r="G51" s="2598"/>
      <c r="H51" s="2616" t="str">
        <f t="shared" si="11"/>
        <v>——</v>
      </c>
      <c r="I51" s="1499">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3" t="s">
        <v>1786</v>
      </c>
      <c r="B52" s="1502">
        <f>估价对象房地状况!C24</f>
        <v>0</v>
      </c>
      <c r="C52" s="1483"/>
      <c r="D52" s="2600">
        <f t="shared" si="10"/>
        <v>0</v>
      </c>
      <c r="E52" s="1503"/>
      <c r="F52" s="1501"/>
      <c r="G52" s="2598"/>
      <c r="H52" s="2616" t="str">
        <f t="shared" si="11"/>
        <v>——</v>
      </c>
      <c r="I52" s="1499">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3" t="s">
        <v>1787</v>
      </c>
      <c r="B53" s="3306" t="s">
        <v>3034</v>
      </c>
      <c r="C53" s="1483"/>
      <c r="D53" s="2600">
        <f t="shared" si="10"/>
        <v>0</v>
      </c>
      <c r="E53" s="1503"/>
      <c r="F53" s="1501"/>
      <c r="G53" s="2598"/>
      <c r="H53" s="2616" t="str">
        <f t="shared" si="11"/>
        <v>——</v>
      </c>
      <c r="I53" s="1499">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96">
      <c r="A54" s="1504" t="s">
        <v>1788</v>
      </c>
      <c r="B54" s="2596" t="str">
        <f>估价对象房地状况!C21</f>
        <v>估价对象所在区域有银行（工商银行、建设银行等）、医院（福建省第二人民医院）、学校（福州第十中学、福州市岳峰中心小学等）、超市（永辉超市）等，公共配套设施条件好。</v>
      </c>
      <c r="C54" s="1483"/>
      <c r="D54" s="2600">
        <f t="shared" si="10"/>
        <v>0</v>
      </c>
      <c r="E54" s="1503"/>
      <c r="F54" s="1501"/>
      <c r="G54" s="2598"/>
      <c r="H54" s="2616" t="str">
        <f t="shared" si="11"/>
        <v>——</v>
      </c>
      <c r="I54" s="1499">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4" t="s">
        <v>1789</v>
      </c>
      <c r="B55" s="1502" t="str">
        <f>估价对象房地状况!C22</f>
        <v>估价对象所在区域基础设施水平</v>
      </c>
      <c r="C55" s="1483"/>
      <c r="D55" s="2600">
        <f t="shared" si="10"/>
        <v>0</v>
      </c>
      <c r="E55" s="1503"/>
      <c r="F55" s="1501"/>
      <c r="G55" s="2598"/>
      <c r="H55" s="2616" t="str">
        <f t="shared" si="11"/>
        <v>——</v>
      </c>
      <c r="I55" s="1499">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6" t="s">
        <v>1790</v>
      </c>
      <c r="B56" s="1507" t="str">
        <f>估价对象房地状况!C20</f>
        <v>估价对象周边有牛岗山公园、金鸡山公园；综合评价环境状况一般。</v>
      </c>
      <c r="C56" s="1483"/>
      <c r="D56" s="2600">
        <f t="shared" si="10"/>
        <v>0</v>
      </c>
      <c r="E56" s="1509"/>
      <c r="F56" s="1501"/>
      <c r="G56" s="2598"/>
      <c r="H56" s="2616" t="str">
        <f t="shared" si="11"/>
        <v>——</v>
      </c>
      <c r="I56" s="1508">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7" t="s">
        <v>1164</v>
      </c>
      <c r="B57" s="1488">
        <f>1+E59</f>
        <v>1</v>
      </c>
      <c r="C57" s="1510"/>
      <c r="D57" s="1490"/>
      <c r="E57" s="1491"/>
      <c r="F57" s="2133"/>
      <c r="G57" s="292"/>
      <c r="H57" s="292"/>
      <c r="I57" s="292"/>
      <c r="J57" s="1486"/>
      <c r="K57" s="1486"/>
      <c r="L57" s="1486"/>
      <c r="M57" s="1486"/>
      <c r="N57" s="1486"/>
      <c r="AA57" s="2380"/>
      <c r="AB57" s="2380"/>
      <c r="AC57" s="2380"/>
      <c r="AD57" s="2380"/>
      <c r="AE57" s="2380"/>
      <c r="AF57" s="2380"/>
      <c r="AG57" s="2380"/>
      <c r="AH57" s="2380"/>
      <c r="AI57" s="2380"/>
      <c r="AJ57" s="2380"/>
      <c r="AK57" s="2380"/>
    </row>
    <row r="58" spans="1:37" s="2379" customFormat="1" ht="24">
      <c r="A58" s="1493" t="s">
        <v>1781</v>
      </c>
      <c r="B58" s="1494"/>
      <c r="C58" s="1495" t="s">
        <v>1783</v>
      </c>
      <c r="D58" s="1496" t="s">
        <v>1854</v>
      </c>
      <c r="E58" s="1497" t="s">
        <v>1856</v>
      </c>
      <c r="F58" s="2601" t="s">
        <v>2299</v>
      </c>
      <c r="G58" s="1496" t="s">
        <v>1852</v>
      </c>
      <c r="H58" s="2602" t="s">
        <v>2503</v>
      </c>
      <c r="I58" s="1496" t="s">
        <v>1855</v>
      </c>
      <c r="J58" s="945" t="s">
        <v>425</v>
      </c>
      <c r="K58" s="945" t="s">
        <v>426</v>
      </c>
      <c r="L58" s="945" t="s">
        <v>427</v>
      </c>
      <c r="M58" s="945" t="s">
        <v>428</v>
      </c>
      <c r="N58" s="945" t="s">
        <v>429</v>
      </c>
      <c r="AA58" s="2380"/>
      <c r="AB58" s="2380"/>
      <c r="AC58" s="2380"/>
      <c r="AD58" s="2380"/>
      <c r="AE58" s="2380"/>
      <c r="AF58" s="2380"/>
      <c r="AG58" s="2380"/>
      <c r="AH58" s="2380"/>
      <c r="AI58" s="2380"/>
      <c r="AJ58" s="2380"/>
      <c r="AK58" s="2380"/>
    </row>
    <row r="59" spans="1:37" s="2379" customFormat="1" ht="36">
      <c r="A59" s="1493" t="s">
        <v>1095</v>
      </c>
      <c r="B59" s="1498" t="str">
        <f>估价对象房地状况!C17</f>
        <v>估价对象位于XX商圈，周边办公楼项目较多，入驻率高，办公集聚程度较好</v>
      </c>
      <c r="C59" s="1483"/>
      <c r="D59" s="2600">
        <f t="shared" ref="D59:D67" si="15">SUMIF($J$58:$N$58,C59,J59:N59)</f>
        <v>0</v>
      </c>
      <c r="E59" s="1500">
        <f>ROUND(SUM(D59:D67),4)</f>
        <v>0</v>
      </c>
      <c r="F59" s="1501" t="str">
        <f>IF(E2="办公",SUMIF(L1:L12,G2,N1:N12),"——")</f>
        <v>——</v>
      </c>
      <c r="G59" s="2598"/>
      <c r="H59" s="2616" t="str">
        <f t="shared" ref="H59:H67" si="16">IFERROR(ROUNDDOWN($F$59*I59/2,4),"——")</f>
        <v>——</v>
      </c>
      <c r="I59" s="1499">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84">
      <c r="A60" s="1493" t="s">
        <v>92</v>
      </c>
      <c r="B60" s="1502" t="str">
        <f>估价对象房地状况!C18</f>
        <v>估价对象周边道路状况较好，有56、46、68路等多条公交线路经过，临近东二环路，估价对象所在商圈配有地下停车场，停车方便，综合评价交通便捷度较好。</v>
      </c>
      <c r="C60" s="1483"/>
      <c r="D60" s="2600">
        <f t="shared" si="15"/>
        <v>0</v>
      </c>
      <c r="E60" s="1503"/>
      <c r="F60" s="1501"/>
      <c r="G60" s="2598"/>
      <c r="H60" s="2616" t="str">
        <f t="shared" si="16"/>
        <v>——</v>
      </c>
      <c r="I60" s="1499">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3" t="s">
        <v>109</v>
      </c>
      <c r="B61" s="1502">
        <f>估价对象房地状况!C19</f>
        <v>0</v>
      </c>
      <c r="C61" s="1483"/>
      <c r="D61" s="2600">
        <f t="shared" si="15"/>
        <v>0</v>
      </c>
      <c r="E61" s="1503"/>
      <c r="F61" s="1501"/>
      <c r="G61" s="2598"/>
      <c r="H61" s="2616" t="str">
        <f t="shared" si="16"/>
        <v>——</v>
      </c>
      <c r="I61" s="1499">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3" t="s">
        <v>1785</v>
      </c>
      <c r="B62" s="3307" t="s">
        <v>3035</v>
      </c>
      <c r="C62" s="1483"/>
      <c r="D62" s="2600">
        <f t="shared" si="15"/>
        <v>0</v>
      </c>
      <c r="E62" s="1503"/>
      <c r="F62" s="1501"/>
      <c r="G62" s="2598"/>
      <c r="H62" s="2616" t="str">
        <f t="shared" si="16"/>
        <v>——</v>
      </c>
      <c r="I62" s="1499">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3" t="s">
        <v>1786</v>
      </c>
      <c r="B63" s="1502">
        <f>估价对象房地状况!C24</f>
        <v>0</v>
      </c>
      <c r="C63" s="1483"/>
      <c r="D63" s="2600">
        <f t="shared" si="15"/>
        <v>0</v>
      </c>
      <c r="E63" s="1503"/>
      <c r="F63" s="1501"/>
      <c r="G63" s="2598"/>
      <c r="H63" s="2616" t="str">
        <f t="shared" si="16"/>
        <v>——</v>
      </c>
      <c r="I63" s="1499">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3" t="s">
        <v>1787</v>
      </c>
      <c r="B64" s="3306" t="s">
        <v>3034</v>
      </c>
      <c r="C64" s="1483"/>
      <c r="D64" s="2600">
        <f t="shared" si="15"/>
        <v>0</v>
      </c>
      <c r="E64" s="1503"/>
      <c r="F64" s="1501"/>
      <c r="G64" s="2598"/>
      <c r="H64" s="2616" t="str">
        <f t="shared" si="16"/>
        <v>——</v>
      </c>
      <c r="I64" s="1499">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96">
      <c r="A65" s="1493" t="s">
        <v>1788</v>
      </c>
      <c r="B65" s="2596" t="str">
        <f>估价对象房地状况!C21</f>
        <v>估价对象所在区域有银行（工商银行、建设银行等）、医院（福建省第二人民医院）、学校（福州第十中学、福州市岳峰中心小学等）、超市（永辉超市）等，公共配套设施条件好。</v>
      </c>
      <c r="C65" s="1483"/>
      <c r="D65" s="2600">
        <f t="shared" si="15"/>
        <v>0</v>
      </c>
      <c r="E65" s="1503"/>
      <c r="F65" s="1501"/>
      <c r="G65" s="2598"/>
      <c r="H65" s="2616" t="str">
        <f t="shared" si="16"/>
        <v>——</v>
      </c>
      <c r="I65" s="1499">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3" t="s">
        <v>1789</v>
      </c>
      <c r="B66" s="2596" t="str">
        <f>估价对象房地状况!C22</f>
        <v>估价对象所在区域基础设施水平</v>
      </c>
      <c r="C66" s="1483"/>
      <c r="D66" s="2600">
        <f t="shared" si="15"/>
        <v>0</v>
      </c>
      <c r="E66" s="1503"/>
      <c r="F66" s="1501"/>
      <c r="G66" s="2598"/>
      <c r="H66" s="2616" t="str">
        <f t="shared" si="16"/>
        <v>——</v>
      </c>
      <c r="I66" s="1499">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6" t="s">
        <v>1790</v>
      </c>
      <c r="B67" s="1511" t="str">
        <f>估价对象房地状况!C20</f>
        <v>估价对象周边有牛岗山公园、金鸡山公园；综合评价环境状况一般。</v>
      </c>
      <c r="C67" s="1483"/>
      <c r="D67" s="2600">
        <f t="shared" si="15"/>
        <v>0</v>
      </c>
      <c r="E67" s="1509"/>
      <c r="F67" s="1501"/>
      <c r="G67" s="2598"/>
      <c r="H67" s="2616" t="str">
        <f t="shared" si="16"/>
        <v>——</v>
      </c>
      <c r="I67" s="1508">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7" t="s">
        <v>979</v>
      </c>
      <c r="B68" s="1488">
        <f>1+E70</f>
        <v>1</v>
      </c>
      <c r="C68" s="1510"/>
      <c r="D68" s="1490"/>
      <c r="E68" s="1491"/>
      <c r="F68" s="2133"/>
      <c r="G68" s="292"/>
      <c r="H68" s="292"/>
      <c r="I68" s="292"/>
      <c r="J68" s="1486"/>
      <c r="K68" s="1486"/>
      <c r="L68" s="1486"/>
      <c r="M68" s="1486"/>
      <c r="N68" s="1486"/>
      <c r="AA68" s="2380"/>
      <c r="AB68" s="2380"/>
      <c r="AC68" s="2380"/>
      <c r="AD68" s="2380"/>
      <c r="AE68" s="2380"/>
      <c r="AF68" s="2380"/>
      <c r="AG68" s="2380"/>
      <c r="AH68" s="2380"/>
      <c r="AI68" s="2380"/>
      <c r="AJ68" s="2380"/>
      <c r="AK68" s="2380"/>
    </row>
    <row r="69" spans="1:37" s="2379" customFormat="1" ht="24">
      <c r="A69" s="1493" t="s">
        <v>1781</v>
      </c>
      <c r="B69" s="1494"/>
      <c r="C69" s="1495" t="s">
        <v>1783</v>
      </c>
      <c r="D69" s="1496" t="s">
        <v>1854</v>
      </c>
      <c r="E69" s="1497" t="s">
        <v>1856</v>
      </c>
      <c r="F69" s="2601" t="s">
        <v>2299</v>
      </c>
      <c r="G69" s="1496" t="s">
        <v>1852</v>
      </c>
      <c r="H69" s="2602" t="s">
        <v>2503</v>
      </c>
      <c r="I69" s="1496" t="s">
        <v>1855</v>
      </c>
      <c r="J69" s="945" t="s">
        <v>425</v>
      </c>
      <c r="K69" s="945" t="s">
        <v>426</v>
      </c>
      <c r="L69" s="945" t="s">
        <v>427</v>
      </c>
      <c r="M69" s="945" t="s">
        <v>428</v>
      </c>
      <c r="N69" s="945" t="s">
        <v>429</v>
      </c>
      <c r="AA69" s="2380"/>
      <c r="AB69" s="2380"/>
      <c r="AC69" s="2380"/>
      <c r="AD69" s="2380"/>
      <c r="AE69" s="2380"/>
      <c r="AF69" s="2380"/>
      <c r="AG69" s="2380"/>
      <c r="AH69" s="2380"/>
      <c r="AI69" s="2380"/>
      <c r="AJ69" s="2380"/>
      <c r="AK69" s="2380"/>
    </row>
    <row r="70" spans="1:37" s="2379" customFormat="1" ht="48">
      <c r="A70" s="1493" t="s">
        <v>110</v>
      </c>
      <c r="B70" s="1498" t="str">
        <f>估价对象房地状况!C15</f>
        <v>估价对象周边居住用地比例、居住小区规模和社区发展完善程度，综合评价居住社区成熟度一般</v>
      </c>
      <c r="C70" s="1483"/>
      <c r="D70" s="2600">
        <f t="shared" ref="D70:D78" si="20">SUMIF($J$69:$N$69,C70,J70:N70)</f>
        <v>0</v>
      </c>
      <c r="E70" s="1500">
        <f>ROUND(SUM(D70:D78),4)</f>
        <v>0</v>
      </c>
      <c r="F70" s="1501" t="str">
        <f>IF(E2="住宅",SUMIF(L1:L12,G2,N1:N12),"——")</f>
        <v>——</v>
      </c>
      <c r="G70" s="2598"/>
      <c r="H70" s="2616" t="str">
        <f t="shared" ref="H70:H78" si="21">IFERROR(ROUNDDOWN($F$70*I70/2,4),"——")</f>
        <v>——</v>
      </c>
      <c r="I70" s="1499">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84">
      <c r="A71" s="1493" t="s">
        <v>92</v>
      </c>
      <c r="B71" s="1502" t="str">
        <f>估价对象房地状况!C18</f>
        <v>估价对象周边道路状况较好，有56、46、68路等多条公交线路经过，临近东二环路，估价对象所在商圈配有地下停车场，停车方便，综合评价交通便捷度较好。</v>
      </c>
      <c r="C71" s="1483"/>
      <c r="D71" s="2600">
        <f t="shared" si="20"/>
        <v>0</v>
      </c>
      <c r="E71" s="1512"/>
      <c r="F71" s="1501"/>
      <c r="G71" s="2598"/>
      <c r="H71" s="2616" t="str">
        <f t="shared" si="21"/>
        <v>——</v>
      </c>
      <c r="I71" s="1499">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3" t="s">
        <v>109</v>
      </c>
      <c r="B72" s="1502">
        <f>估价对象房地状况!C19</f>
        <v>0</v>
      </c>
      <c r="C72" s="1483"/>
      <c r="D72" s="2600">
        <f t="shared" si="20"/>
        <v>0</v>
      </c>
      <c r="E72" s="1512"/>
      <c r="F72" s="1501"/>
      <c r="G72" s="2598"/>
      <c r="H72" s="2616" t="str">
        <f t="shared" si="21"/>
        <v>——</v>
      </c>
      <c r="I72" s="1499">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14.25">
      <c r="A73" s="1493" t="s">
        <v>1791</v>
      </c>
      <c r="B73" s="1502">
        <f>估价对象房地状况!C24</f>
        <v>0</v>
      </c>
      <c r="C73" s="1483"/>
      <c r="D73" s="2600">
        <f t="shared" si="20"/>
        <v>0</v>
      </c>
      <c r="E73" s="1512"/>
      <c r="F73" s="1501"/>
      <c r="G73" s="2598"/>
      <c r="H73" s="2616" t="str">
        <f t="shared" si="21"/>
        <v>——</v>
      </c>
      <c r="I73" s="1499">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96">
      <c r="A74" s="1493" t="s">
        <v>1788</v>
      </c>
      <c r="B74" s="2596" t="str">
        <f>估价对象房地状况!C21</f>
        <v>估价对象所在区域有银行（工商银行、建设银行等）、医院（福建省第二人民医院）、学校（福州第十中学、福州市岳峰中心小学等）、超市（永辉超市）等，公共配套设施条件好。</v>
      </c>
      <c r="C74" s="1483"/>
      <c r="D74" s="2600">
        <f t="shared" si="20"/>
        <v>0</v>
      </c>
      <c r="E74" s="1512"/>
      <c r="F74" s="1501"/>
      <c r="G74" s="2598"/>
      <c r="H74" s="2616" t="str">
        <f t="shared" si="21"/>
        <v>——</v>
      </c>
      <c r="I74" s="1499">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3" t="s">
        <v>1789</v>
      </c>
      <c r="B75" s="2596" t="str">
        <f>估价对象房地状况!C22</f>
        <v>估价对象所在区域基础设施水平</v>
      </c>
      <c r="C75" s="1483"/>
      <c r="D75" s="2600">
        <f t="shared" si="20"/>
        <v>0</v>
      </c>
      <c r="E75" s="1512"/>
      <c r="F75" s="1501"/>
      <c r="G75" s="2598"/>
      <c r="H75" s="2616" t="str">
        <f t="shared" si="21"/>
        <v>——</v>
      </c>
      <c r="I75" s="1499">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3" t="s">
        <v>1787</v>
      </c>
      <c r="B76" s="3306" t="s">
        <v>3034</v>
      </c>
      <c r="C76" s="1483"/>
      <c r="D76" s="2600">
        <f t="shared" si="20"/>
        <v>0</v>
      </c>
      <c r="E76" s="1512"/>
      <c r="F76" s="1501"/>
      <c r="G76" s="2598"/>
      <c r="H76" s="2616" t="str">
        <f t="shared" si="21"/>
        <v>——</v>
      </c>
      <c r="I76" s="1499">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3" t="s">
        <v>1790</v>
      </c>
      <c r="B77" s="1498" t="str">
        <f>估价对象房地状况!C20</f>
        <v>估价对象周边有牛岗山公园、金鸡山公园；综合评价环境状况一般。</v>
      </c>
      <c r="C77" s="1483"/>
      <c r="D77" s="2600">
        <f t="shared" si="20"/>
        <v>0</v>
      </c>
      <c r="E77" s="1512"/>
      <c r="F77" s="1501"/>
      <c r="G77" s="2598"/>
      <c r="H77" s="2616" t="str">
        <f t="shared" si="21"/>
        <v>——</v>
      </c>
      <c r="I77" s="1499">
        <v>0.15</v>
      </c>
      <c r="J77" s="2599">
        <f t="shared" si="22"/>
        <v>0</v>
      </c>
      <c r="K77" s="2599">
        <f t="shared" si="23"/>
        <v>0</v>
      </c>
      <c r="L77" s="2599">
        <v>0</v>
      </c>
      <c r="M77" s="2599">
        <f t="shared" si="24"/>
        <v>0</v>
      </c>
      <c r="N77" s="2599">
        <f t="shared" si="24"/>
        <v>0</v>
      </c>
      <c r="Z77" s="1623"/>
      <c r="AA77" s="1622"/>
      <c r="AG77" s="1621"/>
      <c r="AK77" s="1622"/>
    </row>
    <row r="78" spans="1:37" ht="24.75" thickBot="1">
      <c r="A78" s="1506" t="s">
        <v>1792</v>
      </c>
      <c r="B78" s="3305"/>
      <c r="C78" s="1483"/>
      <c r="D78" s="2600">
        <f t="shared" si="20"/>
        <v>0</v>
      </c>
      <c r="E78" s="1513"/>
      <c r="F78" s="1501"/>
      <c r="G78" s="2598"/>
      <c r="H78" s="2616" t="str">
        <f t="shared" si="21"/>
        <v>——</v>
      </c>
      <c r="I78" s="1508">
        <v>0.04</v>
      </c>
      <c r="J78" s="2599">
        <f t="shared" si="22"/>
        <v>0</v>
      </c>
      <c r="K78" s="2599">
        <f t="shared" si="23"/>
        <v>0</v>
      </c>
      <c r="L78" s="2599">
        <v>0</v>
      </c>
      <c r="M78" s="2599">
        <f t="shared" si="24"/>
        <v>0</v>
      </c>
      <c r="N78" s="2599">
        <f t="shared" si="24"/>
        <v>0</v>
      </c>
      <c r="Z78" s="1623"/>
      <c r="AA78" s="1622"/>
      <c r="AG78" s="1621"/>
      <c r="AK78" s="1622"/>
    </row>
    <row r="79" spans="1:37" ht="15">
      <c r="A79" s="1487" t="s">
        <v>1106</v>
      </c>
      <c r="B79" s="1488">
        <f>1+E81</f>
        <v>1</v>
      </c>
      <c r="C79" s="1510"/>
      <c r="D79" s="1490"/>
      <c r="E79" s="1491"/>
      <c r="F79" s="2133"/>
      <c r="G79" s="292"/>
      <c r="H79" s="292"/>
      <c r="I79" s="292"/>
      <c r="J79" s="1486"/>
      <c r="K79" s="1486"/>
      <c r="L79" s="1486"/>
      <c r="M79" s="1486"/>
      <c r="N79" s="1486"/>
      <c r="Z79" s="1623"/>
      <c r="AA79" s="1622"/>
      <c r="AG79" s="1621"/>
      <c r="AK79" s="1622"/>
    </row>
    <row r="80" spans="1:37" ht="24">
      <c r="A80" s="1493" t="s">
        <v>1781</v>
      </c>
      <c r="B80" s="1494"/>
      <c r="C80" s="1495" t="s">
        <v>1783</v>
      </c>
      <c r="D80" s="1496" t="s">
        <v>1854</v>
      </c>
      <c r="E80" s="1497" t="s">
        <v>1856</v>
      </c>
      <c r="F80" s="2601" t="s">
        <v>2299</v>
      </c>
      <c r="G80" s="1496" t="s">
        <v>1852</v>
      </c>
      <c r="H80" s="2602" t="s">
        <v>2503</v>
      </c>
      <c r="I80" s="1496" t="s">
        <v>1855</v>
      </c>
      <c r="J80" s="945" t="s">
        <v>425</v>
      </c>
      <c r="K80" s="945" t="s">
        <v>426</v>
      </c>
      <c r="L80" s="945" t="s">
        <v>427</v>
      </c>
      <c r="M80" s="945" t="s">
        <v>428</v>
      </c>
      <c r="N80" s="945" t="s">
        <v>429</v>
      </c>
      <c r="Z80" s="1623"/>
      <c r="AA80" s="1622"/>
      <c r="AG80" s="1621"/>
      <c r="AK80" s="1622"/>
    </row>
    <row r="81" spans="1:37" ht="36">
      <c r="A81" s="1493" t="s">
        <v>159</v>
      </c>
      <c r="B81" s="1502" t="str">
        <f>估价对象房地状况!G15</f>
        <v>估价对象位于XX开发区，园区建设成熟度XX，产业集聚程度XX</v>
      </c>
      <c r="C81" s="1483"/>
      <c r="D81" s="2600">
        <f t="shared" ref="D81:D88" si="25">SUMIF($J$80:$N$80,C81,J81:N81)</f>
        <v>0</v>
      </c>
      <c r="E81" s="1500">
        <f>ROUND(SUM(D81:D88),4)</f>
        <v>0</v>
      </c>
      <c r="F81" s="1501" t="str">
        <f>IF(E2="工业",SUMIF(L1:L12,G2,N1:N12),"——")</f>
        <v>——</v>
      </c>
      <c r="G81" s="2598"/>
      <c r="H81" s="2616" t="str">
        <f t="shared" ref="H81:H88" si="26">IFERROR(ROUNDDOWN($F$81*I81/2,4),"——")</f>
        <v>——</v>
      </c>
      <c r="I81" s="1499">
        <v>0.26</v>
      </c>
      <c r="J81" s="2599">
        <f t="shared" ref="J81:J88" si="27">K81+$G81</f>
        <v>0</v>
      </c>
      <c r="K81" s="2599">
        <f t="shared" ref="K81:K88" si="28">$L81+$G81</f>
        <v>0</v>
      </c>
      <c r="L81" s="2599">
        <v>0</v>
      </c>
      <c r="M81" s="2599">
        <f t="shared" ref="M81:N88" si="29">L81-$G81</f>
        <v>0</v>
      </c>
      <c r="N81" s="2599">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600">
        <f t="shared" si="25"/>
        <v>0</v>
      </c>
      <c r="E82" s="1512"/>
      <c r="F82" s="1501"/>
      <c r="G82" s="2598"/>
      <c r="H82" s="2616" t="str">
        <f t="shared" si="26"/>
        <v>——</v>
      </c>
      <c r="I82" s="1499">
        <v>0.33</v>
      </c>
      <c r="J82" s="2599">
        <f t="shared" si="27"/>
        <v>0</v>
      </c>
      <c r="K82" s="2599">
        <f t="shared" si="28"/>
        <v>0</v>
      </c>
      <c r="L82" s="2599">
        <v>0</v>
      </c>
      <c r="M82" s="2599">
        <f t="shared" si="29"/>
        <v>0</v>
      </c>
      <c r="N82" s="2599">
        <f t="shared" si="29"/>
        <v>0</v>
      </c>
      <c r="Z82" s="1623"/>
      <c r="AA82" s="1622"/>
      <c r="AG82" s="1621"/>
      <c r="AK82" s="1622"/>
    </row>
    <row r="83" spans="1:37" ht="24">
      <c r="A83" s="1493" t="s">
        <v>109</v>
      </c>
      <c r="B83" s="1502">
        <f>估价对象房地状况!G17</f>
        <v>0</v>
      </c>
      <c r="C83" s="1483"/>
      <c r="D83" s="2600">
        <f t="shared" si="25"/>
        <v>0</v>
      </c>
      <c r="E83" s="1512"/>
      <c r="F83" s="1501"/>
      <c r="G83" s="2598"/>
      <c r="H83" s="2616" t="str">
        <f t="shared" si="26"/>
        <v>——</v>
      </c>
      <c r="I83" s="1499">
        <v>0.05</v>
      </c>
      <c r="J83" s="2599">
        <f t="shared" si="27"/>
        <v>0</v>
      </c>
      <c r="K83" s="2599">
        <f t="shared" si="28"/>
        <v>0</v>
      </c>
      <c r="L83" s="2599">
        <v>0</v>
      </c>
      <c r="M83" s="2599">
        <f t="shared" si="29"/>
        <v>0</v>
      </c>
      <c r="N83" s="2599">
        <f t="shared" si="29"/>
        <v>0</v>
      </c>
      <c r="Z83" s="1623"/>
      <c r="AA83" s="1622"/>
      <c r="AG83" s="1621"/>
      <c r="AK83" s="1622"/>
    </row>
    <row r="84" spans="1:37" ht="14.25">
      <c r="A84" s="1493" t="s">
        <v>1791</v>
      </c>
      <c r="B84" s="1502">
        <f>估价对象房地状况!G22</f>
        <v>0</v>
      </c>
      <c r="C84" s="1483"/>
      <c r="D84" s="2600">
        <f t="shared" si="25"/>
        <v>0</v>
      </c>
      <c r="E84" s="1512"/>
      <c r="F84" s="1501"/>
      <c r="G84" s="2598"/>
      <c r="H84" s="2616" t="str">
        <f t="shared" si="26"/>
        <v>——</v>
      </c>
      <c r="I84" s="1499">
        <v>0.04</v>
      </c>
      <c r="J84" s="2599">
        <f t="shared" si="27"/>
        <v>0</v>
      </c>
      <c r="K84" s="2599">
        <f t="shared" si="28"/>
        <v>0</v>
      </c>
      <c r="L84" s="2599">
        <v>0</v>
      </c>
      <c r="M84" s="2599">
        <f t="shared" si="29"/>
        <v>0</v>
      </c>
      <c r="N84" s="2599">
        <f t="shared" si="29"/>
        <v>0</v>
      </c>
      <c r="Z84" s="1623"/>
      <c r="AA84" s="1622"/>
      <c r="AG84" s="1621"/>
      <c r="AK84" s="1622"/>
    </row>
    <row r="85" spans="1:37" ht="24">
      <c r="A85" s="1493" t="s">
        <v>1788</v>
      </c>
      <c r="B85" s="2596" t="str">
        <f>估价对象房地状况!G19</f>
        <v>估价对象所在区域公共配套设施齐备情况</v>
      </c>
      <c r="C85" s="1483"/>
      <c r="D85" s="2600">
        <f t="shared" si="25"/>
        <v>0</v>
      </c>
      <c r="E85" s="1512"/>
      <c r="F85" s="1501"/>
      <c r="G85" s="2598"/>
      <c r="H85" s="2616" t="str">
        <f t="shared" si="26"/>
        <v>——</v>
      </c>
      <c r="I85" s="1499">
        <v>0.06</v>
      </c>
      <c r="J85" s="2599">
        <f t="shared" si="27"/>
        <v>0</v>
      </c>
      <c r="K85" s="2599">
        <f t="shared" si="28"/>
        <v>0</v>
      </c>
      <c r="L85" s="2599">
        <v>0</v>
      </c>
      <c r="M85" s="2599">
        <f t="shared" si="29"/>
        <v>0</v>
      </c>
      <c r="N85" s="2599">
        <f t="shared" si="29"/>
        <v>0</v>
      </c>
      <c r="Z85" s="1623"/>
      <c r="AA85" s="1622"/>
      <c r="AG85" s="1621"/>
      <c r="AK85" s="1622"/>
    </row>
    <row r="86" spans="1:37" ht="24">
      <c r="A86" s="1493" t="s">
        <v>1789</v>
      </c>
      <c r="B86" s="2596" t="str">
        <f>估价对象房地状况!G20</f>
        <v>估价对象所在区域基础设施水平</v>
      </c>
      <c r="C86" s="1483"/>
      <c r="D86" s="2600">
        <f t="shared" si="25"/>
        <v>0</v>
      </c>
      <c r="E86" s="1512"/>
      <c r="F86" s="1501"/>
      <c r="G86" s="2598"/>
      <c r="H86" s="2616" t="str">
        <f t="shared" si="26"/>
        <v>——</v>
      </c>
      <c r="I86" s="1499">
        <v>0.15</v>
      </c>
      <c r="J86" s="2599">
        <f t="shared" si="27"/>
        <v>0</v>
      </c>
      <c r="K86" s="2599">
        <f t="shared" si="28"/>
        <v>0</v>
      </c>
      <c r="L86" s="2599">
        <v>0</v>
      </c>
      <c r="M86" s="2599">
        <f t="shared" si="29"/>
        <v>0</v>
      </c>
      <c r="N86" s="2599">
        <f t="shared" si="29"/>
        <v>0</v>
      </c>
      <c r="Z86" s="1623"/>
      <c r="AA86" s="1622"/>
      <c r="AG86" s="1621"/>
      <c r="AK86" s="1622"/>
    </row>
    <row r="87" spans="1:37" ht="24">
      <c r="A87" s="1493" t="s">
        <v>1787</v>
      </c>
      <c r="B87" s="3306" t="s">
        <v>2501</v>
      </c>
      <c r="C87" s="1483"/>
      <c r="D87" s="2600">
        <f t="shared" si="25"/>
        <v>0</v>
      </c>
      <c r="E87" s="1512"/>
      <c r="F87" s="1501"/>
      <c r="G87" s="2598"/>
      <c r="H87" s="2616" t="str">
        <f t="shared" si="26"/>
        <v>——</v>
      </c>
      <c r="I87" s="1499">
        <v>0.05</v>
      </c>
      <c r="J87" s="2599">
        <f t="shared" si="27"/>
        <v>0</v>
      </c>
      <c r="K87" s="2599">
        <f t="shared" si="28"/>
        <v>0</v>
      </c>
      <c r="L87" s="2599">
        <v>0</v>
      </c>
      <c r="M87" s="2599">
        <f t="shared" si="29"/>
        <v>0</v>
      </c>
      <c r="N87" s="2599">
        <f t="shared" si="29"/>
        <v>0</v>
      </c>
      <c r="Z87" s="1623"/>
      <c r="AA87" s="1622"/>
      <c r="AG87" s="1621"/>
      <c r="AK87" s="1622"/>
    </row>
    <row r="88" spans="1:37" ht="36.75" thickBot="1">
      <c r="A88" s="1506" t="s">
        <v>1793</v>
      </c>
      <c r="B88" s="2597" t="str">
        <f>估价对象房地状况!G18</f>
        <v>该园区内是否有污染型企业，绿化情况，卫生条件，整体环境状况判断</v>
      </c>
      <c r="C88" s="1483"/>
      <c r="D88" s="2600">
        <f t="shared" si="25"/>
        <v>0</v>
      </c>
      <c r="E88" s="1513"/>
      <c r="F88" s="1501"/>
      <c r="G88" s="2598"/>
      <c r="H88" s="2616" t="str">
        <f t="shared" si="26"/>
        <v>——</v>
      </c>
      <c r="I88" s="1508">
        <v>0.06</v>
      </c>
      <c r="J88" s="2599">
        <f t="shared" si="27"/>
        <v>0</v>
      </c>
      <c r="K88" s="2599">
        <f t="shared" si="28"/>
        <v>0</v>
      </c>
      <c r="L88" s="2599">
        <v>0</v>
      </c>
      <c r="M88" s="2599">
        <f t="shared" si="29"/>
        <v>0</v>
      </c>
      <c r="N88" s="2599">
        <f t="shared" si="29"/>
        <v>0</v>
      </c>
      <c r="Z88" s="1623"/>
      <c r="AA88" s="1622"/>
      <c r="AG88" s="1621"/>
      <c r="AK88" s="1622"/>
    </row>
    <row r="90" spans="1:37">
      <c r="A90" s="3762" t="s">
        <v>1762</v>
      </c>
      <c r="B90" s="3762"/>
      <c r="C90" s="3762"/>
      <c r="D90" s="3762"/>
      <c r="E90" s="3762"/>
      <c r="F90" s="3762"/>
      <c r="G90" s="3762"/>
      <c r="H90" s="3762"/>
      <c r="I90" s="3762"/>
      <c r="J90" s="3762"/>
      <c r="K90" s="2605"/>
      <c r="L90" s="2605"/>
      <c r="M90" s="2605"/>
      <c r="N90" s="2605"/>
    </row>
    <row r="91" spans="1:37">
      <c r="A91" s="3764" t="s">
        <v>68</v>
      </c>
      <c r="B91" s="3764" t="s">
        <v>1763</v>
      </c>
      <c r="C91" s="1582" t="s">
        <v>1764</v>
      </c>
      <c r="D91" s="1583"/>
      <c r="E91" s="1583"/>
      <c r="F91" s="1583"/>
      <c r="G91" s="1583"/>
      <c r="H91" s="1583"/>
      <c r="I91" s="1583"/>
      <c r="J91" s="1584"/>
      <c r="K91" s="1572"/>
      <c r="L91" s="1572"/>
      <c r="M91" s="1572"/>
      <c r="N91" s="1572"/>
    </row>
    <row r="92" spans="1:37">
      <c r="A92" s="3764"/>
      <c r="B92" s="3764"/>
      <c r="C92" s="2604" t="s">
        <v>165</v>
      </c>
      <c r="D92" s="2604" t="s">
        <v>166</v>
      </c>
      <c r="E92" s="2604" t="s">
        <v>161</v>
      </c>
      <c r="F92" s="2604" t="s">
        <v>162</v>
      </c>
      <c r="G92" s="2604" t="s">
        <v>163</v>
      </c>
      <c r="H92" s="2604" t="s">
        <v>164</v>
      </c>
      <c r="I92" s="2604" t="s">
        <v>1179</v>
      </c>
      <c r="J92" s="2604" t="s">
        <v>1180</v>
      </c>
      <c r="K92" s="2604" t="s">
        <v>1181</v>
      </c>
      <c r="L92" s="2604" t="s">
        <v>1182</v>
      </c>
      <c r="M92" s="2604" t="s">
        <v>1183</v>
      </c>
      <c r="N92" s="2604" t="s">
        <v>1184</v>
      </c>
    </row>
    <row r="93" spans="1:37">
      <c r="A93" s="3765" t="s">
        <v>1765</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66"/>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66"/>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66"/>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66"/>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66"/>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66"/>
      <c r="B99" s="1585" t="s">
        <v>1766</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67"/>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65" t="s">
        <v>1767</v>
      </c>
      <c r="B101" s="1589" t="s">
        <v>93</v>
      </c>
      <c r="C101" s="1590" t="e">
        <f>$G$3</f>
        <v>#DIV/0!</v>
      </c>
      <c r="D101" s="1590" t="e">
        <f t="shared" ref="D101:N101" si="31">$G$3</f>
        <v>#DIV/0!</v>
      </c>
      <c r="E101" s="1590" t="e">
        <f t="shared" si="31"/>
        <v>#DIV/0!</v>
      </c>
      <c r="F101" s="1590" t="e">
        <f t="shared" si="31"/>
        <v>#DIV/0!</v>
      </c>
      <c r="G101" s="1590" t="e">
        <f t="shared" si="31"/>
        <v>#DIV/0!</v>
      </c>
      <c r="H101" s="1590" t="e">
        <f t="shared" si="31"/>
        <v>#DIV/0!</v>
      </c>
      <c r="I101" s="1590" t="e">
        <f t="shared" si="31"/>
        <v>#DIV/0!</v>
      </c>
      <c r="J101" s="1590" t="e">
        <f t="shared" si="31"/>
        <v>#DIV/0!</v>
      </c>
      <c r="K101" s="1590" t="e">
        <f t="shared" si="31"/>
        <v>#DIV/0!</v>
      </c>
      <c r="L101" s="1590" t="e">
        <f t="shared" si="31"/>
        <v>#DIV/0!</v>
      </c>
      <c r="M101" s="1590" t="e">
        <f t="shared" si="31"/>
        <v>#DIV/0!</v>
      </c>
      <c r="N101" s="1590" t="e">
        <f t="shared" si="31"/>
        <v>#DIV/0!</v>
      </c>
    </row>
    <row r="102" spans="1:14">
      <c r="A102" s="3766"/>
      <c r="B102" s="1585">
        <v>1</v>
      </c>
      <c r="C102" s="1586" t="e">
        <f>1.9362/C101</f>
        <v>#DIV/0!</v>
      </c>
      <c r="D102" s="1586" t="e">
        <f>1.9362/D101</f>
        <v>#DIV/0!</v>
      </c>
      <c r="E102" s="1586" t="e">
        <f>1.8629/E101</f>
        <v>#DIV/0!</v>
      </c>
      <c r="F102" s="1586" t="e">
        <f>1.8629/F101</f>
        <v>#DIV/0!</v>
      </c>
      <c r="G102" s="1586" t="e">
        <f>1.8629/G101</f>
        <v>#DIV/0!</v>
      </c>
      <c r="H102" s="1586" t="e">
        <f>1.8629/H101</f>
        <v>#DIV/0!</v>
      </c>
      <c r="I102" s="1586" t="e">
        <f>1.8629/I101</f>
        <v>#DIV/0!</v>
      </c>
      <c r="J102" s="1586" t="e">
        <f>1.942/J101</f>
        <v>#DIV/0!</v>
      </c>
      <c r="K102" s="1586" t="e">
        <f>1.942/K101</f>
        <v>#DIV/0!</v>
      </c>
      <c r="L102" s="1586" t="e">
        <f>1.942/L101</f>
        <v>#DIV/0!</v>
      </c>
      <c r="M102" s="1586" t="e">
        <f>1.942/M101</f>
        <v>#DIV/0!</v>
      </c>
      <c r="N102" s="1586" t="e">
        <f>1.942/N101</f>
        <v>#DIV/0!</v>
      </c>
    </row>
    <row r="103" spans="1:14">
      <c r="A103" s="3766"/>
      <c r="B103" s="1585">
        <v>2</v>
      </c>
      <c r="C103" s="1586" t="e">
        <f>1.4198/C101</f>
        <v>#DIV/0!</v>
      </c>
      <c r="D103" s="1586" t="e">
        <f>1.4198/D101</f>
        <v>#DIV/0!</v>
      </c>
      <c r="E103" s="1586" t="e">
        <f>1.3372/E101</f>
        <v>#DIV/0!</v>
      </c>
      <c r="F103" s="1586" t="e">
        <f>1.3372/F101</f>
        <v>#DIV/0!</v>
      </c>
      <c r="G103" s="1586" t="e">
        <f>1.3372/G101</f>
        <v>#DIV/0!</v>
      </c>
      <c r="H103" s="1586" t="e">
        <f>1.3372/H101</f>
        <v>#DIV/0!</v>
      </c>
      <c r="I103" s="1586" t="e">
        <f>1.3372/I101</f>
        <v>#DIV/0!</v>
      </c>
      <c r="J103" s="1586" t="e">
        <f>1.2799/J101</f>
        <v>#DIV/0!</v>
      </c>
      <c r="K103" s="1586" t="e">
        <f>1.2799/K101</f>
        <v>#DIV/0!</v>
      </c>
      <c r="L103" s="1586" t="e">
        <f>1.2799/L101</f>
        <v>#DIV/0!</v>
      </c>
      <c r="M103" s="1586" t="e">
        <f>1.2799/M101</f>
        <v>#DIV/0!</v>
      </c>
      <c r="N103" s="1586" t="e">
        <f>1.2799/N101</f>
        <v>#DIV/0!</v>
      </c>
    </row>
    <row r="104" spans="1:14">
      <c r="A104" s="3766"/>
      <c r="B104" s="1585">
        <v>3</v>
      </c>
      <c r="C104" s="1586" t="e">
        <f>1.1594/C101</f>
        <v>#DIV/0!</v>
      </c>
      <c r="D104" s="1586" t="e">
        <f>1.1594/D101</f>
        <v>#DIV/0!</v>
      </c>
      <c r="E104" s="1586" t="e">
        <f>1.0788/E101</f>
        <v>#DIV/0!</v>
      </c>
      <c r="F104" s="1586" t="e">
        <f>1.0788/F101</f>
        <v>#DIV/0!</v>
      </c>
      <c r="G104" s="1586" t="e">
        <f>1.0788/G101</f>
        <v>#DIV/0!</v>
      </c>
      <c r="H104" s="1586" t="e">
        <f>1.0788/H101</f>
        <v>#DIV/0!</v>
      </c>
      <c r="I104" s="1586" t="e">
        <f>1.0788/I101</f>
        <v>#DIV/0!</v>
      </c>
      <c r="J104" s="1586" t="e">
        <f>1.0072/J101</f>
        <v>#DIV/0!</v>
      </c>
      <c r="K104" s="1586" t="e">
        <f>1.0072/K101</f>
        <v>#DIV/0!</v>
      </c>
      <c r="L104" s="1586" t="e">
        <f>1.0072/L101</f>
        <v>#DIV/0!</v>
      </c>
      <c r="M104" s="1586" t="e">
        <f>1.0072/M101</f>
        <v>#DIV/0!</v>
      </c>
      <c r="N104" s="1586" t="e">
        <f>1.0072/N101</f>
        <v>#DIV/0!</v>
      </c>
    </row>
    <row r="105" spans="1:14">
      <c r="A105" s="3766"/>
      <c r="B105" s="1585">
        <v>4</v>
      </c>
      <c r="C105" s="1586" t="e">
        <f>0.9622/C101</f>
        <v>#DIV/0!</v>
      </c>
      <c r="D105" s="1586" t="e">
        <f>0.9622/D101</f>
        <v>#DIV/0!</v>
      </c>
      <c r="E105" s="1586" t="e">
        <f>0.8656/E101</f>
        <v>#DIV/0!</v>
      </c>
      <c r="F105" s="1586" t="e">
        <f>0.8656/F101</f>
        <v>#DIV/0!</v>
      </c>
      <c r="G105" s="1586" t="e">
        <f>0.8656/G101</f>
        <v>#DIV/0!</v>
      </c>
      <c r="H105" s="1586" t="e">
        <f>0.8656/H101</f>
        <v>#DIV/0!</v>
      </c>
      <c r="I105" s="1586" t="e">
        <f>0.8656/I101</f>
        <v>#DIV/0!</v>
      </c>
      <c r="J105" s="1586" t="e">
        <f>0.7525/J101</f>
        <v>#DIV/0!</v>
      </c>
      <c r="K105" s="1586" t="e">
        <f>0.7525/K101</f>
        <v>#DIV/0!</v>
      </c>
      <c r="L105" s="1586" t="e">
        <f>0.7525/L101</f>
        <v>#DIV/0!</v>
      </c>
      <c r="M105" s="1586" t="e">
        <f>0.7525/M101</f>
        <v>#DIV/0!</v>
      </c>
      <c r="N105" s="1586" t="e">
        <f>0.7525/N101</f>
        <v>#DIV/0!</v>
      </c>
    </row>
    <row r="106" spans="1:14">
      <c r="A106" s="3766"/>
      <c r="B106" s="1585">
        <v>5</v>
      </c>
      <c r="C106" s="1586" t="e">
        <f>0.8417/C101</f>
        <v>#DIV/0!</v>
      </c>
      <c r="D106" s="1586" t="e">
        <f>0.8417/D101</f>
        <v>#DIV/0!</v>
      </c>
      <c r="E106" s="1586" t="e">
        <f>0.7371/E101</f>
        <v>#DIV/0!</v>
      </c>
      <c r="F106" s="1586" t="e">
        <f>0.7371/F101</f>
        <v>#DIV/0!</v>
      </c>
      <c r="G106" s="1586" t="e">
        <f>0.7371/G101</f>
        <v>#DIV/0!</v>
      </c>
      <c r="H106" s="1586" t="e">
        <f>0.7371/H101</f>
        <v>#DIV/0!</v>
      </c>
      <c r="I106" s="1586" t="e">
        <f>0.7371/I101</f>
        <v>#DIV/0!</v>
      </c>
      <c r="J106" s="1586" t="e">
        <f>0.5659/J101</f>
        <v>#DIV/0!</v>
      </c>
      <c r="K106" s="1586" t="e">
        <f>0.5659/K101</f>
        <v>#DIV/0!</v>
      </c>
      <c r="L106" s="1586" t="e">
        <f>0.5659/L101</f>
        <v>#DIV/0!</v>
      </c>
      <c r="M106" s="1586" t="e">
        <f>0.5659/M101</f>
        <v>#DIV/0!</v>
      </c>
      <c r="N106" s="1586" t="e">
        <f>0.5659/N101</f>
        <v>#DIV/0!</v>
      </c>
    </row>
    <row r="107" spans="1:14">
      <c r="A107" s="3766"/>
      <c r="B107" s="1585">
        <v>6</v>
      </c>
      <c r="C107" s="1586" t="e">
        <f>0.7608/C101</f>
        <v>#DIV/0!</v>
      </c>
      <c r="D107" s="1586" t="e">
        <f>0.7608/D101</f>
        <v>#DIV/0!</v>
      </c>
      <c r="E107" s="1586" t="e">
        <f>0.6482/E101</f>
        <v>#DIV/0!</v>
      </c>
      <c r="F107" s="1586" t="e">
        <f>0.6482/F101</f>
        <v>#DIV/0!</v>
      </c>
      <c r="G107" s="1586" t="e">
        <f>0.6482/G101</f>
        <v>#DIV/0!</v>
      </c>
      <c r="H107" s="1586" t="e">
        <f>0.6482/H101</f>
        <v>#DIV/0!</v>
      </c>
      <c r="I107" s="1586" t="e">
        <f>0.6482/I101</f>
        <v>#DIV/0!</v>
      </c>
      <c r="J107" s="1586" t="e">
        <f>0.4525/J101</f>
        <v>#DIV/0!</v>
      </c>
      <c r="K107" s="1586" t="e">
        <f>0.4525/K101</f>
        <v>#DIV/0!</v>
      </c>
      <c r="L107" s="1586" t="e">
        <f>0.4525/L101</f>
        <v>#DIV/0!</v>
      </c>
      <c r="M107" s="1586" t="e">
        <f>0.4525/M101</f>
        <v>#DIV/0!</v>
      </c>
      <c r="N107" s="1586" t="e">
        <f>0.4525/N101</f>
        <v>#DIV/0!</v>
      </c>
    </row>
    <row r="108" spans="1:14">
      <c r="A108" s="3766"/>
      <c r="B108" s="3768" t="s">
        <v>1769</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67"/>
      <c r="B109" s="3769"/>
      <c r="C109" s="1588" t="e">
        <f>(-0.163*(C108^2)-0.59*C108+7617)*(10^(-4))/C101</f>
        <v>#DIV/0!</v>
      </c>
      <c r="D109" s="1588" t="e">
        <f>(-0.163*(D108^2)-0.59*D108+7617)*(10^(-4))/D101</f>
        <v>#DIV/0!</v>
      </c>
      <c r="E109" s="1588" t="e">
        <f>(-0.161*(E108^2)-7.509*E108+6533)*(10^(-4))/E101</f>
        <v>#DIV/0!</v>
      </c>
      <c r="F109" s="1588" t="e">
        <f>(-0.161*(F108^2)-7.509*F108+6533)*(10^(-4))/F101</f>
        <v>#DIV/0!</v>
      </c>
      <c r="G109" s="1588" t="e">
        <f>(-0.161*(G108^2)-7.509*G108+6533)*(10^(-4))/G101</f>
        <v>#DIV/0!</v>
      </c>
      <c r="H109" s="1588" t="e">
        <f>(-0.161*(H108^2)-7.509*H108+6533)*(10^(-4))/H101</f>
        <v>#DIV/0!</v>
      </c>
      <c r="I109" s="1588" t="e">
        <f>(-0.161*(I108^2)-7.509*I108+6533)*(10^(-4))/I101</f>
        <v>#DIV/0!</v>
      </c>
      <c r="J109" s="1588" t="e">
        <f>(-0.214*(J108^2)-21.991*J108+4665)*(10^(-4))/J101</f>
        <v>#DIV/0!</v>
      </c>
      <c r="K109" s="1588" t="e">
        <f>(-0.214*(K108^2)-21.991*K108+4665)*(10^(-4))/K101</f>
        <v>#DIV/0!</v>
      </c>
      <c r="L109" s="1588" t="e">
        <f>(-0.214*(L108^2)-21.991*L108+4665)*(10^(-4))/L101</f>
        <v>#DIV/0!</v>
      </c>
      <c r="M109" s="1588" t="e">
        <f>(-0.214*(M108^2)-21.991*M108+4665)*(10^(-4))/M101</f>
        <v>#DIV/0!</v>
      </c>
      <c r="N109" s="1588" t="e">
        <f>(-0.214*(N108^2)-21.991*N108+4665)*(10^(-4))/N101</f>
        <v>#DIV/0!</v>
      </c>
    </row>
    <row r="110" spans="1:14">
      <c r="A110" s="3763" t="s">
        <v>1770</v>
      </c>
      <c r="B110" s="3763"/>
      <c r="C110" s="3763"/>
      <c r="D110" s="3763"/>
      <c r="E110" s="3763"/>
      <c r="F110" s="3763"/>
      <c r="G110" s="3763"/>
      <c r="H110" s="3763"/>
      <c r="I110" s="3763"/>
      <c r="J110" s="3763"/>
      <c r="K110" s="2603"/>
      <c r="L110" s="2603"/>
      <c r="M110" s="2603"/>
      <c r="N110" s="2603"/>
    </row>
    <row r="112" spans="1:14" ht="12.75" thickBot="1"/>
    <row r="113" spans="1:13" ht="25.5" thickBot="1">
      <c r="A113" s="1598" t="s">
        <v>1772</v>
      </c>
      <c r="B113" s="2606" t="e">
        <f>G3</f>
        <v>#DIV/0!</v>
      </c>
      <c r="C113" s="1599" t="s">
        <v>1773</v>
      </c>
      <c r="D113" s="1600" t="e">
        <f>SUMPRODUCT((A115:A118=F113)*(B114:M114=H113)*B115:M118)</f>
        <v>#DIV/0!</v>
      </c>
      <c r="E113" s="1601" t="s">
        <v>68</v>
      </c>
      <c r="F113" s="1602">
        <f>E2</f>
        <v>0</v>
      </c>
      <c r="G113" s="1601" t="s">
        <v>1562</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1179</v>
      </c>
      <c r="I114" s="1608" t="s">
        <v>1180</v>
      </c>
      <c r="J114" s="1609" t="s">
        <v>1181</v>
      </c>
      <c r="K114" s="1609" t="s">
        <v>1182</v>
      </c>
      <c r="L114" s="1609" t="s">
        <v>1183</v>
      </c>
      <c r="M114" s="1610" t="s">
        <v>1184</v>
      </c>
    </row>
    <row r="115" spans="1:13" ht="12.75">
      <c r="A115" s="1611" t="s">
        <v>1774</v>
      </c>
      <c r="B115" s="1612" t="e">
        <f>ROUND(0.9335-0.0094*B113,4)</f>
        <v>#DIV/0!</v>
      </c>
      <c r="C115" s="1612" t="e">
        <f>B115</f>
        <v>#DIV/0!</v>
      </c>
      <c r="D115" s="1612" t="e">
        <f>ROUND(0.8331-0.0109*B113,4)</f>
        <v>#DIV/0!</v>
      </c>
      <c r="E115" s="1612" t="e">
        <f>D115</f>
        <v>#DIV/0!</v>
      </c>
      <c r="F115" s="1612" t="e">
        <f>E115</f>
        <v>#DIV/0!</v>
      </c>
      <c r="G115" s="1612" t="e">
        <f>F115</f>
        <v>#DIV/0!</v>
      </c>
      <c r="H115" s="1612" t="e">
        <f>G115</f>
        <v>#DIV/0!</v>
      </c>
      <c r="I115" s="1612" t="e">
        <f>ROUND(0.689-0.0155*B113,4)</f>
        <v>#DIV/0!</v>
      </c>
      <c r="J115" s="1612" t="e">
        <f t="shared" ref="J115:M118" si="33">I115</f>
        <v>#DIV/0!</v>
      </c>
      <c r="K115" s="1612" t="e">
        <f t="shared" si="33"/>
        <v>#DIV/0!</v>
      </c>
      <c r="L115" s="1612" t="e">
        <f t="shared" si="33"/>
        <v>#DIV/0!</v>
      </c>
      <c r="M115" s="1613" t="e">
        <f t="shared" si="33"/>
        <v>#DIV/0!</v>
      </c>
    </row>
    <row r="116" spans="1:13" ht="12.75">
      <c r="A116" s="1611" t="s">
        <v>1775</v>
      </c>
      <c r="B116" s="1612" t="e">
        <f>ROUND(0.949-0.012*B113,4)</f>
        <v>#DIV/0!</v>
      </c>
      <c r="C116" s="1612" t="e">
        <f>B116</f>
        <v>#DIV/0!</v>
      </c>
      <c r="D116" s="1612" t="e">
        <f>ROUND(0.8567-0.013*B113,4)</f>
        <v>#DIV/0!</v>
      </c>
      <c r="E116" s="1612" t="e">
        <f t="shared" ref="E116:H117" si="34">D116</f>
        <v>#DIV/0!</v>
      </c>
      <c r="F116" s="1612" t="e">
        <f t="shared" si="34"/>
        <v>#DIV/0!</v>
      </c>
      <c r="G116" s="1612" t="e">
        <f t="shared" si="34"/>
        <v>#DIV/0!</v>
      </c>
      <c r="H116" s="1612" t="e">
        <f t="shared" si="34"/>
        <v>#DIV/0!</v>
      </c>
      <c r="I116" s="1612" t="e">
        <f>ROUND(0.7694-0.014*B113,4)</f>
        <v>#DIV/0!</v>
      </c>
      <c r="J116" s="1612" t="e">
        <f t="shared" si="33"/>
        <v>#DIV/0!</v>
      </c>
      <c r="K116" s="1612" t="e">
        <f t="shared" si="33"/>
        <v>#DIV/0!</v>
      </c>
      <c r="L116" s="1612" t="e">
        <f t="shared" si="33"/>
        <v>#DIV/0!</v>
      </c>
      <c r="M116" s="1613" t="e">
        <f t="shared" si="33"/>
        <v>#DIV/0!</v>
      </c>
    </row>
    <row r="117" spans="1:13" ht="12.75">
      <c r="A117" s="1614" t="s">
        <v>979</v>
      </c>
      <c r="B117" s="1612" t="e">
        <f>ROUND(0.8808-0.006*B113,4)</f>
        <v>#DIV/0!</v>
      </c>
      <c r="C117" s="1612" t="e">
        <f>B117</f>
        <v>#DIV/0!</v>
      </c>
      <c r="D117" s="1612" t="e">
        <f>ROUND(0.8748-0.008*B113,4)</f>
        <v>#DIV/0!</v>
      </c>
      <c r="E117" s="1612" t="e">
        <f t="shared" si="34"/>
        <v>#DIV/0!</v>
      </c>
      <c r="F117" s="1612" t="e">
        <f t="shared" si="34"/>
        <v>#DIV/0!</v>
      </c>
      <c r="G117" s="1612" t="e">
        <f t="shared" si="34"/>
        <v>#DIV/0!</v>
      </c>
      <c r="H117" s="1612" t="e">
        <f t="shared" si="34"/>
        <v>#DIV/0!</v>
      </c>
      <c r="I117" s="1612" t="e">
        <f>ROUND(0.7412-0.0095*B113,4)</f>
        <v>#DIV/0!</v>
      </c>
      <c r="J117" s="1612" t="e">
        <f t="shared" si="33"/>
        <v>#DIV/0!</v>
      </c>
      <c r="K117" s="1612" t="e">
        <f t="shared" si="33"/>
        <v>#DIV/0!</v>
      </c>
      <c r="L117" s="1612" t="e">
        <f t="shared" si="33"/>
        <v>#DIV/0!</v>
      </c>
      <c r="M117" s="1613" t="e">
        <f t="shared" si="33"/>
        <v>#DIV/0!</v>
      </c>
    </row>
    <row r="118" spans="1:13" ht="13.5" thickBot="1">
      <c r="A118" s="1122" t="s">
        <v>1776</v>
      </c>
      <c r="B118" s="1615" t="e">
        <f>ROUND(0.7275-0.01*B113,4)</f>
        <v>#DIV/0!</v>
      </c>
      <c r="C118" s="1615" t="e">
        <f>B118</f>
        <v>#DIV/0!</v>
      </c>
      <c r="D118" s="1615" t="e">
        <f>ROUND(0.7043-0.012*B113,4)</f>
        <v>#DIV/0!</v>
      </c>
      <c r="E118" s="1615" t="e">
        <f>D118</f>
        <v>#DIV/0!</v>
      </c>
      <c r="F118" s="1615" t="e">
        <f>E118</f>
        <v>#DIV/0!</v>
      </c>
      <c r="G118" s="1615" t="e">
        <f>ROUND(0.6299-0.0122*B113,4)</f>
        <v>#DIV/0!</v>
      </c>
      <c r="H118" s="1615" t="e">
        <f>G118</f>
        <v>#DIV/0!</v>
      </c>
      <c r="I118" s="1615" t="e">
        <f>ROUND(0.5667-0.0136*B113,4)</f>
        <v>#DIV/0!</v>
      </c>
      <c r="J118" s="1615" t="e">
        <f t="shared" si="33"/>
        <v>#DIV/0!</v>
      </c>
      <c r="K118" s="1615" t="e">
        <f t="shared" si="33"/>
        <v>#DIV/0!</v>
      </c>
      <c r="L118" s="1615" t="e">
        <f t="shared" si="33"/>
        <v>#DIV/0!</v>
      </c>
      <c r="M118" s="1616" t="e">
        <f t="shared" si="33"/>
        <v>#DIV/0!</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1562</v>
      </c>
      <c r="B1" s="1517" t="s">
        <v>1173</v>
      </c>
      <c r="C1" s="1517" t="s">
        <v>1174</v>
      </c>
      <c r="D1" s="1517" t="s">
        <v>1175</v>
      </c>
      <c r="E1" s="1517" t="s">
        <v>1176</v>
      </c>
      <c r="F1" s="1517" t="s">
        <v>1177</v>
      </c>
      <c r="G1" s="1517" t="s">
        <v>1178</v>
      </c>
      <c r="H1" s="1517" t="s">
        <v>1179</v>
      </c>
      <c r="I1" s="1517" t="s">
        <v>1180</v>
      </c>
      <c r="J1" s="1517" t="s">
        <v>1181</v>
      </c>
      <c r="K1" s="1517" t="s">
        <v>1182</v>
      </c>
      <c r="L1" s="1517" t="s">
        <v>1183</v>
      </c>
      <c r="M1" s="1518" t="s">
        <v>1184</v>
      </c>
    </row>
    <row r="2" spans="1:13" ht="19.5" customHeight="1">
      <c r="A2" s="1543" t="s">
        <v>1199</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1200</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1849</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1202</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1563</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1564</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1565</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1566</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1567</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1568</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1569</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1570</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1571</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1572</v>
      </c>
      <c r="B16" s="1562"/>
      <c r="C16" s="1563"/>
      <c r="D16" s="1563"/>
      <c r="E16" s="1562"/>
      <c r="F16" s="1563"/>
      <c r="G16" s="1563"/>
    </row>
    <row r="17" spans="1:9" ht="19.5" customHeight="1">
      <c r="A17" s="1494" t="s">
        <v>1573</v>
      </c>
      <c r="B17" s="1565" t="s">
        <v>1574</v>
      </c>
      <c r="C17" s="1747" t="s">
        <v>1872</v>
      </c>
      <c r="D17" s="1566"/>
      <c r="E17" s="1494" t="s">
        <v>1575</v>
      </c>
      <c r="F17" s="1567"/>
      <c r="G17" s="1567"/>
    </row>
    <row r="18" spans="1:9" s="1573" customFormat="1" ht="19.5" customHeight="1">
      <c r="A18" s="3764" t="s">
        <v>1199</v>
      </c>
      <c r="B18" s="1568" t="s">
        <v>1576</v>
      </c>
      <c r="C18" s="1569" t="s">
        <v>1577</v>
      </c>
      <c r="D18" s="1570"/>
      <c r="E18" s="1568">
        <v>1</v>
      </c>
      <c r="F18" s="1571" t="s">
        <v>1578</v>
      </c>
      <c r="G18" s="1572"/>
      <c r="H18" s="1564"/>
      <c r="I18" s="1564"/>
    </row>
    <row r="19" spans="1:9" s="1573" customFormat="1" ht="19.5" customHeight="1">
      <c r="A19" s="3764"/>
      <c r="B19" s="3764" t="s">
        <v>1579</v>
      </c>
      <c r="C19" s="1569" t="s">
        <v>1580</v>
      </c>
      <c r="D19" s="1570"/>
      <c r="E19" s="1568">
        <v>0.9</v>
      </c>
      <c r="F19" s="1571" t="s">
        <v>1581</v>
      </c>
      <c r="G19" s="1572"/>
      <c r="H19" s="1564"/>
      <c r="I19" s="1564"/>
    </row>
    <row r="20" spans="1:9" s="1573" customFormat="1" ht="19.5" customHeight="1">
      <c r="A20" s="3764"/>
      <c r="B20" s="3764"/>
      <c r="C20" s="1569" t="s">
        <v>1582</v>
      </c>
      <c r="D20" s="1570"/>
      <c r="E20" s="1568">
        <v>1.1000000000000001</v>
      </c>
      <c r="F20" s="1571" t="s">
        <v>1583</v>
      </c>
      <c r="G20" s="1572"/>
      <c r="H20" s="1564"/>
      <c r="I20" s="1564"/>
    </row>
    <row r="21" spans="1:9" s="1573" customFormat="1" ht="19.5" customHeight="1">
      <c r="A21" s="3764"/>
      <c r="B21" s="3764"/>
      <c r="C21" s="1569" t="s">
        <v>1584</v>
      </c>
      <c r="D21" s="1570"/>
      <c r="E21" s="1568">
        <v>0.8</v>
      </c>
      <c r="F21" s="1571" t="s">
        <v>1585</v>
      </c>
      <c r="G21" s="1572"/>
      <c r="H21" s="1564"/>
      <c r="I21" s="1564"/>
    </row>
    <row r="22" spans="1:9" s="1573" customFormat="1" ht="19.5" customHeight="1">
      <c r="A22" s="3764"/>
      <c r="B22" s="3764"/>
      <c r="C22" s="1569" t="s">
        <v>1586</v>
      </c>
      <c r="D22" s="1570"/>
      <c r="E22" s="1568">
        <v>0.5</v>
      </c>
      <c r="F22" s="1571"/>
      <c r="G22" s="1572"/>
      <c r="H22" s="1564"/>
      <c r="I22" s="1564"/>
    </row>
    <row r="23" spans="1:9" s="1573" customFormat="1" ht="19.5" customHeight="1">
      <c r="A23" s="3764" t="s">
        <v>1200</v>
      </c>
      <c r="B23" s="1568" t="s">
        <v>1576</v>
      </c>
      <c r="C23" s="1569" t="s">
        <v>1587</v>
      </c>
      <c r="D23" s="1570"/>
      <c r="E23" s="1568">
        <v>1</v>
      </c>
      <c r="F23" s="1571" t="s">
        <v>1588</v>
      </c>
      <c r="G23" s="1572"/>
      <c r="H23" s="1564"/>
      <c r="I23" s="1564"/>
    </row>
    <row r="24" spans="1:9" s="1573" customFormat="1" ht="19.5" customHeight="1">
      <c r="A24" s="3764"/>
      <c r="B24" s="3764" t="s">
        <v>1579</v>
      </c>
      <c r="C24" s="1569" t="s">
        <v>1589</v>
      </c>
      <c r="D24" s="1570"/>
      <c r="E24" s="1568">
        <v>0.5</v>
      </c>
      <c r="F24" s="1571"/>
      <c r="G24" s="1572"/>
      <c r="H24" s="1564"/>
      <c r="I24" s="1564"/>
    </row>
    <row r="25" spans="1:9" s="1573" customFormat="1" ht="19.5" customHeight="1">
      <c r="A25" s="3764"/>
      <c r="B25" s="3764"/>
      <c r="C25" s="1569" t="s">
        <v>1590</v>
      </c>
      <c r="D25" s="1570"/>
      <c r="E25" s="1568">
        <v>1.1000000000000001</v>
      </c>
      <c r="F25" s="1571"/>
      <c r="G25" s="1572"/>
      <c r="H25" s="1564"/>
      <c r="I25" s="1564"/>
    </row>
    <row r="26" spans="1:9" s="1573" customFormat="1" ht="19.5" customHeight="1">
      <c r="A26" s="3764"/>
      <c r="B26" s="3764"/>
      <c r="C26" s="1569" t="s">
        <v>1591</v>
      </c>
      <c r="D26" s="1570"/>
      <c r="E26" s="1568">
        <v>1.1000000000000001</v>
      </c>
      <c r="F26" s="1571"/>
      <c r="G26" s="1572"/>
      <c r="H26" s="1564"/>
      <c r="I26" s="1564"/>
    </row>
    <row r="27" spans="1:9" s="1573" customFormat="1" ht="19.5" customHeight="1">
      <c r="A27" s="3764"/>
      <c r="B27" s="3764"/>
      <c r="C27" s="1569" t="s">
        <v>1592</v>
      </c>
      <c r="D27" s="1570"/>
      <c r="E27" s="1568">
        <v>0.9</v>
      </c>
      <c r="F27" s="1571" t="s">
        <v>1593</v>
      </c>
      <c r="G27" s="1572"/>
      <c r="H27" s="1564"/>
      <c r="I27" s="1564"/>
    </row>
    <row r="28" spans="1:9" s="1573" customFormat="1" ht="19.5" customHeight="1">
      <c r="A28" s="3764"/>
      <c r="B28" s="3764"/>
      <c r="C28" s="1569" t="s">
        <v>1594</v>
      </c>
      <c r="D28" s="1570"/>
      <c r="E28" s="1568">
        <v>0.9</v>
      </c>
      <c r="F28" s="1571" t="s">
        <v>1595</v>
      </c>
      <c r="G28" s="1572"/>
      <c r="H28" s="1564"/>
      <c r="I28" s="1564"/>
    </row>
    <row r="29" spans="1:9" s="1573" customFormat="1" ht="19.5" customHeight="1">
      <c r="A29" s="3764"/>
      <c r="B29" s="3764"/>
      <c r="C29" s="1569" t="s">
        <v>1596</v>
      </c>
      <c r="D29" s="1570"/>
      <c r="E29" s="1568">
        <v>0.9</v>
      </c>
      <c r="F29" s="1571" t="s">
        <v>1597</v>
      </c>
      <c r="G29" s="1572"/>
      <c r="H29" s="1564"/>
      <c r="I29" s="1564"/>
    </row>
    <row r="30" spans="1:9" s="1573" customFormat="1" ht="19.5" customHeight="1">
      <c r="A30" s="3764"/>
      <c r="B30" s="3764"/>
      <c r="C30" s="1569" t="s">
        <v>1598</v>
      </c>
      <c r="D30" s="1570"/>
      <c r="E30" s="1568">
        <v>0.9</v>
      </c>
      <c r="F30" s="1571" t="s">
        <v>1599</v>
      </c>
      <c r="G30" s="1572"/>
      <c r="H30" s="1564"/>
      <c r="I30" s="1564"/>
    </row>
    <row r="31" spans="1:9" s="1573" customFormat="1" ht="19.5" customHeight="1">
      <c r="A31" s="3764"/>
      <c r="B31" s="3764"/>
      <c r="C31" s="1569" t="s">
        <v>1600</v>
      </c>
      <c r="D31" s="1570"/>
      <c r="E31" s="1568">
        <v>0.8</v>
      </c>
      <c r="F31" s="1571" t="s">
        <v>1601</v>
      </c>
      <c r="G31" s="1572"/>
      <c r="H31" s="1564"/>
      <c r="I31" s="1564"/>
    </row>
    <row r="32" spans="1:9" s="1573" customFormat="1" ht="19.5" customHeight="1">
      <c r="A32" s="3764"/>
      <c r="B32" s="3764"/>
      <c r="C32" s="1569" t="s">
        <v>1602</v>
      </c>
      <c r="D32" s="1570"/>
      <c r="E32" s="1568">
        <v>0.8</v>
      </c>
      <c r="F32" s="1571" t="s">
        <v>1603</v>
      </c>
      <c r="G32" s="1572"/>
      <c r="H32" s="1564"/>
      <c r="I32" s="1564"/>
    </row>
    <row r="33" spans="1:9" s="1573" customFormat="1" ht="19.5" customHeight="1">
      <c r="A33" s="3764" t="s">
        <v>1201</v>
      </c>
      <c r="B33" s="1568" t="s">
        <v>1576</v>
      </c>
      <c r="C33" s="1569" t="s">
        <v>1604</v>
      </c>
      <c r="D33" s="1570"/>
      <c r="E33" s="1568">
        <v>1</v>
      </c>
      <c r="F33" s="1571" t="s">
        <v>1605</v>
      </c>
      <c r="G33" s="1572"/>
      <c r="H33" s="1564"/>
      <c r="I33" s="1564"/>
    </row>
    <row r="34" spans="1:9" s="1573" customFormat="1" ht="19.5" customHeight="1">
      <c r="A34" s="3764"/>
      <c r="B34" s="1568" t="s">
        <v>1579</v>
      </c>
      <c r="C34" s="1569" t="s">
        <v>1606</v>
      </c>
      <c r="D34" s="1570"/>
      <c r="E34" s="1568">
        <v>1.5</v>
      </c>
      <c r="F34" s="1571" t="s">
        <v>1607</v>
      </c>
      <c r="G34" s="1572"/>
      <c r="H34" s="1564"/>
      <c r="I34" s="1564"/>
    </row>
    <row r="35" spans="1:9" s="1573" customFormat="1" ht="19.5" customHeight="1">
      <c r="A35" s="3764" t="s">
        <v>1202</v>
      </c>
      <c r="B35" s="1568" t="s">
        <v>1576</v>
      </c>
      <c r="C35" s="1569" t="s">
        <v>1608</v>
      </c>
      <c r="D35" s="1570"/>
      <c r="E35" s="1568">
        <v>1</v>
      </c>
      <c r="F35" s="1571" t="s">
        <v>1609</v>
      </c>
      <c r="G35" s="1572"/>
      <c r="H35" s="1564"/>
      <c r="I35" s="1564"/>
    </row>
    <row r="36" spans="1:9" s="1573" customFormat="1" ht="19.5" customHeight="1">
      <c r="A36" s="3764"/>
      <c r="B36" s="3764" t="s">
        <v>1579</v>
      </c>
      <c r="C36" s="1569" t="s">
        <v>1610</v>
      </c>
      <c r="D36" s="1570"/>
      <c r="E36" s="1568">
        <v>1</v>
      </c>
      <c r="F36" s="1571" t="s">
        <v>1611</v>
      </c>
      <c r="G36" s="1572"/>
      <c r="H36" s="1564"/>
      <c r="I36" s="1564"/>
    </row>
    <row r="37" spans="1:9" s="1573" customFormat="1" ht="19.5" customHeight="1">
      <c r="A37" s="3764"/>
      <c r="B37" s="3764"/>
      <c r="C37" s="1569" t="s">
        <v>1612</v>
      </c>
      <c r="D37" s="1570"/>
      <c r="E37" s="1568">
        <v>1.5</v>
      </c>
      <c r="F37" s="1571" t="s">
        <v>1613</v>
      </c>
      <c r="G37" s="1572"/>
      <c r="H37" s="1564"/>
      <c r="I37" s="1564"/>
    </row>
    <row r="38" spans="1:9" s="1573" customFormat="1" ht="19.5" customHeight="1">
      <c r="A38" s="3764"/>
      <c r="B38" s="3764"/>
      <c r="C38" s="1569" t="s">
        <v>1614</v>
      </c>
      <c r="D38" s="1570"/>
      <c r="E38" s="1568">
        <v>1</v>
      </c>
      <c r="F38" s="1571" t="s">
        <v>1615</v>
      </c>
      <c r="G38" s="1572"/>
      <c r="H38" s="1564"/>
      <c r="I38" s="1564"/>
    </row>
    <row r="39" spans="1:9" s="1573" customFormat="1" ht="19.5" customHeight="1">
      <c r="A39" s="3764"/>
      <c r="B39" s="3764"/>
      <c r="C39" s="1569" t="s">
        <v>1616</v>
      </c>
      <c r="D39" s="1570"/>
      <c r="E39" s="1568">
        <v>1</v>
      </c>
      <c r="F39" s="1571" t="s">
        <v>1617</v>
      </c>
      <c r="G39" s="1572"/>
      <c r="H39" s="1564"/>
      <c r="I39" s="1564"/>
    </row>
    <row r="40" spans="1:9" s="1573" customFormat="1" ht="19.5" customHeight="1">
      <c r="A40" s="1574" t="s">
        <v>1618</v>
      </c>
      <c r="B40" s="1574"/>
      <c r="C40" s="1574"/>
      <c r="D40" s="1574"/>
      <c r="E40" s="1574"/>
      <c r="F40" s="1575"/>
      <c r="G40" s="1575"/>
      <c r="H40" s="1564"/>
      <c r="I40" s="1564"/>
    </row>
    <row r="42" spans="1:9" ht="19.5" customHeight="1">
      <c r="A42" s="1576"/>
      <c r="B42" s="1494" t="s">
        <v>1619</v>
      </c>
      <c r="C42" s="1494" t="s">
        <v>1619</v>
      </c>
      <c r="D42" s="1494" t="s">
        <v>1619</v>
      </c>
      <c r="E42" s="1505" t="s">
        <v>1619</v>
      </c>
      <c r="F42" s="1505" t="s">
        <v>1619</v>
      </c>
      <c r="G42" s="1505" t="s">
        <v>1620</v>
      </c>
      <c r="H42" s="1505" t="s">
        <v>1619</v>
      </c>
    </row>
    <row r="43" spans="1:9" ht="19.5" customHeight="1">
      <c r="A43" s="1577"/>
      <c r="B43" s="1505" t="s">
        <v>1199</v>
      </c>
      <c r="C43" s="1505" t="s">
        <v>1199</v>
      </c>
      <c r="D43" s="1505" t="s">
        <v>1199</v>
      </c>
      <c r="E43" s="1505" t="s">
        <v>1199</v>
      </c>
      <c r="F43" s="1494" t="s">
        <v>1200</v>
      </c>
      <c r="G43" s="1494" t="s">
        <v>1202</v>
      </c>
      <c r="H43" s="1494" t="s">
        <v>1621</v>
      </c>
    </row>
    <row r="44" spans="1:9" ht="19.5" customHeight="1">
      <c r="A44" s="1578"/>
      <c r="B44" s="1494">
        <v>1</v>
      </c>
      <c r="C44" s="1494">
        <v>2</v>
      </c>
      <c r="D44" s="1494">
        <v>3</v>
      </c>
      <c r="E44" s="1505">
        <v>4</v>
      </c>
      <c r="F44" s="1566" t="s">
        <v>1622</v>
      </c>
      <c r="G44" s="1566" t="s">
        <v>1622</v>
      </c>
      <c r="H44" s="1566" t="s">
        <v>1622</v>
      </c>
    </row>
    <row r="45" spans="1:9" ht="19.5" customHeight="1">
      <c r="A45" s="1579" t="s">
        <v>1173</v>
      </c>
      <c r="B45" s="1494">
        <v>0.8</v>
      </c>
      <c r="C45" s="1494">
        <v>0.5</v>
      </c>
      <c r="D45" s="1494">
        <v>0.36</v>
      </c>
      <c r="E45" s="1494">
        <v>0.3</v>
      </c>
      <c r="F45" s="1566">
        <v>0.3</v>
      </c>
      <c r="G45" s="1494">
        <v>0.3</v>
      </c>
      <c r="H45" s="1494">
        <v>0.25</v>
      </c>
    </row>
    <row r="46" spans="1:9" ht="19.5" customHeight="1">
      <c r="A46" s="1579" t="s">
        <v>1174</v>
      </c>
      <c r="B46" s="1494">
        <v>0.8</v>
      </c>
      <c r="C46" s="1494">
        <v>0.5</v>
      </c>
      <c r="D46" s="1494">
        <v>0.36</v>
      </c>
      <c r="E46" s="1494">
        <v>0.3</v>
      </c>
      <c r="F46" s="1494">
        <v>0.3</v>
      </c>
      <c r="G46" s="1494">
        <v>0.3</v>
      </c>
      <c r="H46" s="1494">
        <v>0.25</v>
      </c>
    </row>
    <row r="47" spans="1:9" ht="19.5" customHeight="1">
      <c r="A47" s="1579" t="s">
        <v>1175</v>
      </c>
      <c r="B47" s="1494">
        <v>0.7</v>
      </c>
      <c r="C47" s="1494">
        <v>0.4</v>
      </c>
      <c r="D47" s="1494">
        <v>0.28000000000000003</v>
      </c>
      <c r="E47" s="1494">
        <v>0.25</v>
      </c>
      <c r="F47" s="1494">
        <v>0.25</v>
      </c>
      <c r="G47" s="1494">
        <v>0.25</v>
      </c>
      <c r="H47" s="1494">
        <v>0.2</v>
      </c>
    </row>
    <row r="48" spans="1:9" ht="19.5" customHeight="1">
      <c r="A48" s="1579" t="s">
        <v>1176</v>
      </c>
      <c r="B48" s="1494">
        <v>0.7</v>
      </c>
      <c r="C48" s="1494">
        <v>0.4</v>
      </c>
      <c r="D48" s="1494">
        <v>0.28000000000000003</v>
      </c>
      <c r="E48" s="1494">
        <v>0.25</v>
      </c>
      <c r="F48" s="1494">
        <v>0.25</v>
      </c>
      <c r="G48" s="1494">
        <v>0.25</v>
      </c>
      <c r="H48" s="1494">
        <v>0.2</v>
      </c>
    </row>
    <row r="49" spans="1:8" s="1564" customFormat="1" ht="19.5" customHeight="1">
      <c r="A49" s="1579" t="s">
        <v>1177</v>
      </c>
      <c r="B49" s="1494">
        <v>0.7</v>
      </c>
      <c r="C49" s="1494">
        <v>0.4</v>
      </c>
      <c r="D49" s="1494">
        <v>0.28000000000000003</v>
      </c>
      <c r="E49" s="1494">
        <v>0.25</v>
      </c>
      <c r="F49" s="1494">
        <v>0.25</v>
      </c>
      <c r="G49" s="1494">
        <v>0.25</v>
      </c>
      <c r="H49" s="1494">
        <v>0.2</v>
      </c>
    </row>
    <row r="50" spans="1:8" s="1564" customFormat="1" ht="19.5" customHeight="1">
      <c r="A50" s="1579" t="s">
        <v>1178</v>
      </c>
      <c r="B50" s="1494">
        <v>0.7</v>
      </c>
      <c r="C50" s="1494">
        <v>0.4</v>
      </c>
      <c r="D50" s="1494">
        <v>0.28000000000000003</v>
      </c>
      <c r="E50" s="1494">
        <v>0.25</v>
      </c>
      <c r="F50" s="1494">
        <v>0.25</v>
      </c>
      <c r="G50" s="1494">
        <v>0.25</v>
      </c>
      <c r="H50" s="1494">
        <v>0.2</v>
      </c>
    </row>
    <row r="51" spans="1:8" s="1564" customFormat="1" ht="19.5" customHeight="1">
      <c r="A51" s="1579" t="s">
        <v>1179</v>
      </c>
      <c r="B51" s="1494">
        <v>0.7</v>
      </c>
      <c r="C51" s="1494">
        <v>0.4</v>
      </c>
      <c r="D51" s="1494">
        <v>0.28000000000000003</v>
      </c>
      <c r="E51" s="1494">
        <v>0.25</v>
      </c>
      <c r="F51" s="1494">
        <v>0.25</v>
      </c>
      <c r="G51" s="1494">
        <v>0.25</v>
      </c>
      <c r="H51" s="1494">
        <v>0.2</v>
      </c>
    </row>
    <row r="52" spans="1:8" s="1564" customFormat="1" ht="19.5" customHeight="1">
      <c r="A52" s="1579" t="s">
        <v>1180</v>
      </c>
      <c r="B52" s="1494">
        <v>0.6</v>
      </c>
      <c r="C52" s="1494">
        <v>0.3</v>
      </c>
      <c r="D52" s="1494">
        <v>0.2</v>
      </c>
      <c r="E52" s="1494">
        <v>0.2</v>
      </c>
      <c r="F52" s="1494">
        <v>0.2</v>
      </c>
      <c r="G52" s="1494">
        <v>0.2</v>
      </c>
      <c r="H52" s="1494">
        <v>0.15</v>
      </c>
    </row>
    <row r="53" spans="1:8" s="1564" customFormat="1" ht="19.5" customHeight="1">
      <c r="A53" s="1579" t="s">
        <v>1181</v>
      </c>
      <c r="B53" s="1494">
        <v>0.6</v>
      </c>
      <c r="C53" s="1494">
        <v>0.3</v>
      </c>
      <c r="D53" s="1494">
        <v>0.2</v>
      </c>
      <c r="E53" s="1494">
        <v>0.2</v>
      </c>
      <c r="F53" s="1494">
        <v>0.2</v>
      </c>
      <c r="G53" s="1494">
        <v>0.2</v>
      </c>
      <c r="H53" s="1494">
        <v>0.15</v>
      </c>
    </row>
    <row r="54" spans="1:8" s="1564" customFormat="1" ht="19.5" customHeight="1">
      <c r="A54" s="1579" t="s">
        <v>1182</v>
      </c>
      <c r="B54" s="1494">
        <v>0.6</v>
      </c>
      <c r="C54" s="1494">
        <v>0.3</v>
      </c>
      <c r="D54" s="1494">
        <v>0.2</v>
      </c>
      <c r="E54" s="1494">
        <v>0.2</v>
      </c>
      <c r="F54" s="1494">
        <v>0.2</v>
      </c>
      <c r="G54" s="1494">
        <v>0.2</v>
      </c>
      <c r="H54" s="1494">
        <v>0.15</v>
      </c>
    </row>
    <row r="55" spans="1:8" s="1564" customFormat="1" ht="19.5" customHeight="1">
      <c r="A55" s="1579" t="s">
        <v>1183</v>
      </c>
      <c r="B55" s="1494">
        <v>0.6</v>
      </c>
      <c r="C55" s="1494">
        <v>0.3</v>
      </c>
      <c r="D55" s="1494">
        <v>0.2</v>
      </c>
      <c r="E55" s="1494">
        <v>0.2</v>
      </c>
      <c r="F55" s="1494">
        <v>0.2</v>
      </c>
      <c r="G55" s="1494">
        <v>0.2</v>
      </c>
      <c r="H55" s="1494">
        <v>0.15</v>
      </c>
    </row>
    <row r="56" spans="1:8" s="1564" customFormat="1" ht="19.5" customHeight="1">
      <c r="A56" s="1579" t="s">
        <v>1184</v>
      </c>
      <c r="B56" s="1494">
        <v>0.6</v>
      </c>
      <c r="C56" s="1494">
        <v>0.3</v>
      </c>
      <c r="D56" s="1494">
        <v>0.2</v>
      </c>
      <c r="E56" s="1494">
        <v>0.2</v>
      </c>
      <c r="F56" s="1494">
        <v>0.2</v>
      </c>
      <c r="G56" s="1494">
        <v>0.2</v>
      </c>
      <c r="H56" s="1494">
        <v>0.15</v>
      </c>
    </row>
    <row r="58" spans="1:8" s="1564" customFormat="1" ht="19.5" customHeight="1">
      <c r="A58" s="1580"/>
      <c r="B58" s="1562"/>
      <c r="C58" s="1562"/>
      <c r="D58" s="1562" t="s">
        <v>1623</v>
      </c>
      <c r="E58" s="1562"/>
      <c r="F58" s="1562"/>
    </row>
    <row r="59" spans="1:8" s="1564" customFormat="1" ht="19.5" customHeight="1">
      <c r="A59" s="1568" t="s">
        <v>1624</v>
      </c>
      <c r="B59" s="1568" t="s">
        <v>1625</v>
      </c>
      <c r="C59" s="1568" t="s">
        <v>1626</v>
      </c>
      <c r="D59" s="1568" t="s">
        <v>1627</v>
      </c>
      <c r="E59" s="1568" t="s">
        <v>1628</v>
      </c>
      <c r="F59" s="1568" t="s">
        <v>1629</v>
      </c>
    </row>
    <row r="60" spans="1:8" ht="13.5">
      <c r="A60" s="1764"/>
      <c r="B60" s="1764"/>
      <c r="C60" s="1764" t="s">
        <v>1761</v>
      </c>
      <c r="D60" s="1764"/>
      <c r="E60" s="1581" t="s">
        <v>23</v>
      </c>
      <c r="F60" s="1764" t="s">
        <v>23</v>
      </c>
    </row>
    <row r="61" spans="1:8" s="1564" customFormat="1" ht="24">
      <c r="A61" s="1568">
        <v>1</v>
      </c>
      <c r="B61" s="3764" t="s">
        <v>1630</v>
      </c>
      <c r="C61" s="1494" t="s">
        <v>1631</v>
      </c>
      <c r="D61" s="1494" t="s">
        <v>1632</v>
      </c>
      <c r="E61" s="1581">
        <v>0.5</v>
      </c>
      <c r="F61" s="1568">
        <v>80</v>
      </c>
    </row>
    <row r="62" spans="1:8" s="1564" customFormat="1" ht="24">
      <c r="A62" s="1568">
        <v>2</v>
      </c>
      <c r="B62" s="3764"/>
      <c r="C62" s="1494" t="s">
        <v>1633</v>
      </c>
      <c r="D62" s="1494" t="s">
        <v>1634</v>
      </c>
      <c r="E62" s="1581">
        <v>0.5</v>
      </c>
      <c r="F62" s="1568">
        <v>80</v>
      </c>
    </row>
    <row r="63" spans="1:8" s="1564" customFormat="1" ht="36">
      <c r="A63" s="1568">
        <v>3</v>
      </c>
      <c r="B63" s="3764"/>
      <c r="C63" s="1494" t="s">
        <v>1635</v>
      </c>
      <c r="D63" s="1494" t="s">
        <v>1636</v>
      </c>
      <c r="E63" s="1581">
        <v>0.5</v>
      </c>
      <c r="F63" s="1568">
        <v>80</v>
      </c>
    </row>
    <row r="64" spans="1:8" s="1564" customFormat="1" ht="36">
      <c r="A64" s="1568">
        <v>4</v>
      </c>
      <c r="B64" s="3764"/>
      <c r="C64" s="1494" t="s">
        <v>1637</v>
      </c>
      <c r="D64" s="1494" t="s">
        <v>1638</v>
      </c>
      <c r="E64" s="1581">
        <v>0.4</v>
      </c>
      <c r="F64" s="1568">
        <v>60</v>
      </c>
    </row>
    <row r="65" spans="1:6" s="1564" customFormat="1" ht="36">
      <c r="A65" s="1568">
        <v>5</v>
      </c>
      <c r="B65" s="3764"/>
      <c r="C65" s="1494" t="s">
        <v>1639</v>
      </c>
      <c r="D65" s="1494" t="s">
        <v>1640</v>
      </c>
      <c r="E65" s="1581">
        <v>0.2</v>
      </c>
      <c r="F65" s="1568">
        <v>30</v>
      </c>
    </row>
    <row r="66" spans="1:6" s="1564" customFormat="1" ht="36">
      <c r="A66" s="1568">
        <v>6</v>
      </c>
      <c r="B66" s="3764"/>
      <c r="C66" s="1494" t="s">
        <v>1641</v>
      </c>
      <c r="D66" s="1494" t="s">
        <v>1642</v>
      </c>
      <c r="E66" s="1581">
        <v>0.3</v>
      </c>
      <c r="F66" s="1568">
        <v>50</v>
      </c>
    </row>
    <row r="67" spans="1:6" s="1564" customFormat="1" ht="36">
      <c r="A67" s="1568">
        <v>7</v>
      </c>
      <c r="B67" s="3764"/>
      <c r="C67" s="1494" t="s">
        <v>1643</v>
      </c>
      <c r="D67" s="1494" t="s">
        <v>1644</v>
      </c>
      <c r="E67" s="1581">
        <v>0.2</v>
      </c>
      <c r="F67" s="1568">
        <v>30</v>
      </c>
    </row>
    <row r="68" spans="1:6" s="1564" customFormat="1" ht="36">
      <c r="A68" s="1568">
        <v>8</v>
      </c>
      <c r="B68" s="3764"/>
      <c r="C68" s="1494" t="s">
        <v>1645</v>
      </c>
      <c r="D68" s="1494" t="s">
        <v>1646</v>
      </c>
      <c r="E68" s="1581">
        <v>0.2</v>
      </c>
      <c r="F68" s="1568">
        <v>30</v>
      </c>
    </row>
    <row r="69" spans="1:6" s="1564" customFormat="1" ht="36">
      <c r="A69" s="1568">
        <v>9</v>
      </c>
      <c r="B69" s="3764"/>
      <c r="C69" s="1494" t="s">
        <v>1647</v>
      </c>
      <c r="D69" s="1494" t="s">
        <v>1648</v>
      </c>
      <c r="E69" s="1581">
        <v>0.2</v>
      </c>
      <c r="F69" s="1568">
        <v>30</v>
      </c>
    </row>
    <row r="70" spans="1:6" s="1564" customFormat="1" ht="48">
      <c r="A70" s="1568">
        <v>10</v>
      </c>
      <c r="B70" s="3764"/>
      <c r="C70" s="1494" t="s">
        <v>1649</v>
      </c>
      <c r="D70" s="1494" t="s">
        <v>1650</v>
      </c>
      <c r="E70" s="1581">
        <v>0.2</v>
      </c>
      <c r="F70" s="1568">
        <v>30</v>
      </c>
    </row>
    <row r="71" spans="1:6" s="1564" customFormat="1" ht="48">
      <c r="A71" s="1568">
        <v>11</v>
      </c>
      <c r="B71" s="3764"/>
      <c r="C71" s="1494" t="s">
        <v>1651</v>
      </c>
      <c r="D71" s="1494" t="s">
        <v>1652</v>
      </c>
      <c r="E71" s="1581">
        <v>0.2</v>
      </c>
      <c r="F71" s="1568">
        <v>30</v>
      </c>
    </row>
    <row r="72" spans="1:6" s="1564" customFormat="1" ht="36">
      <c r="A72" s="1568">
        <v>12</v>
      </c>
      <c r="B72" s="3764"/>
      <c r="C72" s="1494" t="s">
        <v>1653</v>
      </c>
      <c r="D72" s="1494" t="s">
        <v>1654</v>
      </c>
      <c r="E72" s="1581">
        <v>0.5</v>
      </c>
      <c r="F72" s="1568">
        <v>80</v>
      </c>
    </row>
    <row r="73" spans="1:6" s="1564" customFormat="1" ht="24">
      <c r="A73" s="1568">
        <v>13</v>
      </c>
      <c r="B73" s="3764"/>
      <c r="C73" s="1494" t="s">
        <v>1655</v>
      </c>
      <c r="D73" s="1494" t="s">
        <v>1656</v>
      </c>
      <c r="E73" s="1581">
        <v>0.4</v>
      </c>
      <c r="F73" s="1568">
        <v>60</v>
      </c>
    </row>
    <row r="74" spans="1:6" s="1564" customFormat="1" ht="24">
      <c r="A74" s="1568">
        <v>14</v>
      </c>
      <c r="B74" s="3764"/>
      <c r="C74" s="1494" t="s">
        <v>1657</v>
      </c>
      <c r="D74" s="1494" t="s">
        <v>1658</v>
      </c>
      <c r="E74" s="1581">
        <v>0.2</v>
      </c>
      <c r="F74" s="1568">
        <v>30</v>
      </c>
    </row>
    <row r="75" spans="1:6" s="1564" customFormat="1" ht="24">
      <c r="A75" s="1568">
        <v>15</v>
      </c>
      <c r="B75" s="3764"/>
      <c r="C75" s="1494" t="s">
        <v>1659</v>
      </c>
      <c r="D75" s="1494" t="s">
        <v>1660</v>
      </c>
      <c r="E75" s="1581">
        <v>0.2</v>
      </c>
      <c r="F75" s="1568">
        <v>30</v>
      </c>
    </row>
    <row r="76" spans="1:6" s="1564" customFormat="1" ht="24">
      <c r="A76" s="1568">
        <v>16</v>
      </c>
      <c r="B76" s="3764" t="s">
        <v>1661</v>
      </c>
      <c r="C76" s="1494" t="s">
        <v>1662</v>
      </c>
      <c r="D76" s="1494" t="s">
        <v>1663</v>
      </c>
      <c r="E76" s="1581">
        <v>0.5</v>
      </c>
      <c r="F76" s="1568">
        <v>80</v>
      </c>
    </row>
    <row r="77" spans="1:6" s="1564" customFormat="1" ht="24">
      <c r="A77" s="1568">
        <v>17</v>
      </c>
      <c r="B77" s="3764"/>
      <c r="C77" s="1494" t="s">
        <v>1664</v>
      </c>
      <c r="D77" s="1494" t="s">
        <v>1665</v>
      </c>
      <c r="E77" s="1581">
        <v>0.5</v>
      </c>
      <c r="F77" s="1568">
        <v>80</v>
      </c>
    </row>
    <row r="78" spans="1:6" s="1564" customFormat="1" ht="24">
      <c r="A78" s="1568">
        <v>18</v>
      </c>
      <c r="B78" s="3764"/>
      <c r="C78" s="1494" t="s">
        <v>1666</v>
      </c>
      <c r="D78" s="1494" t="s">
        <v>1667</v>
      </c>
      <c r="E78" s="1581">
        <v>0.2</v>
      </c>
      <c r="F78" s="1568">
        <v>30</v>
      </c>
    </row>
    <row r="79" spans="1:6" s="1564" customFormat="1" ht="24">
      <c r="A79" s="1568">
        <v>19</v>
      </c>
      <c r="B79" s="3764"/>
      <c r="C79" s="1494" t="s">
        <v>1668</v>
      </c>
      <c r="D79" s="1494" t="s">
        <v>1669</v>
      </c>
      <c r="E79" s="1581">
        <v>0.5</v>
      </c>
      <c r="F79" s="1568">
        <v>80</v>
      </c>
    </row>
    <row r="80" spans="1:6" s="1564" customFormat="1" ht="36">
      <c r="A80" s="1568">
        <v>20</v>
      </c>
      <c r="B80" s="3764"/>
      <c r="C80" s="1494" t="s">
        <v>1670</v>
      </c>
      <c r="D80" s="1494" t="s">
        <v>1671</v>
      </c>
      <c r="E80" s="1581">
        <v>0.2</v>
      </c>
      <c r="F80" s="1568">
        <v>30</v>
      </c>
    </row>
    <row r="81" spans="1:6" s="1564" customFormat="1" ht="36">
      <c r="A81" s="1568">
        <v>21</v>
      </c>
      <c r="B81" s="3764"/>
      <c r="C81" s="1494" t="s">
        <v>1672</v>
      </c>
      <c r="D81" s="1494" t="s">
        <v>1673</v>
      </c>
      <c r="E81" s="1581">
        <v>0.2</v>
      </c>
      <c r="F81" s="1568">
        <v>30</v>
      </c>
    </row>
    <row r="82" spans="1:6" s="1564" customFormat="1" ht="48">
      <c r="A82" s="1568">
        <v>22</v>
      </c>
      <c r="B82" s="3764"/>
      <c r="C82" s="1494" t="s">
        <v>1674</v>
      </c>
      <c r="D82" s="1494" t="s">
        <v>1675</v>
      </c>
      <c r="E82" s="1581">
        <v>0.2</v>
      </c>
      <c r="F82" s="1568">
        <v>30</v>
      </c>
    </row>
    <row r="83" spans="1:6" s="1564" customFormat="1" ht="48">
      <c r="A83" s="1568">
        <v>23</v>
      </c>
      <c r="B83" s="3764"/>
      <c r="C83" s="1494" t="s">
        <v>1676</v>
      </c>
      <c r="D83" s="1494" t="s">
        <v>1677</v>
      </c>
      <c r="E83" s="1581">
        <v>0.2</v>
      </c>
      <c r="F83" s="1568">
        <v>30</v>
      </c>
    </row>
    <row r="84" spans="1:6" s="1564" customFormat="1" ht="36">
      <c r="A84" s="1568">
        <v>24</v>
      </c>
      <c r="B84" s="3764"/>
      <c r="C84" s="1494" t="s">
        <v>1678</v>
      </c>
      <c r="D84" s="1494" t="s">
        <v>1679</v>
      </c>
      <c r="E84" s="1581">
        <v>0.2</v>
      </c>
      <c r="F84" s="1568">
        <v>30</v>
      </c>
    </row>
    <row r="85" spans="1:6" s="1564" customFormat="1" ht="36">
      <c r="A85" s="1568">
        <v>25</v>
      </c>
      <c r="B85" s="3764"/>
      <c r="C85" s="1494" t="s">
        <v>1680</v>
      </c>
      <c r="D85" s="1494" t="s">
        <v>1681</v>
      </c>
      <c r="E85" s="1581">
        <v>0.5</v>
      </c>
      <c r="F85" s="1568">
        <v>80</v>
      </c>
    </row>
    <row r="86" spans="1:6" s="1564" customFormat="1" ht="36">
      <c r="A86" s="1568">
        <v>26</v>
      </c>
      <c r="B86" s="3764"/>
      <c r="C86" s="1494" t="s">
        <v>1682</v>
      </c>
      <c r="D86" s="1494" t="s">
        <v>1683</v>
      </c>
      <c r="E86" s="1581">
        <v>0.2</v>
      </c>
      <c r="F86" s="1568">
        <v>30</v>
      </c>
    </row>
    <row r="87" spans="1:6" s="1564" customFormat="1" ht="36">
      <c r="A87" s="1568">
        <v>27</v>
      </c>
      <c r="B87" s="3764"/>
      <c r="C87" s="1494" t="s">
        <v>1684</v>
      </c>
      <c r="D87" s="1494" t="s">
        <v>1685</v>
      </c>
      <c r="E87" s="1581">
        <v>0.2</v>
      </c>
      <c r="F87" s="1568">
        <v>30</v>
      </c>
    </row>
    <row r="88" spans="1:6" s="1564" customFormat="1" ht="36">
      <c r="A88" s="1568">
        <v>28</v>
      </c>
      <c r="B88" s="3764"/>
      <c r="C88" s="1494" t="s">
        <v>1686</v>
      </c>
      <c r="D88" s="1494" t="s">
        <v>1687</v>
      </c>
      <c r="E88" s="1581">
        <v>0.2</v>
      </c>
      <c r="F88" s="1568">
        <v>30</v>
      </c>
    </row>
    <row r="89" spans="1:6" s="1564" customFormat="1" ht="24">
      <c r="A89" s="1568">
        <v>29</v>
      </c>
      <c r="B89" s="3764"/>
      <c r="C89" s="1494" t="s">
        <v>1688</v>
      </c>
      <c r="D89" s="1494" t="s">
        <v>1689</v>
      </c>
      <c r="E89" s="1581">
        <v>0.2</v>
      </c>
      <c r="F89" s="1568">
        <v>30</v>
      </c>
    </row>
    <row r="90" spans="1:6" s="1564" customFormat="1" ht="24">
      <c r="A90" s="1568">
        <v>30</v>
      </c>
      <c r="B90" s="3764"/>
      <c r="C90" s="1494" t="s">
        <v>1690</v>
      </c>
      <c r="D90" s="1494" t="s">
        <v>1691</v>
      </c>
      <c r="E90" s="1581">
        <v>0.2</v>
      </c>
      <c r="F90" s="1568">
        <v>30</v>
      </c>
    </row>
    <row r="91" spans="1:6" s="1564" customFormat="1" ht="36">
      <c r="A91" s="1568">
        <v>31</v>
      </c>
      <c r="B91" s="3764"/>
      <c r="C91" s="1494" t="s">
        <v>1692</v>
      </c>
      <c r="D91" s="1494" t="s">
        <v>1693</v>
      </c>
      <c r="E91" s="1581">
        <v>0.2</v>
      </c>
      <c r="F91" s="1568">
        <v>30</v>
      </c>
    </row>
    <row r="92" spans="1:6" s="1564" customFormat="1" ht="24">
      <c r="A92" s="1568">
        <v>32</v>
      </c>
      <c r="B92" s="3764" t="s">
        <v>1694</v>
      </c>
      <c r="C92" s="1568" t="s">
        <v>1695</v>
      </c>
      <c r="D92" s="1494" t="s">
        <v>1696</v>
      </c>
      <c r="E92" s="1581">
        <v>0.2</v>
      </c>
      <c r="F92" s="1568">
        <v>30</v>
      </c>
    </row>
    <row r="93" spans="1:6" s="1564" customFormat="1" ht="36">
      <c r="A93" s="1568">
        <v>33</v>
      </c>
      <c r="B93" s="3764"/>
      <c r="C93" s="1568" t="s">
        <v>1697</v>
      </c>
      <c r="D93" s="1494" t="s">
        <v>1698</v>
      </c>
      <c r="E93" s="1581">
        <v>0.2</v>
      </c>
      <c r="F93" s="1568">
        <v>30</v>
      </c>
    </row>
    <row r="94" spans="1:6" s="1564" customFormat="1" ht="48">
      <c r="A94" s="1568">
        <v>34</v>
      </c>
      <c r="B94" s="3764"/>
      <c r="C94" s="1568" t="s">
        <v>1699</v>
      </c>
      <c r="D94" s="1494" t="s">
        <v>1700</v>
      </c>
      <c r="E94" s="1581">
        <v>0.2</v>
      </c>
      <c r="F94" s="1568">
        <v>30</v>
      </c>
    </row>
    <row r="95" spans="1:6" s="1564" customFormat="1" ht="36">
      <c r="A95" s="1568">
        <v>35</v>
      </c>
      <c r="B95" s="3764"/>
      <c r="C95" s="1568" t="s">
        <v>1701</v>
      </c>
      <c r="D95" s="1494" t="s">
        <v>1702</v>
      </c>
      <c r="E95" s="1581">
        <v>0.2</v>
      </c>
      <c r="F95" s="1568">
        <v>30</v>
      </c>
    </row>
    <row r="96" spans="1:6" s="1564" customFormat="1" ht="48">
      <c r="A96" s="1568">
        <v>36</v>
      </c>
      <c r="B96" s="3764"/>
      <c r="C96" s="1494" t="s">
        <v>1703</v>
      </c>
      <c r="D96" s="1494" t="s">
        <v>1704</v>
      </c>
      <c r="E96" s="1581">
        <v>0.2</v>
      </c>
      <c r="F96" s="1568">
        <v>30</v>
      </c>
    </row>
    <row r="97" spans="1:6" s="1564" customFormat="1" ht="36">
      <c r="A97" s="1568">
        <v>37</v>
      </c>
      <c r="B97" s="3764"/>
      <c r="C97" s="1568" t="s">
        <v>1705</v>
      </c>
      <c r="D97" s="1494" t="s">
        <v>1706</v>
      </c>
      <c r="E97" s="1581">
        <v>0.2</v>
      </c>
      <c r="F97" s="1568">
        <v>30</v>
      </c>
    </row>
    <row r="98" spans="1:6" s="1564" customFormat="1" ht="36">
      <c r="A98" s="1568">
        <v>38</v>
      </c>
      <c r="B98" s="3764"/>
      <c r="C98" s="1568" t="s">
        <v>1707</v>
      </c>
      <c r="D98" s="1494" t="s">
        <v>1708</v>
      </c>
      <c r="E98" s="1581">
        <v>0.2</v>
      </c>
      <c r="F98" s="1568">
        <v>30</v>
      </c>
    </row>
    <row r="99" spans="1:6" s="1564" customFormat="1" ht="36">
      <c r="A99" s="1568">
        <v>39</v>
      </c>
      <c r="B99" s="3764" t="s">
        <v>1709</v>
      </c>
      <c r="C99" s="1568" t="s">
        <v>1710</v>
      </c>
      <c r="D99" s="1494" t="s">
        <v>1711</v>
      </c>
      <c r="E99" s="1581">
        <v>0.3</v>
      </c>
      <c r="F99" s="1568">
        <v>50</v>
      </c>
    </row>
    <row r="100" spans="1:6" s="1564" customFormat="1" ht="24">
      <c r="A100" s="1568">
        <v>40</v>
      </c>
      <c r="B100" s="3764"/>
      <c r="C100" s="1568" t="s">
        <v>1712</v>
      </c>
      <c r="D100" s="1494" t="s">
        <v>1713</v>
      </c>
      <c r="E100" s="1581">
        <v>0.2</v>
      </c>
      <c r="F100" s="1568">
        <v>30</v>
      </c>
    </row>
    <row r="101" spans="1:6" s="1564" customFormat="1" ht="36">
      <c r="A101" s="1568">
        <v>41</v>
      </c>
      <c r="B101" s="3764"/>
      <c r="C101" s="1568" t="s">
        <v>1714</v>
      </c>
      <c r="D101" s="1494" t="s">
        <v>1711</v>
      </c>
      <c r="E101" s="1581">
        <v>0.2</v>
      </c>
      <c r="F101" s="1568">
        <v>30</v>
      </c>
    </row>
    <row r="102" spans="1:6" s="1564" customFormat="1" ht="48">
      <c r="A102" s="1568">
        <v>42</v>
      </c>
      <c r="B102" s="1568" t="s">
        <v>1715</v>
      </c>
      <c r="C102" s="1494" t="s">
        <v>1716</v>
      </c>
      <c r="D102" s="1494" t="s">
        <v>1717</v>
      </c>
      <c r="E102" s="1581">
        <v>0.2</v>
      </c>
      <c r="F102" s="1568">
        <v>30</v>
      </c>
    </row>
    <row r="103" spans="1:6" s="1564" customFormat="1" ht="24">
      <c r="A103" s="1568">
        <v>43</v>
      </c>
      <c r="B103" s="1568" t="s">
        <v>1718</v>
      </c>
      <c r="C103" s="1568" t="s">
        <v>1719</v>
      </c>
      <c r="D103" s="1494" t="s">
        <v>1720</v>
      </c>
      <c r="E103" s="1581">
        <v>0.2</v>
      </c>
      <c r="F103" s="1568">
        <v>30</v>
      </c>
    </row>
    <row r="104" spans="1:6" s="1564" customFormat="1" ht="36">
      <c r="A104" s="1568">
        <v>44</v>
      </c>
      <c r="B104" s="1568" t="s">
        <v>1721</v>
      </c>
      <c r="C104" s="1568" t="s">
        <v>1722</v>
      </c>
      <c r="D104" s="1494" t="s">
        <v>1723</v>
      </c>
      <c r="E104" s="1581">
        <v>0.2</v>
      </c>
      <c r="F104" s="1568">
        <v>30</v>
      </c>
    </row>
    <row r="105" spans="1:6" s="1564" customFormat="1" ht="36">
      <c r="A105" s="1568">
        <v>45</v>
      </c>
      <c r="B105" s="3764" t="s">
        <v>1724</v>
      </c>
      <c r="C105" s="1568" t="s">
        <v>1725</v>
      </c>
      <c r="D105" s="1494" t="s">
        <v>1726</v>
      </c>
      <c r="E105" s="1581">
        <v>0.2</v>
      </c>
      <c r="F105" s="1568">
        <v>30</v>
      </c>
    </row>
    <row r="106" spans="1:6" s="1564" customFormat="1" ht="36">
      <c r="A106" s="1568">
        <v>46</v>
      </c>
      <c r="B106" s="3764"/>
      <c r="C106" s="1568" t="s">
        <v>1727</v>
      </c>
      <c r="D106" s="1494" t="s">
        <v>1728</v>
      </c>
      <c r="E106" s="1581">
        <v>0.2</v>
      </c>
      <c r="F106" s="1568">
        <v>30</v>
      </c>
    </row>
    <row r="107" spans="1:6" s="1564" customFormat="1" ht="36">
      <c r="A107" s="1568">
        <v>47</v>
      </c>
      <c r="B107" s="3764" t="s">
        <v>1729</v>
      </c>
      <c r="C107" s="1568" t="s">
        <v>1730</v>
      </c>
      <c r="D107" s="1494" t="s">
        <v>1731</v>
      </c>
      <c r="E107" s="1581">
        <v>0.3</v>
      </c>
      <c r="F107" s="1568">
        <v>50</v>
      </c>
    </row>
    <row r="108" spans="1:6" s="1564" customFormat="1" ht="36">
      <c r="A108" s="1568">
        <v>48</v>
      </c>
      <c r="B108" s="3764"/>
      <c r="C108" s="1568" t="s">
        <v>1732</v>
      </c>
      <c r="D108" s="1494" t="s">
        <v>1733</v>
      </c>
      <c r="E108" s="1581">
        <v>0.2</v>
      </c>
      <c r="F108" s="1568">
        <v>30</v>
      </c>
    </row>
    <row r="109" spans="1:6" s="1564" customFormat="1" ht="36">
      <c r="A109" s="1568">
        <v>49</v>
      </c>
      <c r="B109" s="1568" t="s">
        <v>1734</v>
      </c>
      <c r="C109" s="1568" t="s">
        <v>1735</v>
      </c>
      <c r="D109" s="1494" t="s">
        <v>1736</v>
      </c>
      <c r="E109" s="1581">
        <v>0.2</v>
      </c>
      <c r="F109" s="1568">
        <v>30</v>
      </c>
    </row>
    <row r="110" spans="1:6" s="1564" customFormat="1" ht="36">
      <c r="A110" s="1568">
        <v>50</v>
      </c>
      <c r="B110" s="1568" t="s">
        <v>1737</v>
      </c>
      <c r="C110" s="1568" t="s">
        <v>1738</v>
      </c>
      <c r="D110" s="1494" t="s">
        <v>1739</v>
      </c>
      <c r="E110" s="1581">
        <v>0.2</v>
      </c>
      <c r="F110" s="1568">
        <v>30</v>
      </c>
    </row>
    <row r="111" spans="1:6" s="1564" customFormat="1" ht="36">
      <c r="A111" s="1568">
        <v>51</v>
      </c>
      <c r="B111" s="3764" t="s">
        <v>1740</v>
      </c>
      <c r="C111" s="1568" t="s">
        <v>1741</v>
      </c>
      <c r="D111" s="1494" t="s">
        <v>1742</v>
      </c>
      <c r="E111" s="1581">
        <v>0.2</v>
      </c>
      <c r="F111" s="1568">
        <v>30</v>
      </c>
    </row>
    <row r="112" spans="1:6" s="1564" customFormat="1" ht="24">
      <c r="A112" s="1568">
        <v>52</v>
      </c>
      <c r="B112" s="3764"/>
      <c r="C112" s="1568" t="s">
        <v>1743</v>
      </c>
      <c r="D112" s="1494" t="s">
        <v>1744</v>
      </c>
      <c r="E112" s="1581">
        <v>0.2</v>
      </c>
      <c r="F112" s="1568">
        <v>30</v>
      </c>
    </row>
    <row r="113" spans="1:6" s="1564" customFormat="1" ht="24">
      <c r="A113" s="1568">
        <v>53</v>
      </c>
      <c r="B113" s="3764"/>
      <c r="C113" s="1568" t="s">
        <v>1745</v>
      </c>
      <c r="D113" s="1494" t="s">
        <v>1746</v>
      </c>
      <c r="E113" s="1581">
        <v>0.2</v>
      </c>
      <c r="F113" s="1568">
        <v>30</v>
      </c>
    </row>
    <row r="114" spans="1:6" ht="36">
      <c r="A114" s="1568">
        <v>54</v>
      </c>
      <c r="B114" s="1568" t="s">
        <v>1747</v>
      </c>
      <c r="C114" s="1568" t="s">
        <v>1748</v>
      </c>
      <c r="D114" s="1494" t="s">
        <v>1749</v>
      </c>
      <c r="E114" s="1581">
        <v>0.2</v>
      </c>
      <c r="F114" s="1568">
        <v>30</v>
      </c>
    </row>
    <row r="115" spans="1:6" ht="24">
      <c r="A115" s="1568">
        <v>55</v>
      </c>
      <c r="B115" s="1568" t="s">
        <v>1750</v>
      </c>
      <c r="C115" s="1568" t="s">
        <v>1751</v>
      </c>
      <c r="D115" s="1494" t="s">
        <v>1752</v>
      </c>
      <c r="E115" s="1581">
        <v>0.2</v>
      </c>
      <c r="F115" s="1568">
        <v>30</v>
      </c>
    </row>
    <row r="116" spans="1:6" ht="24">
      <c r="A116" s="1568">
        <v>56</v>
      </c>
      <c r="B116" s="3764" t="s">
        <v>1753</v>
      </c>
      <c r="C116" s="1568" t="s">
        <v>1754</v>
      </c>
      <c r="D116" s="1494" t="s">
        <v>1755</v>
      </c>
      <c r="E116" s="1581">
        <v>0.2</v>
      </c>
      <c r="F116" s="1568">
        <v>30</v>
      </c>
    </row>
    <row r="117" spans="1:6" ht="36">
      <c r="A117" s="1568">
        <v>57</v>
      </c>
      <c r="B117" s="3764"/>
      <c r="C117" s="1568" t="s">
        <v>1756</v>
      </c>
      <c r="D117" s="1494" t="s">
        <v>1757</v>
      </c>
      <c r="E117" s="1581">
        <v>0.2</v>
      </c>
      <c r="F117" s="1568">
        <v>30</v>
      </c>
    </row>
    <row r="118" spans="1:6" ht="36">
      <c r="A118" s="1568">
        <v>58</v>
      </c>
      <c r="B118" s="1568" t="s">
        <v>1758</v>
      </c>
      <c r="C118" s="1568" t="s">
        <v>1759</v>
      </c>
      <c r="D118" s="1494" t="s">
        <v>1760</v>
      </c>
      <c r="E118" s="1581">
        <v>0.2</v>
      </c>
      <c r="F118" s="1568">
        <v>30</v>
      </c>
    </row>
    <row r="119" spans="1:6" ht="13.5">
      <c r="A119" s="1568"/>
      <c r="B119" s="1568"/>
      <c r="C119" s="1568" t="s">
        <v>1761</v>
      </c>
      <c r="D119" s="1568"/>
      <c r="E119" s="1581" t="s">
        <v>1571</v>
      </c>
      <c r="F119" s="1568"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1771</v>
      </c>
      <c r="B1" s="1592"/>
      <c r="C1" s="1592"/>
      <c r="D1" s="1592"/>
      <c r="E1" s="1592"/>
      <c r="F1" s="1592"/>
      <c r="G1" s="1592"/>
      <c r="H1" s="1592"/>
      <c r="I1" s="1592"/>
      <c r="J1" s="1592"/>
      <c r="K1" s="1592"/>
      <c r="L1" s="1592"/>
      <c r="M1" s="1592"/>
      <c r="N1" s="1592"/>
    </row>
    <row r="2" spans="1:14">
      <c r="A2" s="1594" t="s">
        <v>1768</v>
      </c>
      <c r="B2" s="1595" t="s">
        <v>1173</v>
      </c>
      <c r="C2" s="1595" t="s">
        <v>1174</v>
      </c>
      <c r="D2" s="1595" t="s">
        <v>1175</v>
      </c>
      <c r="E2" s="1595" t="s">
        <v>1176</v>
      </c>
      <c r="F2" s="1595" t="s">
        <v>1177</v>
      </c>
      <c r="G2" s="1595" t="s">
        <v>1178</v>
      </c>
      <c r="H2" s="1596" t="s">
        <v>1179</v>
      </c>
      <c r="I2" s="1596" t="s">
        <v>1180</v>
      </c>
      <c r="J2" s="1597" t="s">
        <v>1181</v>
      </c>
      <c r="K2" s="1597" t="s">
        <v>1182</v>
      </c>
      <c r="L2" s="1597" t="s">
        <v>1183</v>
      </c>
      <c r="M2" s="1597" t="s">
        <v>1184</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1777</v>
      </c>
      <c r="B103" s="1592"/>
      <c r="C103" s="1592"/>
      <c r="D103" s="1592"/>
      <c r="E103" s="1592"/>
      <c r="F103" s="1592"/>
      <c r="G103" s="1592"/>
      <c r="H103" s="1592"/>
      <c r="I103" s="1592"/>
      <c r="J103" s="1592"/>
      <c r="K103" s="1592"/>
      <c r="L103" s="1592"/>
      <c r="M103" s="1592"/>
      <c r="N103" s="1592"/>
    </row>
    <row r="104" spans="1:14" ht="14.25">
      <c r="A104" s="1594" t="s">
        <v>1768</v>
      </c>
      <c r="B104" s="1595" t="s">
        <v>1173</v>
      </c>
      <c r="C104" s="1595" t="s">
        <v>1174</v>
      </c>
      <c r="D104" s="1595" t="s">
        <v>1175</v>
      </c>
      <c r="E104" s="1595" t="s">
        <v>1176</v>
      </c>
      <c r="F104" s="1595" t="s">
        <v>1177</v>
      </c>
      <c r="G104" s="1595" t="s">
        <v>1178</v>
      </c>
      <c r="H104" s="1596" t="s">
        <v>1179</v>
      </c>
      <c r="I104" s="1596" t="s">
        <v>1180</v>
      </c>
      <c r="J104" s="1597" t="s">
        <v>1181</v>
      </c>
      <c r="K104" s="1597" t="s">
        <v>1182</v>
      </c>
      <c r="L104" s="1597" t="s">
        <v>1183</v>
      </c>
      <c r="M104" s="1597" t="s">
        <v>1184</v>
      </c>
      <c r="N104" s="1592" t="e">
        <f>SUMPRODUCT((A105:A204=ROUNDDOWN(基准地价修正!G3,1))*(B104:M104=基准地价修正!G2)*(B105:M204))</f>
        <v>#DIV/0!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1778</v>
      </c>
      <c r="B205" s="1592"/>
      <c r="C205" s="1592"/>
      <c r="D205" s="1592"/>
      <c r="E205" s="1592"/>
      <c r="F205" s="1592"/>
      <c r="G205" s="1592"/>
      <c r="H205" s="1592"/>
      <c r="I205" s="1592"/>
      <c r="J205" s="1592"/>
      <c r="K205" s="1592"/>
      <c r="L205" s="1592"/>
      <c r="M205" s="1592"/>
    </row>
    <row r="206" spans="1:13">
      <c r="A206" s="1594" t="s">
        <v>1768</v>
      </c>
      <c r="B206" s="1595" t="s">
        <v>1173</v>
      </c>
      <c r="C206" s="1595" t="s">
        <v>1174</v>
      </c>
      <c r="D206" s="1595" t="s">
        <v>1175</v>
      </c>
      <c r="E206" s="1595" t="s">
        <v>1176</v>
      </c>
      <c r="F206" s="1595" t="s">
        <v>1177</v>
      </c>
      <c r="G206" s="1595" t="s">
        <v>1178</v>
      </c>
      <c r="H206" s="1596" t="s">
        <v>1179</v>
      </c>
      <c r="I206" s="1596" t="s">
        <v>1180</v>
      </c>
      <c r="J206" s="1597" t="s">
        <v>1181</v>
      </c>
      <c r="K206" s="1597" t="s">
        <v>1182</v>
      </c>
      <c r="L206" s="1597" t="s">
        <v>1183</v>
      </c>
      <c r="M206" s="1597" t="s">
        <v>1184</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1779</v>
      </c>
      <c r="B307" s="1592"/>
      <c r="C307" s="1592"/>
      <c r="D307" s="1592"/>
      <c r="E307" s="1592"/>
      <c r="F307" s="1592"/>
      <c r="G307" s="1592"/>
      <c r="H307" s="1592"/>
      <c r="I307" s="1592"/>
      <c r="J307" s="1592"/>
      <c r="K307" s="1592"/>
      <c r="L307" s="1592"/>
      <c r="M307" s="1592"/>
    </row>
    <row r="308" spans="1:13">
      <c r="A308" s="1594" t="s">
        <v>1768</v>
      </c>
      <c r="B308" s="1595" t="s">
        <v>1173</v>
      </c>
      <c r="C308" s="1595" t="s">
        <v>1174</v>
      </c>
      <c r="D308" s="1595" t="s">
        <v>1175</v>
      </c>
      <c r="E308" s="1595" t="s">
        <v>1176</v>
      </c>
      <c r="F308" s="1595" t="s">
        <v>1177</v>
      </c>
      <c r="G308" s="1595" t="s">
        <v>1178</v>
      </c>
      <c r="H308" s="1596" t="s">
        <v>1179</v>
      </c>
      <c r="I308" s="1596" t="s">
        <v>1180</v>
      </c>
      <c r="J308" s="1597" t="s">
        <v>1181</v>
      </c>
      <c r="K308" s="1597" t="s">
        <v>1182</v>
      </c>
      <c r="L308" s="1597" t="s">
        <v>1183</v>
      </c>
      <c r="M308" s="1597" t="s">
        <v>1184</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899" customFormat="1">
      <c r="B1" s="3784" t="s">
        <v>2719</v>
      </c>
      <c r="C1" s="3784"/>
      <c r="D1" s="3784"/>
      <c r="E1" s="3784"/>
      <c r="F1" s="3784"/>
      <c r="G1" s="3780" t="s">
        <v>2720</v>
      </c>
      <c r="H1" s="3780"/>
      <c r="I1" s="3780"/>
      <c r="J1" s="3780"/>
      <c r="K1" s="3780"/>
      <c r="L1" s="3780"/>
      <c r="N1" s="3780" t="s">
        <v>2721</v>
      </c>
      <c r="O1" s="3780"/>
      <c r="P1" s="3780"/>
      <c r="Q1" s="3780"/>
      <c r="R1" s="2900"/>
      <c r="S1" s="3780" t="s">
        <v>2722</v>
      </c>
      <c r="T1" s="3780"/>
      <c r="U1" s="3780"/>
      <c r="V1" s="3780"/>
      <c r="X1" s="3779" t="s">
        <v>2723</v>
      </c>
      <c r="Y1" s="3780"/>
      <c r="Z1" s="3780"/>
      <c r="AA1" s="3780"/>
      <c r="AB1" s="3780"/>
      <c r="AD1" s="3779" t="s">
        <v>2724</v>
      </c>
      <c r="AE1" s="3780"/>
      <c r="AF1" s="3780"/>
      <c r="AG1" s="3780"/>
      <c r="AH1" s="3780"/>
    </row>
    <row r="2" spans="1:34" s="2901" customFormat="1" ht="14.25" thickBot="1">
      <c r="B2" s="2902" t="s">
        <v>2725</v>
      </c>
      <c r="C2" s="2902" t="s">
        <v>2726</v>
      </c>
      <c r="D2" s="2903" t="s">
        <v>2727</v>
      </c>
      <c r="E2" s="2903" t="s">
        <v>2728</v>
      </c>
      <c r="F2" s="2902" t="s">
        <v>2729</v>
      </c>
      <c r="G2" s="2904"/>
      <c r="H2" s="2905"/>
      <c r="I2" s="2905"/>
      <c r="J2" s="2905"/>
      <c r="K2" s="2905"/>
      <c r="L2" s="2905"/>
      <c r="N2" s="2904"/>
      <c r="O2" s="2905"/>
      <c r="P2" s="2905"/>
      <c r="Q2" s="2905"/>
      <c r="R2" s="2906"/>
      <c r="S2" s="2904"/>
      <c r="T2" s="2905"/>
      <c r="U2" s="2905"/>
      <c r="V2" s="2905"/>
      <c r="X2" s="2902" t="s">
        <v>2725</v>
      </c>
      <c r="Y2" s="2902" t="s">
        <v>2726</v>
      </c>
      <c r="Z2" s="2903" t="s">
        <v>2727</v>
      </c>
      <c r="AA2" s="2903" t="s">
        <v>2728</v>
      </c>
      <c r="AB2" s="2902" t="s">
        <v>2729</v>
      </c>
      <c r="AD2" s="2902" t="s">
        <v>2725</v>
      </c>
      <c r="AE2" s="2902" t="s">
        <v>2726</v>
      </c>
      <c r="AF2" s="2903" t="s">
        <v>2727</v>
      </c>
      <c r="AG2" s="2903" t="s">
        <v>2728</v>
      </c>
      <c r="AH2" s="2902" t="s">
        <v>2729</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1.3494999999999999</v>
      </c>
      <c r="Y3" s="2913">
        <f>ROUND(SUMPRODUCT(PRODUCT(1+O3:O$18)),4)</f>
        <v>1.2154</v>
      </c>
      <c r="Z3" s="2913">
        <f t="shared" ref="Z3:Z16" si="0">Y3</f>
        <v>1.2154</v>
      </c>
      <c r="AA3" s="2913">
        <f>ROUND(SUMPRODUCT(PRODUCT(1+P3:P$18)),4)</f>
        <v>1.3962000000000001</v>
      </c>
      <c r="AB3" s="2913">
        <f>ROUND(SUMPRODUCT(PRODUCT(1+Q3:Q$18)),4)</f>
        <v>1.1890000000000001</v>
      </c>
      <c r="AD3" s="2914">
        <f>ROUND(AVERAGE(I3:I$19)/100,4)</f>
        <v>2.3900000000000001E-2</v>
      </c>
      <c r="AE3" s="2914">
        <f>ROUND(AVERAGE(J3:J$19)/100,4)</f>
        <v>1.5699999999999999E-2</v>
      </c>
      <c r="AF3" s="2914">
        <f t="shared" ref="AF3:AF17" si="1">AE3</f>
        <v>1.5699999999999999E-2</v>
      </c>
      <c r="AG3" s="2914">
        <f>ROUND(AVERAGE(K3:K$19)/100,4)</f>
        <v>2.6599999999999999E-2</v>
      </c>
      <c r="AH3" s="2914">
        <f>ROUND(AVERAGE(L3:L$19)/100,4)</f>
        <v>1.34E-2</v>
      </c>
    </row>
    <row r="4" spans="1:34" s="2899" customFormat="1">
      <c r="A4" s="2915" t="s">
        <v>2730</v>
      </c>
      <c r="B4" s="2916"/>
      <c r="C4" s="2916"/>
      <c r="D4" s="2916"/>
      <c r="E4" s="2916"/>
      <c r="F4" s="2916"/>
      <c r="G4" s="3785">
        <v>2017</v>
      </c>
      <c r="H4" s="2917">
        <v>4</v>
      </c>
      <c r="I4" s="2917"/>
      <c r="J4" s="2917"/>
      <c r="K4" s="2917"/>
      <c r="L4" s="2918"/>
      <c r="N4" s="2919"/>
      <c r="O4" s="2900"/>
      <c r="P4" s="2900"/>
      <c r="Q4" s="2900"/>
      <c r="R4" s="2900"/>
      <c r="S4" s="2919"/>
      <c r="T4" s="2900"/>
      <c r="U4" s="2900"/>
      <c r="V4" s="2900"/>
      <c r="X4" s="2913">
        <f>ROUND(SUMPRODUCT(PRODUCT(1+N4:N$18)),4)</f>
        <v>1.3494999999999999</v>
      </c>
      <c r="Y4" s="2913">
        <f>ROUND(SUMPRODUCT(PRODUCT(1+O4:O$18)),4)</f>
        <v>1.2154</v>
      </c>
      <c r="Z4" s="2913">
        <f t="shared" si="0"/>
        <v>1.2154</v>
      </c>
      <c r="AA4" s="2913">
        <f>ROUND(SUMPRODUCT(PRODUCT(1+P4:P$18)),4)</f>
        <v>1.3962000000000001</v>
      </c>
      <c r="AB4" s="2913">
        <f>ROUND(SUMPRODUCT(PRODUCT(1+Q4:Q$18)),4)</f>
        <v>1.1890000000000001</v>
      </c>
      <c r="AD4" s="2914">
        <f>ROUND(AVERAGE(I4:I$19)/100,4)</f>
        <v>2.3900000000000001E-2</v>
      </c>
      <c r="AE4" s="2914">
        <f>ROUND(AVERAGE(J4:J$19)/100,4)</f>
        <v>1.5699999999999999E-2</v>
      </c>
      <c r="AF4" s="2914">
        <f t="shared" si="1"/>
        <v>1.5699999999999999E-2</v>
      </c>
      <c r="AG4" s="2914">
        <f>ROUND(AVERAGE(K4:K$19)/100,4)</f>
        <v>2.6599999999999999E-2</v>
      </c>
      <c r="AH4" s="2914">
        <f>ROUND(AVERAGE(L4:L$19)/100,4)</f>
        <v>1.34E-2</v>
      </c>
    </row>
    <row r="5" spans="1:34" s="2899" customFormat="1">
      <c r="A5" s="2915" t="s">
        <v>2731</v>
      </c>
      <c r="B5" s="2916"/>
      <c r="C5" s="2916"/>
      <c r="D5" s="2916"/>
      <c r="E5" s="2916"/>
      <c r="F5" s="2916"/>
      <c r="G5" s="3782"/>
      <c r="H5" s="2920">
        <v>3</v>
      </c>
      <c r="I5" s="2916"/>
      <c r="J5" s="2916"/>
      <c r="K5" s="2916"/>
      <c r="L5" s="2916"/>
      <c r="N5" s="2919"/>
      <c r="O5" s="2900"/>
      <c r="P5" s="2900"/>
      <c r="Q5" s="2900"/>
      <c r="R5" s="2900"/>
      <c r="S5" s="2919"/>
      <c r="T5" s="2900"/>
      <c r="U5" s="2900"/>
      <c r="V5" s="2900"/>
      <c r="X5" s="2913">
        <f>ROUND(SUMPRODUCT(PRODUCT(1+N5:N$18)),4)</f>
        <v>1.3494999999999999</v>
      </c>
      <c r="Y5" s="2913">
        <f>ROUND(SUMPRODUCT(PRODUCT(1+O5:O$18)),4)</f>
        <v>1.2154</v>
      </c>
      <c r="Z5" s="2913">
        <f t="shared" si="0"/>
        <v>1.2154</v>
      </c>
      <c r="AA5" s="2913">
        <f>ROUND(SUMPRODUCT(PRODUCT(1+P5:P$18)),4)</f>
        <v>1.3962000000000001</v>
      </c>
      <c r="AB5" s="2913">
        <f>ROUND(SUMPRODUCT(PRODUCT(1+Q5:Q$18)),4)</f>
        <v>1.1890000000000001</v>
      </c>
      <c r="AD5" s="2914">
        <f>ROUND(AVERAGE(I5:I$19)/100,4)</f>
        <v>2.3900000000000001E-2</v>
      </c>
      <c r="AE5" s="2914">
        <f>ROUND(AVERAGE(J5:J$19)/100,4)</f>
        <v>1.5699999999999999E-2</v>
      </c>
      <c r="AF5" s="2914">
        <f t="shared" si="1"/>
        <v>1.5699999999999999E-2</v>
      </c>
      <c r="AG5" s="2914">
        <f>ROUND(AVERAGE(K5:K$19)/100,4)</f>
        <v>2.6599999999999999E-2</v>
      </c>
      <c r="AH5" s="2914">
        <f>ROUND(AVERAGE(L5:L$19)/100,4)</f>
        <v>1.34E-2</v>
      </c>
    </row>
    <row r="6" spans="1:34" s="3241" customFormat="1">
      <c r="A6" s="3239" t="s">
        <v>2732</v>
      </c>
      <c r="B6" s="2922">
        <f>B7*(1+N6)</f>
        <v>415.21602360000003</v>
      </c>
      <c r="C6" s="2922">
        <f>C7*(1+O6)</f>
        <v>312.63083488000001</v>
      </c>
      <c r="D6" s="2922">
        <f>C6</f>
        <v>312.63083488000001</v>
      </c>
      <c r="E6" s="3233">
        <f>E7*(1+P6)</f>
        <v>589.96402416000001</v>
      </c>
      <c r="F6" s="3233">
        <f>F7*(1+Q6)</f>
        <v>273.82351752000005</v>
      </c>
      <c r="G6" s="3782"/>
      <c r="H6" s="3240">
        <v>2</v>
      </c>
      <c r="I6" s="2923">
        <f>ROUND(AVERAGE(I7:I19),2)</f>
        <v>2.39</v>
      </c>
      <c r="J6" s="2923">
        <f t="shared" ref="J6:L6" si="2">ROUND(AVERAGE(J7:J19),2)</f>
        <v>1.57</v>
      </c>
      <c r="K6" s="2923">
        <f t="shared" si="2"/>
        <v>2.66</v>
      </c>
      <c r="L6" s="2923">
        <f t="shared" si="2"/>
        <v>1.34</v>
      </c>
      <c r="N6" s="2925">
        <f>I6/100</f>
        <v>2.3900000000000001E-2</v>
      </c>
      <c r="O6" s="2925">
        <f t="shared" ref="O6" si="3">J6/100</f>
        <v>1.5700000000000002E-2</v>
      </c>
      <c r="P6" s="2925">
        <f t="shared" ref="P6" si="4">K6/100</f>
        <v>2.6600000000000002E-2</v>
      </c>
      <c r="Q6" s="2925">
        <f t="shared" ref="Q6" si="5">L6/100</f>
        <v>1.34E-2</v>
      </c>
      <c r="R6" s="3242"/>
      <c r="S6" s="3243"/>
      <c r="T6" s="3242"/>
      <c r="U6" s="3242"/>
      <c r="V6" s="3242"/>
      <c r="W6" s="2926" t="s">
        <v>2734</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7">
        <f>ROUND(AVERAGE(I6:I$19)/100,4)</f>
        <v>2.3900000000000001E-2</v>
      </c>
      <c r="AE6" s="2927">
        <f>ROUND(AVERAGE(J6:J$19)/100,4)</f>
        <v>1.5699999999999999E-2</v>
      </c>
      <c r="AF6" s="2927">
        <f t="shared" si="1"/>
        <v>1.5699999999999999E-2</v>
      </c>
      <c r="AG6" s="2927">
        <f>ROUND(AVERAGE(K6:K$19)/100,4)</f>
        <v>2.6599999999999999E-2</v>
      </c>
      <c r="AH6" s="2927">
        <f>ROUND(AVERAGE(L6:L$19)/100,4)</f>
        <v>1.34E-2</v>
      </c>
    </row>
    <row r="7" spans="1:34" s="2924" customFormat="1" ht="13.5" thickBot="1">
      <c r="A7" s="2915" t="s">
        <v>2733</v>
      </c>
      <c r="B7" s="2936">
        <f>B8*(1+N7)</f>
        <v>405.524</v>
      </c>
      <c r="C7" s="2936">
        <f>C8*(1+O7)</f>
        <v>307.79840000000002</v>
      </c>
      <c r="D7" s="2936">
        <f>C7</f>
        <v>307.79840000000002</v>
      </c>
      <c r="E7" s="2936">
        <f>E8*(1+P7)</f>
        <v>574.67759999999998</v>
      </c>
      <c r="F7" s="2936">
        <f>F8*(1+Q7)</f>
        <v>270.20280000000002</v>
      </c>
      <c r="G7" s="3783"/>
      <c r="H7" s="2920">
        <v>1</v>
      </c>
      <c r="I7" s="2920">
        <v>3.45</v>
      </c>
      <c r="J7" s="2920">
        <v>1.92</v>
      </c>
      <c r="K7" s="2920">
        <v>3.92</v>
      </c>
      <c r="L7" s="2937">
        <v>1.58</v>
      </c>
      <c r="M7" s="2930"/>
      <c r="N7" s="2931">
        <f>I7/100</f>
        <v>3.4500000000000003E-2</v>
      </c>
      <c r="O7" s="2932">
        <f t="shared" ref="O7:Q22" si="6">J7/100</f>
        <v>1.9199999999999998E-2</v>
      </c>
      <c r="P7" s="2932">
        <f t="shared" si="6"/>
        <v>3.9199999999999999E-2</v>
      </c>
      <c r="Q7" s="2932">
        <f t="shared" si="6"/>
        <v>1.5800000000000002E-2</v>
      </c>
      <c r="R7" s="2933"/>
      <c r="S7" s="2931">
        <f>B7/B8-1</f>
        <v>3.4499999999999975E-2</v>
      </c>
      <c r="T7" s="2932">
        <f t="shared" ref="T7:V7" si="7">C7/C8-1</f>
        <v>1.9200000000000106E-2</v>
      </c>
      <c r="U7" s="2932">
        <f t="shared" si="7"/>
        <v>1.9200000000000106E-2</v>
      </c>
      <c r="V7" s="2932">
        <f t="shared" si="7"/>
        <v>3.9199999999999902E-2</v>
      </c>
      <c r="W7" s="2930"/>
      <c r="X7" s="2913">
        <f>ROUND(SUMPRODUCT(PRODUCT(1+N7:N$18)),4)</f>
        <v>1.3180000000000001</v>
      </c>
      <c r="Y7" s="2913">
        <f>ROUND(SUMPRODUCT(PRODUCT(1+O7:O$18)),4)</f>
        <v>1.1966000000000001</v>
      </c>
      <c r="Z7" s="2913">
        <f t="shared" si="0"/>
        <v>1.1966000000000001</v>
      </c>
      <c r="AA7" s="2913">
        <f>ROUND(SUMPRODUCT(PRODUCT(1+P7:P$18)),4)</f>
        <v>1.36</v>
      </c>
      <c r="AB7" s="2913">
        <f>ROUND(SUMPRODUCT(PRODUCT(1+Q7:Q$18)),4)</f>
        <v>1.1733</v>
      </c>
      <c r="AC7" s="2930"/>
      <c r="AD7" s="2914">
        <f>ROUND(AVERAGE(I7:I$19)/100,4)</f>
        <v>2.3900000000000001E-2</v>
      </c>
      <c r="AE7" s="2914">
        <f>ROUND(AVERAGE(J7:J$19)/100,4)</f>
        <v>1.5699999999999999E-2</v>
      </c>
      <c r="AF7" s="2914">
        <f t="shared" si="1"/>
        <v>1.5699999999999999E-2</v>
      </c>
      <c r="AG7" s="2914">
        <f>ROUND(AVERAGE(K7:K$19)/100,4)</f>
        <v>2.6599999999999999E-2</v>
      </c>
      <c r="AH7" s="2914">
        <f>ROUND(AVERAGE(L7:L$19)/100,4)</f>
        <v>1.34E-2</v>
      </c>
    </row>
    <row r="8" spans="1:34">
      <c r="A8" s="2915" t="s">
        <v>1162</v>
      </c>
      <c r="B8" s="2928">
        <v>392</v>
      </c>
      <c r="C8" s="2928">
        <v>302</v>
      </c>
      <c r="D8" s="2928">
        <f>C8</f>
        <v>302</v>
      </c>
      <c r="E8" s="2928">
        <v>553</v>
      </c>
      <c r="F8" s="2929">
        <v>266</v>
      </c>
      <c r="G8" s="3785">
        <v>2016</v>
      </c>
      <c r="H8" s="2917">
        <v>4</v>
      </c>
      <c r="I8" s="2917">
        <v>4.5599999999999996</v>
      </c>
      <c r="J8" s="2917">
        <v>2.15</v>
      </c>
      <c r="K8" s="2917">
        <v>5.32</v>
      </c>
      <c r="L8" s="2918">
        <v>1.57</v>
      </c>
      <c r="N8" s="2931">
        <f>I8/100</f>
        <v>4.5599999999999995E-2</v>
      </c>
      <c r="O8" s="2932">
        <f t="shared" si="6"/>
        <v>2.1499999999999998E-2</v>
      </c>
      <c r="P8" s="2932">
        <f t="shared" si="6"/>
        <v>5.3200000000000004E-2</v>
      </c>
      <c r="Q8" s="2932">
        <f t="shared" si="6"/>
        <v>1.5700000000000002E-2</v>
      </c>
      <c r="R8" s="2933"/>
      <c r="S8" s="2934"/>
      <c r="T8" s="2935"/>
      <c r="U8" s="2935"/>
      <c r="V8" s="2935"/>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1161</v>
      </c>
      <c r="B9" s="2936">
        <f t="shared" ref="B9:C11" si="8">B8/(1+N8)</f>
        <v>374.90436113236416</v>
      </c>
      <c r="C9" s="2936">
        <f t="shared" si="8"/>
        <v>295.64366128242779</v>
      </c>
      <c r="D9" s="2936">
        <f t="shared" ref="D9:D68" si="9">C9</f>
        <v>295.64366128242779</v>
      </c>
      <c r="E9" s="2936">
        <f t="shared" ref="E9:F11" si="10">E8/(1+P8)</f>
        <v>525.06646410938095</v>
      </c>
      <c r="F9" s="2936">
        <f t="shared" si="10"/>
        <v>261.88835286009646</v>
      </c>
      <c r="G9" s="3782"/>
      <c r="H9" s="2920">
        <v>3</v>
      </c>
      <c r="I9" s="2920">
        <v>4.12</v>
      </c>
      <c r="J9" s="2920">
        <v>2</v>
      </c>
      <c r="K9" s="2920">
        <v>4.79</v>
      </c>
      <c r="L9" s="2937">
        <v>1.97</v>
      </c>
      <c r="N9" s="2931">
        <f t="shared" ref="N9:Q43" si="11">I9/100</f>
        <v>4.1200000000000001E-2</v>
      </c>
      <c r="O9" s="2932">
        <f t="shared" si="6"/>
        <v>0.02</v>
      </c>
      <c r="P9" s="2932">
        <f t="shared" si="6"/>
        <v>4.7899999999999998E-2</v>
      </c>
      <c r="Q9" s="2932">
        <f t="shared" si="6"/>
        <v>1.9699999999999999E-2</v>
      </c>
      <c r="R9" s="2933"/>
      <c r="S9" s="2931"/>
      <c r="T9" s="2932"/>
      <c r="U9" s="2932"/>
      <c r="V9" s="2932"/>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1151</v>
      </c>
      <c r="B10" s="2936">
        <f t="shared" si="8"/>
        <v>360.06949782209392</v>
      </c>
      <c r="C10" s="2936">
        <f t="shared" si="8"/>
        <v>289.84672674747821</v>
      </c>
      <c r="D10" s="2936">
        <f t="shared" si="9"/>
        <v>289.84672674747821</v>
      </c>
      <c r="E10" s="2936">
        <f t="shared" si="10"/>
        <v>501.06543001181495</v>
      </c>
      <c r="F10" s="2936">
        <f t="shared" si="10"/>
        <v>256.82882500744967</v>
      </c>
      <c r="G10" s="3782"/>
      <c r="H10" s="2921">
        <v>2</v>
      </c>
      <c r="I10" s="2921">
        <v>3.85</v>
      </c>
      <c r="J10" s="2921">
        <v>1.95</v>
      </c>
      <c r="K10" s="2921">
        <v>4.4800000000000004</v>
      </c>
      <c r="L10" s="2938">
        <v>1.41</v>
      </c>
      <c r="N10" s="2931">
        <f t="shared" si="11"/>
        <v>3.85E-2</v>
      </c>
      <c r="O10" s="2932">
        <f t="shared" si="6"/>
        <v>1.95E-2</v>
      </c>
      <c r="P10" s="2932">
        <f t="shared" si="6"/>
        <v>4.4800000000000006E-2</v>
      </c>
      <c r="Q10" s="2932">
        <f t="shared" si="6"/>
        <v>1.41E-2</v>
      </c>
      <c r="R10" s="2933"/>
      <c r="S10" s="2931"/>
      <c r="T10" s="2932"/>
      <c r="U10" s="2932"/>
      <c r="V10" s="2932"/>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1160</v>
      </c>
      <c r="B11" s="2936">
        <f t="shared" si="8"/>
        <v>346.720748986128</v>
      </c>
      <c r="C11" s="2936">
        <f t="shared" si="8"/>
        <v>284.30282172386285</v>
      </c>
      <c r="D11" s="2936">
        <f t="shared" si="9"/>
        <v>284.30282172386285</v>
      </c>
      <c r="E11" s="2936">
        <f t="shared" si="10"/>
        <v>479.58023546306947</v>
      </c>
      <c r="F11" s="2936">
        <f t="shared" si="10"/>
        <v>253.25788877571213</v>
      </c>
      <c r="G11" s="3783"/>
      <c r="H11" s="2920">
        <v>1</v>
      </c>
      <c r="I11" s="2920">
        <v>4.09</v>
      </c>
      <c r="J11" s="2920">
        <v>2.93</v>
      </c>
      <c r="K11" s="2920">
        <v>4.54</v>
      </c>
      <c r="L11" s="2937">
        <v>1.48</v>
      </c>
      <c r="N11" s="2931">
        <f t="shared" si="11"/>
        <v>4.0899999999999999E-2</v>
      </c>
      <c r="O11" s="2932">
        <f t="shared" si="6"/>
        <v>2.9300000000000003E-2</v>
      </c>
      <c r="P11" s="2932">
        <f t="shared" si="6"/>
        <v>4.5400000000000003E-2</v>
      </c>
      <c r="Q11" s="2932">
        <f t="shared" si="6"/>
        <v>1.4800000000000001E-2</v>
      </c>
      <c r="R11" s="2933"/>
      <c r="S11" s="2939">
        <f>B11/B12-1</f>
        <v>4.1203450408792808E-2</v>
      </c>
      <c r="T11" s="2940">
        <f>C11/C12-1</f>
        <v>2.6363977342465095E-2</v>
      </c>
      <c r="U11" s="2940">
        <f>E11/E12-1</f>
        <v>4.4837114298626357E-2</v>
      </c>
      <c r="V11" s="2940">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1159</v>
      </c>
      <c r="B12" s="2928">
        <v>333</v>
      </c>
      <c r="C12" s="2928">
        <v>277</v>
      </c>
      <c r="D12" s="2928">
        <f t="shared" si="9"/>
        <v>277</v>
      </c>
      <c r="E12" s="2928">
        <v>459</v>
      </c>
      <c r="F12" s="2929">
        <v>249</v>
      </c>
      <c r="G12" s="3781">
        <v>2015</v>
      </c>
      <c r="H12" s="2941">
        <v>4</v>
      </c>
      <c r="I12" s="2941">
        <v>1.63</v>
      </c>
      <c r="J12" s="2941">
        <v>1.1100000000000001</v>
      </c>
      <c r="K12" s="2941">
        <v>1.77</v>
      </c>
      <c r="L12" s="2942">
        <v>1.89</v>
      </c>
      <c r="N12" s="2943">
        <f t="shared" si="11"/>
        <v>1.6299999999999999E-2</v>
      </c>
      <c r="O12" s="2944">
        <f t="shared" si="6"/>
        <v>1.11E-2</v>
      </c>
      <c r="P12" s="2944">
        <f t="shared" si="6"/>
        <v>1.77E-2</v>
      </c>
      <c r="Q12" s="2944">
        <f t="shared" si="6"/>
        <v>1.89E-2</v>
      </c>
      <c r="R12" s="2933"/>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1158</v>
      </c>
      <c r="B13" s="2936">
        <f t="shared" ref="B13:C15" si="12">B12/(1+N12)</f>
        <v>327.65915576109415</v>
      </c>
      <c r="C13" s="2936">
        <f t="shared" si="12"/>
        <v>273.95905449510434</v>
      </c>
      <c r="D13" s="2936">
        <f t="shared" si="9"/>
        <v>273.95905449510434</v>
      </c>
      <c r="E13" s="2936">
        <f t="shared" ref="E13:F15" si="13">E12/(1+P12)</f>
        <v>451.01699911565294</v>
      </c>
      <c r="F13" s="2936">
        <f t="shared" si="13"/>
        <v>244.38119540681129</v>
      </c>
      <c r="G13" s="3782"/>
      <c r="H13" s="2946">
        <v>3</v>
      </c>
      <c r="I13" s="2946">
        <v>1.65</v>
      </c>
      <c r="J13" s="2946">
        <v>0.92</v>
      </c>
      <c r="K13" s="2946">
        <v>1.88</v>
      </c>
      <c r="L13" s="2947">
        <v>1.26</v>
      </c>
      <c r="N13" s="2931">
        <f t="shared" si="11"/>
        <v>1.6500000000000001E-2</v>
      </c>
      <c r="O13" s="2948">
        <f t="shared" si="6"/>
        <v>9.1999999999999998E-3</v>
      </c>
      <c r="P13" s="2948">
        <f t="shared" si="6"/>
        <v>1.8799999999999997E-2</v>
      </c>
      <c r="Q13" s="2948">
        <f t="shared" si="6"/>
        <v>1.26E-2</v>
      </c>
      <c r="R13" s="2933"/>
      <c r="S13" s="2931"/>
      <c r="T13" s="2932"/>
      <c r="U13" s="2932"/>
      <c r="V13" s="2932"/>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1157</v>
      </c>
      <c r="B14" s="2936">
        <f t="shared" si="12"/>
        <v>322.34053690220776</v>
      </c>
      <c r="C14" s="2936">
        <f t="shared" si="12"/>
        <v>271.46160770422546</v>
      </c>
      <c r="D14" s="2936">
        <f t="shared" si="9"/>
        <v>271.46160770422546</v>
      </c>
      <c r="E14" s="2936">
        <f t="shared" si="13"/>
        <v>442.69434542172456</v>
      </c>
      <c r="F14" s="2936">
        <f t="shared" si="13"/>
        <v>241.34030753190925</v>
      </c>
      <c r="G14" s="3782"/>
      <c r="H14" s="2921">
        <v>2</v>
      </c>
      <c r="I14" s="2921">
        <v>0.77</v>
      </c>
      <c r="J14" s="2921">
        <v>0.69</v>
      </c>
      <c r="K14" s="2921">
        <v>0.8</v>
      </c>
      <c r="L14" s="2938">
        <v>0.88</v>
      </c>
      <c r="N14" s="2931">
        <f t="shared" si="11"/>
        <v>7.7000000000000002E-3</v>
      </c>
      <c r="O14" s="2948">
        <f t="shared" si="6"/>
        <v>6.8999999999999999E-3</v>
      </c>
      <c r="P14" s="2948">
        <f t="shared" si="6"/>
        <v>8.0000000000000002E-3</v>
      </c>
      <c r="Q14" s="2948">
        <f t="shared" si="6"/>
        <v>8.8000000000000005E-3</v>
      </c>
      <c r="R14" s="2933"/>
      <c r="S14" s="2931"/>
      <c r="T14" s="2932"/>
      <c r="U14" s="2932"/>
      <c r="V14" s="2932"/>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1156</v>
      </c>
      <c r="B15" s="2936">
        <f t="shared" si="12"/>
        <v>319.87748030386797</v>
      </c>
      <c r="C15" s="2936">
        <f t="shared" si="12"/>
        <v>269.60135833173649</v>
      </c>
      <c r="D15" s="2936">
        <f t="shared" si="9"/>
        <v>269.60135833173649</v>
      </c>
      <c r="E15" s="2936">
        <f t="shared" si="13"/>
        <v>439.18089823583784</v>
      </c>
      <c r="F15" s="2936">
        <f t="shared" si="13"/>
        <v>239.23503918706311</v>
      </c>
      <c r="G15" s="3783"/>
      <c r="H15" s="2920">
        <v>1</v>
      </c>
      <c r="I15" s="2920">
        <v>0.51</v>
      </c>
      <c r="J15" s="2920">
        <v>0.54</v>
      </c>
      <c r="K15" s="2920">
        <v>0.48</v>
      </c>
      <c r="L15" s="2937">
        <v>0.93</v>
      </c>
      <c r="N15" s="2939">
        <f t="shared" si="11"/>
        <v>5.1000000000000004E-3</v>
      </c>
      <c r="O15" s="2940">
        <f t="shared" si="6"/>
        <v>5.4000000000000003E-3</v>
      </c>
      <c r="P15" s="2940">
        <f t="shared" si="6"/>
        <v>4.7999999999999996E-3</v>
      </c>
      <c r="Q15" s="2940">
        <f t="shared" si="6"/>
        <v>9.300000000000001E-3</v>
      </c>
      <c r="R15" s="2933"/>
      <c r="S15" s="2939">
        <f>B15/B16-1</f>
        <v>5.9040261127922822E-3</v>
      </c>
      <c r="T15" s="2940">
        <f>C15/C16-1</f>
        <v>5.9752176557332781E-3</v>
      </c>
      <c r="U15" s="2940">
        <f>E15/E16-1</f>
        <v>4.9906138119859556E-3</v>
      </c>
      <c r="V15" s="2940">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1155</v>
      </c>
      <c r="B16" s="2949">
        <v>318</v>
      </c>
      <c r="C16" s="2949">
        <v>268</v>
      </c>
      <c r="D16" s="2949">
        <f t="shared" si="9"/>
        <v>268</v>
      </c>
      <c r="E16" s="2949">
        <v>437</v>
      </c>
      <c r="F16" s="2950">
        <v>237</v>
      </c>
      <c r="G16" s="3781">
        <v>2014</v>
      </c>
      <c r="H16" s="2941">
        <v>4</v>
      </c>
      <c r="I16" s="2941">
        <v>0.21</v>
      </c>
      <c r="J16" s="2941">
        <v>0.41</v>
      </c>
      <c r="K16" s="2941">
        <v>0.12</v>
      </c>
      <c r="L16" s="2942">
        <v>0.89</v>
      </c>
      <c r="N16" s="2931">
        <f t="shared" si="11"/>
        <v>2.0999999999999999E-3</v>
      </c>
      <c r="O16" s="2932">
        <f t="shared" si="6"/>
        <v>4.0999999999999995E-3</v>
      </c>
      <c r="P16" s="2932">
        <f t="shared" si="6"/>
        <v>1.1999999999999999E-3</v>
      </c>
      <c r="Q16" s="2932">
        <f t="shared" si="6"/>
        <v>8.8999999999999999E-3</v>
      </c>
      <c r="R16" s="2933"/>
      <c r="S16" s="2934"/>
      <c r="T16" s="2935"/>
      <c r="U16" s="2935"/>
      <c r="V16" s="2935"/>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1154</v>
      </c>
      <c r="B17" s="2936">
        <f t="shared" ref="B17:C19" si="14">B16/(1+N16)</f>
        <v>317.33359944117353</v>
      </c>
      <c r="C17" s="2936">
        <f t="shared" si="14"/>
        <v>266.90568668459315</v>
      </c>
      <c r="D17" s="2936">
        <f t="shared" si="9"/>
        <v>266.90568668459315</v>
      </c>
      <c r="E17" s="2936">
        <f t="shared" ref="E17:F19" si="15">E16/(1+P16)</f>
        <v>436.47622852576905</v>
      </c>
      <c r="F17" s="2936">
        <f t="shared" si="15"/>
        <v>234.90930716622066</v>
      </c>
      <c r="G17" s="3782"/>
      <c r="H17" s="2951">
        <v>3</v>
      </c>
      <c r="I17" s="2951">
        <v>0.83</v>
      </c>
      <c r="J17" s="2951">
        <v>1.47</v>
      </c>
      <c r="K17" s="2951">
        <v>0.65</v>
      </c>
      <c r="L17" s="2952">
        <v>0.72</v>
      </c>
      <c r="N17" s="2931">
        <f t="shared" si="11"/>
        <v>8.3000000000000001E-3</v>
      </c>
      <c r="O17" s="2932">
        <f t="shared" si="6"/>
        <v>1.47E-2</v>
      </c>
      <c r="P17" s="2932">
        <f t="shared" si="6"/>
        <v>6.5000000000000006E-3</v>
      </c>
      <c r="Q17" s="2932">
        <f t="shared" si="6"/>
        <v>7.1999999999999998E-3</v>
      </c>
      <c r="R17" s="2933"/>
      <c r="S17" s="2931"/>
      <c r="T17" s="2932"/>
      <c r="U17" s="2932"/>
      <c r="V17" s="2932"/>
      <c r="X17" s="2913">
        <f>ROUND(SUMPRODUCT(PRODUCT(1+N17:N$18)),4)</f>
        <v>1.0325</v>
      </c>
      <c r="Y17" s="2913">
        <f>ROUND(SUMPRODUCT(PRODUCT(1+O17:O$18)),4)</f>
        <v>1.0353000000000001</v>
      </c>
      <c r="Z17" s="2913">
        <f t="shared" ref="Z17:Z18" si="16">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1153</v>
      </c>
      <c r="B18" s="2936">
        <f t="shared" si="14"/>
        <v>314.72141172386546</v>
      </c>
      <c r="C18" s="2936">
        <f t="shared" si="14"/>
        <v>263.03901319069001</v>
      </c>
      <c r="D18" s="2936">
        <f t="shared" si="9"/>
        <v>263.03901319069001</v>
      </c>
      <c r="E18" s="2936">
        <f t="shared" si="15"/>
        <v>433.65745506782821</v>
      </c>
      <c r="F18" s="2936">
        <f t="shared" si="15"/>
        <v>233.23005080045735</v>
      </c>
      <c r="G18" s="3782"/>
      <c r="H18" s="2941">
        <v>2</v>
      </c>
      <c r="I18" s="2941">
        <v>2.4</v>
      </c>
      <c r="J18" s="2941">
        <v>2.0299999999999998</v>
      </c>
      <c r="K18" s="2941">
        <v>2.59</v>
      </c>
      <c r="L18" s="2942">
        <v>1.52</v>
      </c>
      <c r="N18" s="2931">
        <f t="shared" si="11"/>
        <v>2.4E-2</v>
      </c>
      <c r="O18" s="2932">
        <f t="shared" si="6"/>
        <v>2.0299999999999999E-2</v>
      </c>
      <c r="P18" s="2932">
        <f t="shared" si="6"/>
        <v>2.5899999999999999E-2</v>
      </c>
      <c r="Q18" s="2932">
        <f t="shared" si="6"/>
        <v>1.52E-2</v>
      </c>
      <c r="R18" s="2933"/>
      <c r="S18" s="2931"/>
      <c r="T18" s="2932"/>
      <c r="U18" s="2932"/>
      <c r="V18" s="2932"/>
      <c r="X18" s="2913">
        <f>1+N18</f>
        <v>1.024</v>
      </c>
      <c r="Y18" s="2913">
        <f>1+O18</f>
        <v>1.0203</v>
      </c>
      <c r="Z18" s="2913">
        <f t="shared" si="16"/>
        <v>1.0203</v>
      </c>
      <c r="AA18" s="2913">
        <f>1+P18</f>
        <v>1.0259</v>
      </c>
      <c r="AB18" s="2913">
        <f>1+Q18</f>
        <v>1.0152000000000001</v>
      </c>
      <c r="AD18" s="2914">
        <f>ROUND(AVERAGE(I18:I$19)/100,4)</f>
        <v>2.69E-2</v>
      </c>
      <c r="AE18" s="2914">
        <f>ROUND(AVERAGE(J18:J$19)/100,4)</f>
        <v>2.1899999999999999E-2</v>
      </c>
      <c r="AF18" s="2914">
        <f t="shared" ref="AF18" si="17">AE18</f>
        <v>2.1899999999999999E-2</v>
      </c>
      <c r="AG18" s="2914">
        <f>ROUND(AVERAGE(K18:K$19)/100,4)</f>
        <v>2.9399999999999999E-2</v>
      </c>
      <c r="AH18" s="2914">
        <f>ROUND(AVERAGE(L18:L$19)/100,4)</f>
        <v>1.44E-2</v>
      </c>
    </row>
    <row r="19" spans="1:34" s="2957" customFormat="1" ht="13.5" thickBot="1">
      <c r="A19" s="2953" t="s">
        <v>1152</v>
      </c>
      <c r="B19" s="2954">
        <f t="shared" si="14"/>
        <v>307.34512863658733</v>
      </c>
      <c r="C19" s="2954">
        <f t="shared" si="14"/>
        <v>257.80556031626975</v>
      </c>
      <c r="D19" s="2954">
        <f t="shared" si="9"/>
        <v>257.80556031626975</v>
      </c>
      <c r="E19" s="2954">
        <f t="shared" si="15"/>
        <v>422.70928459677179</v>
      </c>
      <c r="F19" s="2954">
        <f t="shared" si="15"/>
        <v>229.73803270336617</v>
      </c>
      <c r="G19" s="3783"/>
      <c r="H19" s="2955">
        <v>1</v>
      </c>
      <c r="I19" s="2955">
        <v>2.97</v>
      </c>
      <c r="J19" s="2955">
        <v>2.34</v>
      </c>
      <c r="K19" s="2955">
        <v>3.28</v>
      </c>
      <c r="L19" s="2956">
        <v>1.36</v>
      </c>
      <c r="N19" s="2958">
        <f t="shared" si="11"/>
        <v>2.9700000000000001E-2</v>
      </c>
      <c r="O19" s="2959">
        <f t="shared" si="6"/>
        <v>2.3399999999999997E-2</v>
      </c>
      <c r="P19" s="2959">
        <f t="shared" si="6"/>
        <v>3.2799999999999996E-2</v>
      </c>
      <c r="Q19" s="2959">
        <f t="shared" si="6"/>
        <v>1.3600000000000001E-2</v>
      </c>
      <c r="R19" s="2960"/>
      <c r="S19" s="2961">
        <f>B19/B20-1</f>
        <v>2.7910129219355539E-2</v>
      </c>
      <c r="T19" s="2962">
        <f>C19/C20-1</f>
        <v>2.3037937762975247E-2</v>
      </c>
      <c r="U19" s="2962">
        <f>E19/E20-1</f>
        <v>3.3519033243940788E-2</v>
      </c>
      <c r="V19" s="2962">
        <f>F19/F20-1</f>
        <v>1.2061818076502862E-2</v>
      </c>
      <c r="W19" s="2963" t="s">
        <v>2735</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5" t="s">
        <v>2736</v>
      </c>
      <c r="B20" s="2928">
        <v>299</v>
      </c>
      <c r="C20" s="2928">
        <v>252</v>
      </c>
      <c r="D20" s="2928">
        <f t="shared" si="9"/>
        <v>252</v>
      </c>
      <c r="E20" s="2928">
        <v>409</v>
      </c>
      <c r="F20" s="2929">
        <v>227</v>
      </c>
      <c r="G20" s="3786">
        <v>2013</v>
      </c>
      <c r="H20" s="2965">
        <v>4</v>
      </c>
      <c r="I20" s="2965">
        <v>1.83</v>
      </c>
      <c r="J20" s="2965">
        <v>1.68</v>
      </c>
      <c r="K20" s="2965">
        <v>1.97</v>
      </c>
      <c r="L20" s="2966">
        <v>0.87</v>
      </c>
      <c r="N20" s="2943">
        <f t="shared" si="11"/>
        <v>1.83E-2</v>
      </c>
      <c r="O20" s="2944">
        <f t="shared" si="6"/>
        <v>1.6799999999999999E-2</v>
      </c>
      <c r="P20" s="2944">
        <f t="shared" si="6"/>
        <v>1.9699999999999999E-2</v>
      </c>
      <c r="Q20" s="2944">
        <f t="shared" si="6"/>
        <v>8.6999999999999994E-3</v>
      </c>
      <c r="R20" s="2933"/>
      <c r="S20" s="2934"/>
      <c r="T20" s="2935"/>
      <c r="U20" s="2935"/>
      <c r="V20" s="2935"/>
      <c r="X20" s="2935"/>
      <c r="Y20" s="2935"/>
      <c r="Z20" s="2935"/>
    </row>
    <row r="21" spans="1:34">
      <c r="A21" s="2915" t="s">
        <v>2737</v>
      </c>
      <c r="B21" s="2936">
        <f t="shared" ref="B21:C23" si="18">B20/(1+N20)</f>
        <v>293.62663262299913</v>
      </c>
      <c r="C21" s="2936">
        <f t="shared" si="18"/>
        <v>247.83634933123525</v>
      </c>
      <c r="D21" s="2936">
        <f t="shared" si="9"/>
        <v>247.83634933123525</v>
      </c>
      <c r="E21" s="2936">
        <f t="shared" ref="E21:F23" si="19">E20/(1+P20)</f>
        <v>401.09836226341076</v>
      </c>
      <c r="F21" s="2936">
        <f t="shared" si="19"/>
        <v>225.04213343908003</v>
      </c>
      <c r="G21" s="3787"/>
      <c r="H21" s="2946">
        <v>3</v>
      </c>
      <c r="I21" s="2946">
        <v>1.86</v>
      </c>
      <c r="J21" s="2946">
        <v>1.72</v>
      </c>
      <c r="K21" s="2946">
        <v>1.98</v>
      </c>
      <c r="L21" s="2947">
        <v>0.88</v>
      </c>
      <c r="N21" s="2931">
        <f t="shared" si="11"/>
        <v>1.8600000000000002E-2</v>
      </c>
      <c r="O21" s="2948">
        <f t="shared" si="6"/>
        <v>1.72E-2</v>
      </c>
      <c r="P21" s="2948">
        <f t="shared" si="6"/>
        <v>1.9799999999999998E-2</v>
      </c>
      <c r="Q21" s="2948">
        <f t="shared" si="6"/>
        <v>8.8000000000000005E-3</v>
      </c>
      <c r="R21" s="2933"/>
      <c r="S21" s="2931"/>
      <c r="T21" s="2932"/>
      <c r="U21" s="2932"/>
      <c r="V21" s="2932"/>
    </row>
    <row r="22" spans="1:34">
      <c r="A22" s="2915" t="s">
        <v>2738</v>
      </c>
      <c r="B22" s="2936">
        <f t="shared" si="18"/>
        <v>288.2649053828776</v>
      </c>
      <c r="C22" s="2936">
        <f t="shared" si="18"/>
        <v>243.64564425013293</v>
      </c>
      <c r="D22" s="2936">
        <f t="shared" si="9"/>
        <v>243.64564425013293</v>
      </c>
      <c r="E22" s="2936">
        <f t="shared" si="19"/>
        <v>393.31080825986544</v>
      </c>
      <c r="F22" s="2936">
        <f t="shared" si="19"/>
        <v>223.07903790551154</v>
      </c>
      <c r="G22" s="3787"/>
      <c r="H22" s="2921">
        <v>2</v>
      </c>
      <c r="I22" s="2921">
        <v>2.04</v>
      </c>
      <c r="J22" s="2921">
        <v>2.33</v>
      </c>
      <c r="K22" s="2921">
        <v>2.0699999999999998</v>
      </c>
      <c r="L22" s="2938">
        <v>0.69</v>
      </c>
      <c r="N22" s="2931">
        <f t="shared" si="11"/>
        <v>2.0400000000000001E-2</v>
      </c>
      <c r="O22" s="2948">
        <f t="shared" si="6"/>
        <v>2.3300000000000001E-2</v>
      </c>
      <c r="P22" s="2948">
        <f t="shared" si="6"/>
        <v>2.07E-2</v>
      </c>
      <c r="Q22" s="2948">
        <f t="shared" si="6"/>
        <v>6.8999999999999999E-3</v>
      </c>
      <c r="R22" s="2933"/>
      <c r="S22" s="2931"/>
      <c r="T22" s="2932"/>
      <c r="U22" s="2932"/>
      <c r="V22" s="2932"/>
      <c r="X22" s="2967"/>
      <c r="Y22" s="2968"/>
    </row>
    <row r="23" spans="1:34">
      <c r="A23" s="2915" t="s">
        <v>2739</v>
      </c>
      <c r="B23" s="2936">
        <f t="shared" si="18"/>
        <v>282.50186729015837</v>
      </c>
      <c r="C23" s="2936">
        <f t="shared" si="18"/>
        <v>238.09796174155468</v>
      </c>
      <c r="D23" s="2936">
        <f t="shared" si="9"/>
        <v>238.09796174155468</v>
      </c>
      <c r="E23" s="2936">
        <f t="shared" si="19"/>
        <v>385.33438646014054</v>
      </c>
      <c r="F23" s="2936">
        <f t="shared" si="19"/>
        <v>221.55034055567739</v>
      </c>
      <c r="G23" s="3788"/>
      <c r="H23" s="2920">
        <v>1</v>
      </c>
      <c r="I23" s="2920">
        <v>1.67</v>
      </c>
      <c r="J23" s="2920">
        <v>1.31</v>
      </c>
      <c r="K23" s="2920">
        <v>1.85</v>
      </c>
      <c r="L23" s="2937">
        <v>0.96</v>
      </c>
      <c r="N23" s="2939">
        <f t="shared" si="11"/>
        <v>1.67E-2</v>
      </c>
      <c r="O23" s="2940">
        <f t="shared" si="11"/>
        <v>1.3100000000000001E-2</v>
      </c>
      <c r="P23" s="2940">
        <f t="shared" si="11"/>
        <v>1.8500000000000003E-2</v>
      </c>
      <c r="Q23" s="2940">
        <f t="shared" si="11"/>
        <v>9.5999999999999992E-3</v>
      </c>
      <c r="R23" s="2933"/>
      <c r="S23" s="2939">
        <f>B23/B24-1</f>
        <v>1.6193767230785472E-2</v>
      </c>
      <c r="T23" s="2940">
        <f>C23/C24-1</f>
        <v>1.7512657015190891E-2</v>
      </c>
      <c r="U23" s="2940">
        <f>E23/E24-1</f>
        <v>1.6713420739157048E-2</v>
      </c>
      <c r="V23" s="2940">
        <f>F23/F24-1</f>
        <v>7.0470025258062563E-3</v>
      </c>
      <c r="X23" s="2969"/>
      <c r="Y23" s="2914"/>
      <c r="Z23" s="2914"/>
    </row>
    <row r="24" spans="1:34" ht="13.5" thickBot="1">
      <c r="A24" s="2915" t="s">
        <v>2740</v>
      </c>
      <c r="B24" s="2970">
        <v>278</v>
      </c>
      <c r="C24" s="2970">
        <v>234</v>
      </c>
      <c r="D24" s="2970">
        <f t="shared" si="9"/>
        <v>234</v>
      </c>
      <c r="E24" s="2970">
        <v>379</v>
      </c>
      <c r="F24" s="2971">
        <v>220</v>
      </c>
      <c r="G24" s="3781">
        <v>2012</v>
      </c>
      <c r="H24" s="2941">
        <v>4</v>
      </c>
      <c r="I24" s="2941">
        <v>0.91</v>
      </c>
      <c r="J24" s="2941">
        <v>0.68</v>
      </c>
      <c r="K24" s="2941">
        <v>0.98</v>
      </c>
      <c r="L24" s="2942">
        <v>0.9</v>
      </c>
      <c r="N24" s="2931">
        <f t="shared" si="11"/>
        <v>9.1000000000000004E-3</v>
      </c>
      <c r="O24" s="2932">
        <f t="shared" si="11"/>
        <v>6.8000000000000005E-3</v>
      </c>
      <c r="P24" s="2932">
        <f t="shared" si="11"/>
        <v>9.7999999999999997E-3</v>
      </c>
      <c r="Q24" s="2932">
        <f t="shared" si="11"/>
        <v>9.0000000000000011E-3</v>
      </c>
      <c r="R24" s="2933"/>
      <c r="S24" s="2934"/>
      <c r="T24" s="2935"/>
      <c r="U24" s="2935"/>
      <c r="V24" s="2935"/>
      <c r="X24" s="2935"/>
      <c r="Y24" s="2935"/>
      <c r="Z24" s="2935"/>
    </row>
    <row r="25" spans="1:34">
      <c r="A25" s="2915" t="s">
        <v>2741</v>
      </c>
      <c r="B25" s="2936">
        <f>B24/(1+N24)</f>
        <v>275.49301357645425</v>
      </c>
      <c r="C25" s="2936">
        <f>C24/(1+O24)</f>
        <v>232.41954707985698</v>
      </c>
      <c r="D25" s="2936">
        <f t="shared" si="9"/>
        <v>232.41954707985698</v>
      </c>
      <c r="E25" s="2936">
        <f t="shared" ref="E25:F27" si="20">E24/(1+P24)</f>
        <v>375.32184591008121</v>
      </c>
      <c r="F25" s="2936">
        <f t="shared" si="20"/>
        <v>218.03766105054513</v>
      </c>
      <c r="G25" s="3782"/>
      <c r="H25" s="2946">
        <v>3</v>
      </c>
      <c r="I25" s="2946">
        <v>0.09</v>
      </c>
      <c r="J25" s="2946">
        <v>0.28999999999999998</v>
      </c>
      <c r="K25" s="2946">
        <v>-0.01</v>
      </c>
      <c r="L25" s="2947">
        <v>0.57999999999999996</v>
      </c>
      <c r="N25" s="2931">
        <f t="shared" si="11"/>
        <v>8.9999999999999998E-4</v>
      </c>
      <c r="O25" s="2932">
        <f t="shared" si="11"/>
        <v>2.8999999999999998E-3</v>
      </c>
      <c r="P25" s="2932">
        <f t="shared" si="11"/>
        <v>-1E-4</v>
      </c>
      <c r="Q25" s="2932">
        <f t="shared" si="11"/>
        <v>5.7999999999999996E-3</v>
      </c>
      <c r="R25" s="2933"/>
      <c r="S25" s="2931"/>
      <c r="T25" s="2932"/>
      <c r="U25" s="2932"/>
      <c r="V25" s="2932"/>
    </row>
    <row r="26" spans="1:34">
      <c r="A26" s="2915" t="s">
        <v>2742</v>
      </c>
      <c r="B26" s="2936">
        <f>B25/(1+N25)</f>
        <v>275.24529281292263</v>
      </c>
      <c r="C26" s="2936">
        <f>C25/(1+O25)</f>
        <v>231.74747938962707</v>
      </c>
      <c r="D26" s="2936">
        <f t="shared" si="9"/>
        <v>231.74747938962707</v>
      </c>
      <c r="E26" s="2936">
        <f t="shared" si="20"/>
        <v>375.35938184826603</v>
      </c>
      <c r="F26" s="2936">
        <f t="shared" si="20"/>
        <v>216.78033510692495</v>
      </c>
      <c r="G26" s="3782"/>
      <c r="H26" s="2921">
        <v>2</v>
      </c>
      <c r="I26" s="2921">
        <v>0.02</v>
      </c>
      <c r="J26" s="2921">
        <v>0.12</v>
      </c>
      <c r="K26" s="2921">
        <v>-0.08</v>
      </c>
      <c r="L26" s="2938">
        <v>1.24</v>
      </c>
      <c r="N26" s="2931">
        <f t="shared" si="11"/>
        <v>2.0000000000000001E-4</v>
      </c>
      <c r="O26" s="2932">
        <f t="shared" si="11"/>
        <v>1.1999999999999999E-3</v>
      </c>
      <c r="P26" s="2932">
        <f t="shared" si="11"/>
        <v>-8.0000000000000004E-4</v>
      </c>
      <c r="Q26" s="2932">
        <f t="shared" si="11"/>
        <v>1.24E-2</v>
      </c>
      <c r="R26" s="2933"/>
      <c r="S26" s="2931"/>
      <c r="T26" s="2932"/>
      <c r="U26" s="2932"/>
      <c r="V26" s="2932"/>
    </row>
    <row r="27" spans="1:34" ht="13.5" thickBot="1">
      <c r="A27" s="2915" t="s">
        <v>2743</v>
      </c>
      <c r="B27" s="2936">
        <f>B26/(1+N26)</f>
        <v>275.19025476197027</v>
      </c>
      <c r="C27" s="2972">
        <v>232</v>
      </c>
      <c r="D27" s="2972">
        <f t="shared" si="9"/>
        <v>232</v>
      </c>
      <c r="E27" s="2936">
        <f t="shared" si="20"/>
        <v>375.65990977608692</v>
      </c>
      <c r="F27" s="2936">
        <f t="shared" si="20"/>
        <v>214.12518283971252</v>
      </c>
      <c r="G27" s="3783"/>
      <c r="H27" s="2920">
        <v>1</v>
      </c>
      <c r="I27" s="2920">
        <v>0.02</v>
      </c>
      <c r="J27" s="2920">
        <v>0.13</v>
      </c>
      <c r="K27" s="2920">
        <v>-0.04</v>
      </c>
      <c r="L27" s="2937">
        <v>0.46</v>
      </c>
      <c r="N27" s="2931">
        <f t="shared" si="11"/>
        <v>2.0000000000000001E-4</v>
      </c>
      <c r="O27" s="2932">
        <f t="shared" si="11"/>
        <v>1.2999999999999999E-3</v>
      </c>
      <c r="P27" s="2932">
        <f t="shared" si="11"/>
        <v>-4.0000000000000002E-4</v>
      </c>
      <c r="Q27" s="2932">
        <f t="shared" si="11"/>
        <v>4.5999999999999999E-3</v>
      </c>
      <c r="R27" s="2933"/>
      <c r="S27" s="2939">
        <f>B27/B28-1</f>
        <v>6.9183549807361189E-4</v>
      </c>
      <c r="T27" s="2940">
        <f>C27/C28-1</f>
        <v>0</v>
      </c>
      <c r="U27" s="2940">
        <f>E27/E28-1</f>
        <v>-9.0449527636460303E-4</v>
      </c>
      <c r="V27" s="2940">
        <f>F27/F28-1</f>
        <v>5.2825485432512753E-3</v>
      </c>
      <c r="X27" s="2914"/>
      <c r="Y27" s="2914"/>
      <c r="Z27" s="2914"/>
    </row>
    <row r="28" spans="1:34" ht="13.5" thickBot="1">
      <c r="A28" s="2915" t="s">
        <v>2744</v>
      </c>
      <c r="B28" s="2928">
        <v>275</v>
      </c>
      <c r="C28" s="2928">
        <v>232</v>
      </c>
      <c r="D28" s="2928">
        <f t="shared" si="9"/>
        <v>232</v>
      </c>
      <c r="E28" s="2928">
        <v>376</v>
      </c>
      <c r="F28" s="2929">
        <v>213</v>
      </c>
      <c r="G28" s="3781">
        <v>2011</v>
      </c>
      <c r="H28" s="2941">
        <v>4</v>
      </c>
      <c r="I28" s="2941">
        <v>-0.2</v>
      </c>
      <c r="J28" s="2941">
        <v>0.04</v>
      </c>
      <c r="K28" s="2941">
        <v>-0.34</v>
      </c>
      <c r="L28" s="2942">
        <v>0.46</v>
      </c>
      <c r="N28" s="2943">
        <f t="shared" si="11"/>
        <v>-2E-3</v>
      </c>
      <c r="O28" s="2944">
        <f t="shared" si="11"/>
        <v>4.0000000000000002E-4</v>
      </c>
      <c r="P28" s="2944">
        <f t="shared" si="11"/>
        <v>-3.4000000000000002E-3</v>
      </c>
      <c r="Q28" s="2944">
        <f t="shared" si="11"/>
        <v>4.5999999999999999E-3</v>
      </c>
      <c r="R28" s="2933"/>
      <c r="S28" s="2934"/>
      <c r="T28" s="2935"/>
      <c r="U28" s="2935"/>
      <c r="V28" s="2935"/>
      <c r="X28" s="2935"/>
      <c r="Y28" s="2935"/>
      <c r="Z28" s="2935"/>
    </row>
    <row r="29" spans="1:34">
      <c r="A29" s="2915" t="s">
        <v>2745</v>
      </c>
      <c r="B29" s="2936">
        <f t="shared" ref="B29:C31" si="21">B28/(1+N28)</f>
        <v>275.55110220440883</v>
      </c>
      <c r="C29" s="2936">
        <f t="shared" si="21"/>
        <v>231.90723710515795</v>
      </c>
      <c r="D29" s="2936">
        <f t="shared" si="9"/>
        <v>231.90723710515795</v>
      </c>
      <c r="E29" s="2936">
        <f t="shared" ref="E29:F31" si="22">E28/(1+P28)</f>
        <v>377.28276138872161</v>
      </c>
      <c r="F29" s="2936">
        <f t="shared" si="22"/>
        <v>212.02468644236512</v>
      </c>
      <c r="G29" s="3782">
        <v>2011</v>
      </c>
      <c r="H29" s="2946">
        <v>3</v>
      </c>
      <c r="I29" s="2946">
        <v>0.13</v>
      </c>
      <c r="J29" s="2946">
        <v>0.75</v>
      </c>
      <c r="K29" s="2946">
        <v>-0.08</v>
      </c>
      <c r="L29" s="2947">
        <v>0.53</v>
      </c>
      <c r="N29" s="2931">
        <f t="shared" si="11"/>
        <v>1.2999999999999999E-3</v>
      </c>
      <c r="O29" s="2948">
        <f t="shared" si="11"/>
        <v>7.4999999999999997E-3</v>
      </c>
      <c r="P29" s="2948">
        <f t="shared" si="11"/>
        <v>-8.0000000000000004E-4</v>
      </c>
      <c r="Q29" s="2948">
        <f t="shared" si="11"/>
        <v>5.3E-3</v>
      </c>
      <c r="R29" s="2933"/>
      <c r="S29" s="2931"/>
      <c r="T29" s="2932"/>
      <c r="U29" s="2932"/>
      <c r="V29" s="2932"/>
    </row>
    <row r="30" spans="1:34">
      <c r="A30" s="2915" t="s">
        <v>2746</v>
      </c>
      <c r="B30" s="2936">
        <f t="shared" si="21"/>
        <v>275.19335084830601</v>
      </c>
      <c r="C30" s="2936">
        <f t="shared" si="21"/>
        <v>230.18088050139744</v>
      </c>
      <c r="D30" s="2936">
        <f t="shared" si="9"/>
        <v>230.18088050139744</v>
      </c>
      <c r="E30" s="2936">
        <f t="shared" si="22"/>
        <v>377.58482925212331</v>
      </c>
      <c r="F30" s="2936">
        <f t="shared" si="22"/>
        <v>210.90687997847917</v>
      </c>
      <c r="G30" s="3782">
        <v>2011</v>
      </c>
      <c r="H30" s="2921">
        <v>2</v>
      </c>
      <c r="I30" s="2921">
        <v>-0.4</v>
      </c>
      <c r="J30" s="2921">
        <v>0.17</v>
      </c>
      <c r="K30" s="2921">
        <v>-0.57999999999999996</v>
      </c>
      <c r="L30" s="2938">
        <v>-0.2</v>
      </c>
      <c r="N30" s="2931">
        <f t="shared" si="11"/>
        <v>-4.0000000000000001E-3</v>
      </c>
      <c r="O30" s="2948">
        <f t="shared" si="11"/>
        <v>1.7000000000000001E-3</v>
      </c>
      <c r="P30" s="2948">
        <f t="shared" si="11"/>
        <v>-5.7999999999999996E-3</v>
      </c>
      <c r="Q30" s="2948">
        <f t="shared" si="11"/>
        <v>-2E-3</v>
      </c>
      <c r="R30" s="2933"/>
      <c r="S30" s="2931"/>
      <c r="T30" s="2932"/>
      <c r="U30" s="2932"/>
      <c r="V30" s="2932"/>
    </row>
    <row r="31" spans="1:34" ht="13.5" thickBot="1">
      <c r="A31" s="2915" t="s">
        <v>2747</v>
      </c>
      <c r="B31" s="2936">
        <f t="shared" si="21"/>
        <v>276.29854502841971</v>
      </c>
      <c r="C31" s="2936">
        <f t="shared" si="21"/>
        <v>229.79023709833027</v>
      </c>
      <c r="D31" s="2936">
        <f t="shared" si="9"/>
        <v>229.79023709833027</v>
      </c>
      <c r="E31" s="2936">
        <f t="shared" si="22"/>
        <v>379.78759731655936</v>
      </c>
      <c r="F31" s="2936">
        <f t="shared" si="22"/>
        <v>211.32953905659235</v>
      </c>
      <c r="G31" s="3783">
        <v>2011</v>
      </c>
      <c r="H31" s="2920">
        <v>1</v>
      </c>
      <c r="I31" s="2920">
        <v>2.65</v>
      </c>
      <c r="J31" s="2920">
        <v>3.76</v>
      </c>
      <c r="K31" s="2920">
        <v>1.89</v>
      </c>
      <c r="L31" s="2937">
        <v>7.95</v>
      </c>
      <c r="N31" s="2939">
        <f t="shared" si="11"/>
        <v>2.6499999999999999E-2</v>
      </c>
      <c r="O31" s="2940">
        <f t="shared" si="11"/>
        <v>3.7599999999999995E-2</v>
      </c>
      <c r="P31" s="2940">
        <f t="shared" si="11"/>
        <v>1.89E-2</v>
      </c>
      <c r="Q31" s="2940">
        <f t="shared" si="11"/>
        <v>7.9500000000000001E-2</v>
      </c>
      <c r="R31" s="2933"/>
      <c r="S31" s="2939">
        <f>B31/B32-1</f>
        <v>2.713213765211786E-2</v>
      </c>
      <c r="T31" s="2940">
        <f>C31/C32-1</f>
        <v>3.9774828499231862E-2</v>
      </c>
      <c r="U31" s="2940">
        <f>E31/E32-1</f>
        <v>1.8197311840641772E-2</v>
      </c>
      <c r="V31" s="2940">
        <f>F31/F32-1</f>
        <v>7.8211933962205826E-2</v>
      </c>
      <c r="X31" s="2914"/>
      <c r="Y31" s="2914"/>
      <c r="Z31" s="2914"/>
    </row>
    <row r="32" spans="1:34" ht="13.5" thickBot="1">
      <c r="A32" s="2915" t="s">
        <v>2748</v>
      </c>
      <c r="B32" s="2928">
        <v>269</v>
      </c>
      <c r="C32" s="2928">
        <v>221</v>
      </c>
      <c r="D32" s="2928">
        <f t="shared" si="9"/>
        <v>221</v>
      </c>
      <c r="E32" s="2928">
        <v>373</v>
      </c>
      <c r="F32" s="2929">
        <v>196</v>
      </c>
      <c r="G32" s="3781">
        <v>2010</v>
      </c>
      <c r="H32" s="2941">
        <v>4</v>
      </c>
      <c r="I32" s="2941">
        <v>5.72</v>
      </c>
      <c r="J32" s="2941">
        <v>6.57</v>
      </c>
      <c r="K32" s="2941">
        <v>5.72</v>
      </c>
      <c r="L32" s="2942">
        <v>2.72</v>
      </c>
      <c r="N32" s="2931">
        <f t="shared" si="11"/>
        <v>5.7200000000000001E-2</v>
      </c>
      <c r="O32" s="2932">
        <f t="shared" si="11"/>
        <v>6.5700000000000008E-2</v>
      </c>
      <c r="P32" s="2932">
        <f t="shared" si="11"/>
        <v>5.7200000000000001E-2</v>
      </c>
      <c r="Q32" s="2932">
        <f t="shared" si="11"/>
        <v>2.7200000000000002E-2</v>
      </c>
      <c r="R32" s="2933"/>
      <c r="S32" s="2934"/>
      <c r="T32" s="2935"/>
      <c r="U32" s="2935"/>
      <c r="V32" s="2935"/>
      <c r="X32" s="2935"/>
      <c r="Y32" s="2935"/>
      <c r="Z32" s="2935"/>
    </row>
    <row r="33" spans="1:26">
      <c r="A33" s="2915" t="s">
        <v>2749</v>
      </c>
      <c r="B33" s="2936">
        <f t="shared" ref="B33:C35" si="23">B32/(1+N32)</f>
        <v>254.44570563753314</v>
      </c>
      <c r="C33" s="2936">
        <f t="shared" si="23"/>
        <v>207.37543398705074</v>
      </c>
      <c r="D33" s="2936">
        <f t="shared" si="9"/>
        <v>207.37543398705074</v>
      </c>
      <c r="E33" s="2936">
        <f t="shared" ref="E33:F35" si="24">E32/(1+P32)</f>
        <v>352.81876655315932</v>
      </c>
      <c r="F33" s="2936">
        <f t="shared" si="24"/>
        <v>190.809968847352</v>
      </c>
      <c r="G33" s="3782">
        <v>2010</v>
      </c>
      <c r="H33" s="2946">
        <v>3</v>
      </c>
      <c r="I33" s="2946">
        <v>4.7300000000000004</v>
      </c>
      <c r="J33" s="2946">
        <v>3.9</v>
      </c>
      <c r="K33" s="2946">
        <v>5.03</v>
      </c>
      <c r="L33" s="2947">
        <v>4.21</v>
      </c>
      <c r="N33" s="2931">
        <f t="shared" si="11"/>
        <v>4.7300000000000002E-2</v>
      </c>
      <c r="O33" s="2932">
        <f t="shared" si="11"/>
        <v>3.9E-2</v>
      </c>
      <c r="P33" s="2932">
        <f t="shared" si="11"/>
        <v>5.0300000000000004E-2</v>
      </c>
      <c r="Q33" s="2932">
        <f t="shared" si="11"/>
        <v>4.2099999999999999E-2</v>
      </c>
      <c r="R33" s="2933"/>
      <c r="S33" s="2931"/>
      <c r="T33" s="2932"/>
      <c r="U33" s="2932"/>
      <c r="V33" s="2932"/>
    </row>
    <row r="34" spans="1:26">
      <c r="A34" s="2915" t="s">
        <v>2750</v>
      </c>
      <c r="B34" s="2936">
        <f t="shared" si="23"/>
        <v>242.95398227588385</v>
      </c>
      <c r="C34" s="2936">
        <f t="shared" si="23"/>
        <v>199.59137053614126</v>
      </c>
      <c r="D34" s="2936">
        <f t="shared" si="9"/>
        <v>199.59137053614126</v>
      </c>
      <c r="E34" s="2936">
        <f t="shared" si="24"/>
        <v>335.92189522342125</v>
      </c>
      <c r="F34" s="2936">
        <f t="shared" si="24"/>
        <v>183.10139991109489</v>
      </c>
      <c r="G34" s="3782">
        <v>2010</v>
      </c>
      <c r="H34" s="2921">
        <v>2</v>
      </c>
      <c r="I34" s="2921">
        <v>4.6900000000000004</v>
      </c>
      <c r="J34" s="2921">
        <v>3.55</v>
      </c>
      <c r="K34" s="2921">
        <v>5.07</v>
      </c>
      <c r="L34" s="2938">
        <v>4.2300000000000004</v>
      </c>
      <c r="N34" s="2931">
        <f t="shared" si="11"/>
        <v>4.6900000000000004E-2</v>
      </c>
      <c r="O34" s="2932">
        <f t="shared" si="11"/>
        <v>3.5499999999999997E-2</v>
      </c>
      <c r="P34" s="2932">
        <f t="shared" si="11"/>
        <v>5.0700000000000002E-2</v>
      </c>
      <c r="Q34" s="2932">
        <f t="shared" si="11"/>
        <v>4.2300000000000004E-2</v>
      </c>
      <c r="R34" s="2933"/>
      <c r="S34" s="2931"/>
      <c r="T34" s="2932"/>
      <c r="U34" s="2932"/>
      <c r="V34" s="2932"/>
    </row>
    <row r="35" spans="1:26" ht="13.5" thickBot="1">
      <c r="A35" s="2915" t="s">
        <v>2751</v>
      </c>
      <c r="B35" s="2936">
        <f t="shared" si="23"/>
        <v>232.06990378821649</v>
      </c>
      <c r="C35" s="2936">
        <f t="shared" si="23"/>
        <v>192.74878854286936</v>
      </c>
      <c r="D35" s="2936">
        <f t="shared" si="9"/>
        <v>192.74878854286936</v>
      </c>
      <c r="E35" s="2936">
        <f t="shared" si="24"/>
        <v>319.71247284992984</v>
      </c>
      <c r="F35" s="2936">
        <f t="shared" si="24"/>
        <v>175.67053622862409</v>
      </c>
      <c r="G35" s="3783">
        <v>2010</v>
      </c>
      <c r="H35" s="2920">
        <v>1</v>
      </c>
      <c r="I35" s="2920">
        <v>5.4</v>
      </c>
      <c r="J35" s="2920">
        <v>3.2</v>
      </c>
      <c r="K35" s="2920">
        <v>6.16</v>
      </c>
      <c r="L35" s="2937">
        <v>4.51</v>
      </c>
      <c r="N35" s="2931">
        <f t="shared" si="11"/>
        <v>5.4000000000000006E-2</v>
      </c>
      <c r="O35" s="2932">
        <f t="shared" si="11"/>
        <v>3.2000000000000001E-2</v>
      </c>
      <c r="P35" s="2932">
        <f t="shared" si="11"/>
        <v>6.1600000000000002E-2</v>
      </c>
      <c r="Q35" s="2932">
        <f t="shared" si="11"/>
        <v>4.5100000000000001E-2</v>
      </c>
      <c r="R35" s="2933"/>
      <c r="S35" s="2939">
        <f>B35/B36-1</f>
        <v>5.4863199037347599E-2</v>
      </c>
      <c r="T35" s="2940">
        <f>C35/C36-1</f>
        <v>3.0742184721226584E-2</v>
      </c>
      <c r="U35" s="2940">
        <f>E35/E36-1</f>
        <v>6.2167683886810154E-2</v>
      </c>
      <c r="V35" s="2940">
        <f>F35/F36-1</f>
        <v>4.5657953741810031E-2</v>
      </c>
      <c r="X35" s="2914"/>
      <c r="Y35" s="2914"/>
      <c r="Z35" s="2914"/>
    </row>
    <row r="36" spans="1:26" ht="13.5" thickBot="1">
      <c r="A36" s="2915" t="s">
        <v>2752</v>
      </c>
      <c r="B36" s="2928">
        <v>220</v>
      </c>
      <c r="C36" s="2928">
        <v>187</v>
      </c>
      <c r="D36" s="2928">
        <f t="shared" si="9"/>
        <v>187</v>
      </c>
      <c r="E36" s="2928">
        <v>301</v>
      </c>
      <c r="F36" s="2929">
        <v>168</v>
      </c>
      <c r="G36" s="3781">
        <v>2009</v>
      </c>
      <c r="H36" s="2941">
        <v>4</v>
      </c>
      <c r="I36" s="2941">
        <v>2.2999999999999998</v>
      </c>
      <c r="J36" s="2941">
        <v>1.04</v>
      </c>
      <c r="K36" s="2941">
        <v>2.84</v>
      </c>
      <c r="L36" s="2942">
        <v>0.67</v>
      </c>
      <c r="N36" s="2943">
        <f t="shared" si="11"/>
        <v>2.3E-2</v>
      </c>
      <c r="O36" s="2944">
        <f t="shared" si="11"/>
        <v>1.04E-2</v>
      </c>
      <c r="P36" s="2944">
        <f t="shared" si="11"/>
        <v>2.8399999999999998E-2</v>
      </c>
      <c r="Q36" s="2944">
        <f t="shared" si="11"/>
        <v>6.7000000000000002E-3</v>
      </c>
      <c r="R36" s="2933"/>
      <c r="S36" s="2934"/>
      <c r="T36" s="2935"/>
      <c r="U36" s="2935"/>
      <c r="V36" s="2935"/>
      <c r="X36" s="2935"/>
      <c r="Y36" s="2935"/>
      <c r="Z36" s="2935"/>
    </row>
    <row r="37" spans="1:26">
      <c r="A37" s="2915" t="s">
        <v>2753</v>
      </c>
      <c r="B37" s="2936">
        <f t="shared" ref="B37:C39" si="25">B36/(1+N36)</f>
        <v>215.05376344086022</v>
      </c>
      <c r="C37" s="2936">
        <f t="shared" si="25"/>
        <v>185.0752177355503</v>
      </c>
      <c r="D37" s="2936">
        <f t="shared" si="9"/>
        <v>185.0752177355503</v>
      </c>
      <c r="E37" s="2936">
        <f t="shared" ref="E37:F39" si="26">E36/(1+P36)</f>
        <v>292.68767016725008</v>
      </c>
      <c r="F37" s="2936">
        <f t="shared" si="26"/>
        <v>166.88189132810174</v>
      </c>
      <c r="G37" s="3782">
        <v>2009</v>
      </c>
      <c r="H37" s="2946">
        <v>3</v>
      </c>
      <c r="I37" s="2946">
        <v>2.1</v>
      </c>
      <c r="J37" s="2946">
        <v>1.86</v>
      </c>
      <c r="K37" s="2946">
        <v>2.29</v>
      </c>
      <c r="L37" s="2947">
        <v>0.85</v>
      </c>
      <c r="N37" s="2931">
        <f t="shared" si="11"/>
        <v>2.1000000000000001E-2</v>
      </c>
      <c r="O37" s="2948">
        <f t="shared" si="11"/>
        <v>1.8600000000000002E-2</v>
      </c>
      <c r="P37" s="2948">
        <f t="shared" si="11"/>
        <v>2.29E-2</v>
      </c>
      <c r="Q37" s="2948">
        <f t="shared" si="11"/>
        <v>8.5000000000000006E-3</v>
      </c>
      <c r="R37" s="2933"/>
      <c r="S37" s="2931"/>
      <c r="T37" s="2932"/>
      <c r="U37" s="2932"/>
      <c r="V37" s="2932"/>
    </row>
    <row r="38" spans="1:26">
      <c r="A38" s="2915" t="s">
        <v>2754</v>
      </c>
      <c r="B38" s="2936">
        <f t="shared" si="25"/>
        <v>210.630522469011</v>
      </c>
      <c r="C38" s="2936">
        <f t="shared" si="25"/>
        <v>181.69567812247232</v>
      </c>
      <c r="D38" s="2936">
        <f t="shared" si="9"/>
        <v>181.69567812247232</v>
      </c>
      <c r="E38" s="2936">
        <f t="shared" si="26"/>
        <v>286.13517466736738</v>
      </c>
      <c r="F38" s="2936">
        <f t="shared" si="26"/>
        <v>165.47535084591149</v>
      </c>
      <c r="G38" s="3782">
        <v>2009</v>
      </c>
      <c r="H38" s="2921">
        <v>2</v>
      </c>
      <c r="I38" s="2921">
        <v>0.86</v>
      </c>
      <c r="J38" s="2921">
        <v>-1.1299999999999999</v>
      </c>
      <c r="K38" s="2921">
        <v>1.79</v>
      </c>
      <c r="L38" s="2938">
        <v>-2.0699999999999998</v>
      </c>
      <c r="N38" s="2931">
        <f t="shared" si="11"/>
        <v>8.6E-3</v>
      </c>
      <c r="O38" s="2948">
        <f t="shared" si="11"/>
        <v>-1.1299999999999999E-2</v>
      </c>
      <c r="P38" s="2948">
        <f t="shared" si="11"/>
        <v>1.7899999999999999E-2</v>
      </c>
      <c r="Q38" s="2948">
        <f t="shared" si="11"/>
        <v>-2.07E-2</v>
      </c>
      <c r="R38" s="2933"/>
      <c r="S38" s="2931"/>
      <c r="T38" s="2932"/>
      <c r="U38" s="2932"/>
      <c r="V38" s="2932"/>
    </row>
    <row r="39" spans="1:26">
      <c r="A39" s="2915" t="s">
        <v>2755</v>
      </c>
      <c r="B39" s="2936">
        <f t="shared" si="25"/>
        <v>208.83454537875372</v>
      </c>
      <c r="C39" s="2936">
        <f t="shared" si="25"/>
        <v>183.77230517090351</v>
      </c>
      <c r="D39" s="2936">
        <f t="shared" si="9"/>
        <v>183.77230517090351</v>
      </c>
      <c r="E39" s="2936">
        <f t="shared" si="26"/>
        <v>281.10342338870947</v>
      </c>
      <c r="F39" s="2936">
        <f t="shared" si="26"/>
        <v>168.97309388942256</v>
      </c>
      <c r="G39" s="3783">
        <v>2009</v>
      </c>
      <c r="H39" s="2920">
        <v>1</v>
      </c>
      <c r="I39" s="2920">
        <v>-2.64</v>
      </c>
      <c r="J39" s="2920">
        <v>-2.5299999999999998</v>
      </c>
      <c r="K39" s="2920">
        <v>-3.02</v>
      </c>
      <c r="L39" s="2937">
        <v>1.52</v>
      </c>
      <c r="N39" s="2939">
        <f t="shared" si="11"/>
        <v>-2.64E-2</v>
      </c>
      <c r="O39" s="2940">
        <f t="shared" si="11"/>
        <v>-2.53E-2</v>
      </c>
      <c r="P39" s="2940">
        <f t="shared" si="11"/>
        <v>-3.0200000000000001E-2</v>
      </c>
      <c r="Q39" s="2940">
        <f t="shared" si="11"/>
        <v>1.52E-2</v>
      </c>
      <c r="R39" s="2933"/>
      <c r="S39" s="2939">
        <f>B39/B40-1</f>
        <v>-2.4137638417038754E-2</v>
      </c>
      <c r="T39" s="2940">
        <f>C39/C40-1</f>
        <v>-2.248773845264096E-2</v>
      </c>
      <c r="U39" s="2940">
        <f>E39/E40-1</f>
        <v>-2.7323794502735366E-2</v>
      </c>
      <c r="V39" s="2940">
        <f>F39/F40-1</f>
        <v>1.7910204153148035E-2</v>
      </c>
      <c r="X39" s="2914"/>
      <c r="Y39" s="2914"/>
      <c r="Z39" s="2914"/>
    </row>
    <row r="40" spans="1:26" ht="13.5" thickBot="1">
      <c r="A40" s="2915" t="s">
        <v>2756</v>
      </c>
      <c r="B40" s="2970">
        <v>214</v>
      </c>
      <c r="C40" s="2970">
        <v>188</v>
      </c>
      <c r="D40" s="2970">
        <f t="shared" si="9"/>
        <v>188</v>
      </c>
      <c r="E40" s="2970">
        <v>289</v>
      </c>
      <c r="F40" s="2971">
        <v>166</v>
      </c>
      <c r="G40" s="3781">
        <v>2008</v>
      </c>
      <c r="H40" s="2941">
        <v>4</v>
      </c>
      <c r="I40" s="2941">
        <v>1.73</v>
      </c>
      <c r="J40" s="2941">
        <v>0.03</v>
      </c>
      <c r="K40" s="2941">
        <v>2.59</v>
      </c>
      <c r="L40" s="2942">
        <v>-1.66</v>
      </c>
      <c r="N40" s="2931">
        <f t="shared" si="11"/>
        <v>1.7299999999999999E-2</v>
      </c>
      <c r="O40" s="2932">
        <f t="shared" si="11"/>
        <v>2.9999999999999997E-4</v>
      </c>
      <c r="P40" s="2932">
        <f t="shared" si="11"/>
        <v>2.5899999999999999E-2</v>
      </c>
      <c r="Q40" s="2932">
        <f t="shared" si="11"/>
        <v>-1.66E-2</v>
      </c>
      <c r="R40" s="2933"/>
      <c r="S40" s="2934"/>
      <c r="T40" s="2935"/>
      <c r="U40" s="2935"/>
      <c r="V40" s="2935"/>
      <c r="X40" s="2935"/>
      <c r="Y40" s="2935"/>
      <c r="Z40" s="2935"/>
    </row>
    <row r="41" spans="1:26">
      <c r="A41" s="2915" t="s">
        <v>2757</v>
      </c>
      <c r="B41" s="2936">
        <f t="shared" ref="B41:C43" si="27">B40/(1+N40)</f>
        <v>210.36075887152265</v>
      </c>
      <c r="C41" s="2936">
        <f t="shared" si="27"/>
        <v>187.94361691492554</v>
      </c>
      <c r="D41" s="2936">
        <f t="shared" si="9"/>
        <v>187.94361691492554</v>
      </c>
      <c r="E41" s="2936">
        <f t="shared" ref="E41:F43" si="28">E40/(1+P40)</f>
        <v>281.70386977288234</v>
      </c>
      <c r="F41" s="2936">
        <f t="shared" si="28"/>
        <v>168.80211511083994</v>
      </c>
      <c r="G41" s="3782">
        <v>2008</v>
      </c>
      <c r="H41" s="2946">
        <v>3</v>
      </c>
      <c r="I41" s="2946">
        <v>1.96</v>
      </c>
      <c r="J41" s="2946">
        <v>2.36</v>
      </c>
      <c r="K41" s="2946">
        <v>1.82</v>
      </c>
      <c r="L41" s="2947">
        <v>2.2200000000000002</v>
      </c>
      <c r="N41" s="2931">
        <f t="shared" si="11"/>
        <v>1.9599999999999999E-2</v>
      </c>
      <c r="O41" s="2932">
        <f t="shared" si="11"/>
        <v>2.3599999999999999E-2</v>
      </c>
      <c r="P41" s="2932">
        <f t="shared" si="11"/>
        <v>1.8200000000000001E-2</v>
      </c>
      <c r="Q41" s="2932">
        <f t="shared" si="11"/>
        <v>2.2200000000000001E-2</v>
      </c>
      <c r="R41" s="2933"/>
      <c r="S41" s="2931"/>
      <c r="T41" s="2932"/>
      <c r="U41" s="2932"/>
      <c r="V41" s="2932"/>
    </row>
    <row r="42" spans="1:26">
      <c r="A42" s="2915" t="s">
        <v>2758</v>
      </c>
      <c r="B42" s="2936">
        <f t="shared" si="27"/>
        <v>206.31694671589116</v>
      </c>
      <c r="C42" s="2936">
        <f t="shared" si="27"/>
        <v>183.61041121036101</v>
      </c>
      <c r="D42" s="2936">
        <f t="shared" si="9"/>
        <v>183.61041121036101</v>
      </c>
      <c r="E42" s="2936">
        <f t="shared" si="28"/>
        <v>276.66850301795557</v>
      </c>
      <c r="F42" s="2936">
        <f t="shared" si="28"/>
        <v>165.1360938278614</v>
      </c>
      <c r="G42" s="3782">
        <v>2008</v>
      </c>
      <c r="H42" s="2921">
        <v>2</v>
      </c>
      <c r="I42" s="2921">
        <v>4.93</v>
      </c>
      <c r="J42" s="2921">
        <v>7.38</v>
      </c>
      <c r="K42" s="2921">
        <v>3.98</v>
      </c>
      <c r="L42" s="2938">
        <v>6.86</v>
      </c>
      <c r="N42" s="2931">
        <f t="shared" si="11"/>
        <v>4.9299999999999997E-2</v>
      </c>
      <c r="O42" s="2932">
        <f t="shared" si="11"/>
        <v>7.3800000000000004E-2</v>
      </c>
      <c r="P42" s="2932">
        <f t="shared" si="11"/>
        <v>3.9800000000000002E-2</v>
      </c>
      <c r="Q42" s="2932">
        <f t="shared" si="11"/>
        <v>6.8600000000000008E-2</v>
      </c>
      <c r="R42" s="2933"/>
      <c r="S42" s="2931"/>
      <c r="T42" s="2932"/>
      <c r="U42" s="2932"/>
      <c r="V42" s="2932"/>
    </row>
    <row r="43" spans="1:26" s="2976" customFormat="1" ht="13.5" thickBot="1">
      <c r="A43" s="2915" t="s">
        <v>2759</v>
      </c>
      <c r="B43" s="2973">
        <f t="shared" si="27"/>
        <v>196.62341248059772</v>
      </c>
      <c r="C43" s="2973">
        <f t="shared" si="27"/>
        <v>170.99125648199012</v>
      </c>
      <c r="D43" s="2973">
        <f t="shared" si="9"/>
        <v>170.99125648199012</v>
      </c>
      <c r="E43" s="2973">
        <f t="shared" si="28"/>
        <v>266.07857570490052</v>
      </c>
      <c r="F43" s="2973">
        <f t="shared" si="28"/>
        <v>154.53499328828505</v>
      </c>
      <c r="G43" s="3783">
        <v>2008</v>
      </c>
      <c r="H43" s="2974">
        <v>1</v>
      </c>
      <c r="I43" s="2974">
        <v>4.1399999999999997</v>
      </c>
      <c r="J43" s="2974">
        <v>3.45</v>
      </c>
      <c r="K43" s="2974">
        <v>4.95</v>
      </c>
      <c r="L43" s="2975">
        <v>4.82</v>
      </c>
      <c r="N43" s="2977">
        <f t="shared" si="11"/>
        <v>4.1399999999999999E-2</v>
      </c>
      <c r="O43" s="2978">
        <f t="shared" si="11"/>
        <v>3.4500000000000003E-2</v>
      </c>
      <c r="P43" s="2978">
        <f t="shared" si="11"/>
        <v>4.9500000000000002E-2</v>
      </c>
      <c r="Q43" s="2978">
        <f t="shared" si="11"/>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5" t="s">
        <v>2760</v>
      </c>
      <c r="B44" s="2928">
        <v>188</v>
      </c>
      <c r="C44" s="2928">
        <v>165</v>
      </c>
      <c r="D44" s="2928">
        <f t="shared" si="9"/>
        <v>165</v>
      </c>
      <c r="E44" s="2928">
        <v>254</v>
      </c>
      <c r="F44" s="2929">
        <v>148</v>
      </c>
      <c r="G44" s="3781">
        <v>2007</v>
      </c>
      <c r="H44" s="2981">
        <v>4</v>
      </c>
      <c r="I44" s="2981">
        <v>5.51</v>
      </c>
      <c r="J44" s="2981">
        <v>4.8899999999999997</v>
      </c>
      <c r="K44" s="2981">
        <v>6.43</v>
      </c>
      <c r="L44" s="2982">
        <v>5.36</v>
      </c>
      <c r="N44" s="2983">
        <f t="shared" ref="N44:O47" si="29">B44/B45-1</f>
        <v>4.1339718365245526E-2</v>
      </c>
      <c r="O44" s="2984">
        <f t="shared" si="29"/>
        <v>4.0324492593776018E-2</v>
      </c>
      <c r="P44" s="2984">
        <f t="shared" ref="P44:Q47" si="30">E44/E45-1</f>
        <v>6.1625555347990968E-2</v>
      </c>
      <c r="Q44" s="2984">
        <f t="shared" si="30"/>
        <v>4.6757569250590603E-2</v>
      </c>
      <c r="R44" s="2933"/>
      <c r="S44" s="2934"/>
      <c r="T44" s="2935"/>
      <c r="U44" s="2935"/>
      <c r="V44" s="2935"/>
      <c r="X44" s="2935"/>
      <c r="Y44" s="2935"/>
      <c r="Z44" s="2935"/>
    </row>
    <row r="45" spans="1:26">
      <c r="A45" s="2915" t="s">
        <v>2761</v>
      </c>
      <c r="B45" s="2936">
        <f t="shared" ref="B45:C47" si="31">B46+(B$44-B$48)*I45/SUM(I$44:I$47)</f>
        <v>180.5366651097618</v>
      </c>
      <c r="C45" s="2936">
        <f t="shared" si="31"/>
        <v>158.60435967302453</v>
      </c>
      <c r="D45" s="2936">
        <f t="shared" si="9"/>
        <v>158.60435967302453</v>
      </c>
      <c r="E45" s="2936">
        <f t="shared" ref="E45:F47" si="32">E46+(E$44-E$48)*K45/SUM(K$44:K$47)</f>
        <v>239.25573260785075</v>
      </c>
      <c r="F45" s="2936">
        <f t="shared" si="32"/>
        <v>141.38899430740037</v>
      </c>
      <c r="G45" s="3782">
        <v>2007</v>
      </c>
      <c r="H45" s="2946">
        <v>3</v>
      </c>
      <c r="I45" s="2946">
        <v>8.65</v>
      </c>
      <c r="J45" s="2946">
        <v>8.06</v>
      </c>
      <c r="K45" s="2946">
        <v>9.94</v>
      </c>
      <c r="L45" s="2947">
        <v>5.8</v>
      </c>
      <c r="N45" s="2983">
        <f t="shared" si="29"/>
        <v>6.940217571740015E-2</v>
      </c>
      <c r="O45" s="2984">
        <f t="shared" si="29"/>
        <v>7.1197482471153428E-2</v>
      </c>
      <c r="P45" s="2984">
        <f t="shared" si="30"/>
        <v>0.10529679922579582</v>
      </c>
      <c r="Q45" s="2984">
        <f t="shared" si="30"/>
        <v>5.3292245059512133E-2</v>
      </c>
      <c r="R45" s="2933"/>
      <c r="S45" s="2931"/>
      <c r="T45" s="2932"/>
      <c r="U45" s="2932"/>
      <c r="V45" s="2932"/>
      <c r="X45" s="2985"/>
      <c r="Y45" s="2985"/>
      <c r="Z45" s="2985"/>
    </row>
    <row r="46" spans="1:26">
      <c r="A46" s="2915" t="s">
        <v>2762</v>
      </c>
      <c r="B46" s="2936">
        <f t="shared" si="31"/>
        <v>168.82017748715555</v>
      </c>
      <c r="C46" s="2936">
        <f t="shared" si="31"/>
        <v>148.06267029972753</v>
      </c>
      <c r="D46" s="2936">
        <f t="shared" si="9"/>
        <v>148.06267029972753</v>
      </c>
      <c r="E46" s="2936">
        <f t="shared" si="32"/>
        <v>216.46288379323747</v>
      </c>
      <c r="F46" s="2936">
        <f t="shared" si="32"/>
        <v>134.23529411764704</v>
      </c>
      <c r="G46" s="3782">
        <v>2007</v>
      </c>
      <c r="H46" s="2921">
        <v>2</v>
      </c>
      <c r="I46" s="2921">
        <v>3.67</v>
      </c>
      <c r="J46" s="2921">
        <v>2.3199999999999998</v>
      </c>
      <c r="K46" s="2921">
        <v>5.0199999999999996</v>
      </c>
      <c r="L46" s="2938">
        <v>6.71</v>
      </c>
      <c r="N46" s="2983">
        <f t="shared" si="29"/>
        <v>3.0339138143848032E-2</v>
      </c>
      <c r="O46" s="2984">
        <f t="shared" si="29"/>
        <v>2.0922341588790472E-2</v>
      </c>
      <c r="P46" s="2984">
        <f t="shared" si="30"/>
        <v>5.6164796592717003E-2</v>
      </c>
      <c r="Q46" s="2984">
        <f t="shared" si="30"/>
        <v>6.5704536723887319E-2</v>
      </c>
      <c r="R46" s="2933"/>
      <c r="S46" s="2931"/>
      <c r="T46" s="2932"/>
      <c r="U46" s="2932"/>
      <c r="V46" s="2932"/>
      <c r="X46" s="2985"/>
      <c r="Y46" s="2985"/>
      <c r="Z46" s="2985"/>
    </row>
    <row r="47" spans="1:26">
      <c r="A47" s="2915" t="s">
        <v>2763</v>
      </c>
      <c r="B47" s="2936">
        <f t="shared" si="31"/>
        <v>163.84913591779542</v>
      </c>
      <c r="C47" s="2936">
        <f t="shared" si="31"/>
        <v>145.0283378746594</v>
      </c>
      <c r="D47" s="2936">
        <f t="shared" si="9"/>
        <v>145.0283378746594</v>
      </c>
      <c r="E47" s="2936">
        <f t="shared" si="32"/>
        <v>204.95180722891567</v>
      </c>
      <c r="F47" s="2936">
        <f t="shared" si="32"/>
        <v>125.95920303605313</v>
      </c>
      <c r="G47" s="3783">
        <v>2007</v>
      </c>
      <c r="H47" s="2920">
        <v>1</v>
      </c>
      <c r="I47" s="2920">
        <v>3.58</v>
      </c>
      <c r="J47" s="2920">
        <v>3.08</v>
      </c>
      <c r="K47" s="2920">
        <v>4.34</v>
      </c>
      <c r="L47" s="2937">
        <v>3.21</v>
      </c>
      <c r="N47" s="2986">
        <f t="shared" si="29"/>
        <v>3.0497710174814063E-2</v>
      </c>
      <c r="O47" s="2987">
        <f t="shared" si="29"/>
        <v>2.8569772160704998E-2</v>
      </c>
      <c r="P47" s="2987">
        <f t="shared" si="30"/>
        <v>5.1034908866234296E-2</v>
      </c>
      <c r="Q47" s="2987">
        <f t="shared" si="30"/>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5" t="s">
        <v>2764</v>
      </c>
      <c r="B48" s="2949">
        <v>159</v>
      </c>
      <c r="C48" s="2949">
        <v>141</v>
      </c>
      <c r="D48" s="2949">
        <f t="shared" si="9"/>
        <v>141</v>
      </c>
      <c r="E48" s="2949">
        <v>195</v>
      </c>
      <c r="F48" s="2950">
        <v>122</v>
      </c>
      <c r="G48" s="3781">
        <v>2006</v>
      </c>
      <c r="H48" s="2941">
        <v>4</v>
      </c>
      <c r="I48" s="2941">
        <v>3.79</v>
      </c>
      <c r="J48" s="2941">
        <v>2.21</v>
      </c>
      <c r="K48" s="2941">
        <v>5.65</v>
      </c>
      <c r="L48" s="2942">
        <v>5.41</v>
      </c>
      <c r="N48" s="2983">
        <f t="shared" ref="N48:O51" si="33">I48/SUM(I$48:I$51)*(B$48/B$52-1)</f>
        <v>7.245466462748526E-2</v>
      </c>
      <c r="O48" s="2984">
        <f t="shared" si="33"/>
        <v>2.3237230038062766E-2</v>
      </c>
      <c r="P48" s="2984">
        <f t="shared" ref="P48:Q51" si="34">K48/SUM(K$48:K$51)*(E$48/E$52-1)</f>
        <v>0.16146893866323722</v>
      </c>
      <c r="Q48" s="2984">
        <f t="shared" si="34"/>
        <v>5.0755230321793784E-2</v>
      </c>
      <c r="R48" s="2933"/>
      <c r="S48" s="2934"/>
      <c r="T48" s="2935"/>
      <c r="U48" s="2935"/>
      <c r="V48" s="2935"/>
      <c r="X48" s="2985"/>
      <c r="Y48" s="2985"/>
      <c r="Z48" s="2985"/>
    </row>
    <row r="49" spans="1:26">
      <c r="A49" s="2915" t="s">
        <v>2765</v>
      </c>
      <c r="B49" s="2936">
        <f t="shared" ref="B49:C51" si="35">B50+(B$48-B$52)*I49/SUM(I$48:I$51)</f>
        <v>149.00125628140702</v>
      </c>
      <c r="C49" s="2936">
        <f t="shared" si="35"/>
        <v>137.95592286501378</v>
      </c>
      <c r="D49" s="2936">
        <f t="shared" si="9"/>
        <v>137.95592286501378</v>
      </c>
      <c r="E49" s="2936">
        <f t="shared" ref="E49:F51" si="36">E50+(E$48-E$52)*K49/SUM(K$48:K$51)</f>
        <v>169.97231450719823</v>
      </c>
      <c r="F49" s="2936">
        <f t="shared" si="36"/>
        <v>116.21390374331551</v>
      </c>
      <c r="G49" s="3782">
        <v>2006</v>
      </c>
      <c r="H49" s="2946">
        <v>3</v>
      </c>
      <c r="I49" s="2946">
        <v>0.92</v>
      </c>
      <c r="J49" s="2946">
        <v>1.08</v>
      </c>
      <c r="K49" s="2946">
        <v>0.73</v>
      </c>
      <c r="L49" s="2947">
        <v>1.08</v>
      </c>
      <c r="N49" s="2983">
        <f t="shared" si="33"/>
        <v>1.7587939698492462E-2</v>
      </c>
      <c r="O49" s="2984">
        <f t="shared" si="33"/>
        <v>1.1355750425840628E-2</v>
      </c>
      <c r="P49" s="2984">
        <f t="shared" si="34"/>
        <v>2.0862358446754544E-2</v>
      </c>
      <c r="Q49" s="2984">
        <f t="shared" si="34"/>
        <v>1.0132282578103011E-2</v>
      </c>
      <c r="R49" s="2933"/>
      <c r="S49" s="2931"/>
      <c r="T49" s="2932"/>
      <c r="U49" s="2932"/>
      <c r="V49" s="2932"/>
      <c r="X49" s="2985"/>
      <c r="Y49" s="2985"/>
      <c r="Z49" s="2985"/>
    </row>
    <row r="50" spans="1:26">
      <c r="A50" s="2915" t="s">
        <v>2766</v>
      </c>
      <c r="B50" s="2936">
        <f t="shared" si="35"/>
        <v>146.57412060301507</v>
      </c>
      <c r="C50" s="2936">
        <f t="shared" si="35"/>
        <v>136.46831955922866</v>
      </c>
      <c r="D50" s="2936">
        <f t="shared" si="9"/>
        <v>136.46831955922866</v>
      </c>
      <c r="E50" s="2936">
        <f t="shared" si="36"/>
        <v>166.73864894795128</v>
      </c>
      <c r="F50" s="2936">
        <f t="shared" si="36"/>
        <v>115.05882352941177</v>
      </c>
      <c r="G50" s="3782">
        <v>2006</v>
      </c>
      <c r="H50" s="2921">
        <v>2</v>
      </c>
      <c r="I50" s="2921">
        <v>0.96</v>
      </c>
      <c r="J50" s="2921">
        <v>0.25</v>
      </c>
      <c r="K50" s="2921">
        <v>1.9</v>
      </c>
      <c r="L50" s="2938">
        <v>0.95</v>
      </c>
      <c r="N50" s="2983">
        <f t="shared" si="33"/>
        <v>1.8352632728861701E-2</v>
      </c>
      <c r="O50" s="2984">
        <f t="shared" si="33"/>
        <v>2.6286459319075526E-3</v>
      </c>
      <c r="P50" s="2984">
        <f t="shared" si="34"/>
        <v>5.4299289107991269E-2</v>
      </c>
      <c r="Q50" s="2984">
        <f t="shared" si="34"/>
        <v>8.9126559714794995E-3</v>
      </c>
      <c r="R50" s="2933"/>
      <c r="S50" s="2931"/>
      <c r="T50" s="2932"/>
      <c r="U50" s="2932"/>
      <c r="V50" s="2932"/>
      <c r="X50" s="2985"/>
      <c r="Y50" s="2985"/>
      <c r="Z50" s="2985"/>
    </row>
    <row r="51" spans="1:26">
      <c r="A51" s="2915" t="s">
        <v>2767</v>
      </c>
      <c r="B51" s="2936">
        <f t="shared" si="35"/>
        <v>144.04145728643215</v>
      </c>
      <c r="C51" s="2936">
        <f t="shared" si="35"/>
        <v>136.12396694214877</v>
      </c>
      <c r="D51" s="2936">
        <f t="shared" si="9"/>
        <v>136.12396694214877</v>
      </c>
      <c r="E51" s="2936">
        <f t="shared" si="36"/>
        <v>158.32225913621264</v>
      </c>
      <c r="F51" s="2936">
        <f t="shared" si="36"/>
        <v>114.04278074866311</v>
      </c>
      <c r="G51" s="3783">
        <v>2006</v>
      </c>
      <c r="H51" s="2920">
        <v>1</v>
      </c>
      <c r="I51" s="2920">
        <v>2.29</v>
      </c>
      <c r="J51" s="2920">
        <v>3.72</v>
      </c>
      <c r="K51" s="2920">
        <v>0.75</v>
      </c>
      <c r="L51" s="2937">
        <v>0.04</v>
      </c>
      <c r="N51" s="2986">
        <f t="shared" si="33"/>
        <v>4.3778675988638847E-2</v>
      </c>
      <c r="O51" s="2987">
        <f t="shared" si="33"/>
        <v>3.9114251466784385E-2</v>
      </c>
      <c r="P51" s="2987">
        <f t="shared" si="34"/>
        <v>2.1433929911049188E-2</v>
      </c>
      <c r="Q51" s="2987">
        <f t="shared" si="34"/>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5" t="s">
        <v>2768</v>
      </c>
      <c r="B52" s="2949">
        <v>138</v>
      </c>
      <c r="C52" s="2949">
        <v>131</v>
      </c>
      <c r="D52" s="2949">
        <f t="shared" si="9"/>
        <v>131</v>
      </c>
      <c r="E52" s="2949">
        <v>155</v>
      </c>
      <c r="F52" s="2950">
        <v>114</v>
      </c>
      <c r="G52" s="3781">
        <v>2005</v>
      </c>
      <c r="H52" s="2941">
        <v>4</v>
      </c>
      <c r="I52" s="2941">
        <v>3.29</v>
      </c>
      <c r="J52" s="2941">
        <v>1.44</v>
      </c>
      <c r="K52" s="2941">
        <v>0.66</v>
      </c>
      <c r="L52" s="2942">
        <v>7.78</v>
      </c>
      <c r="N52" s="2983">
        <f t="shared" ref="N52:O55" si="37">I52/SUM(I$52:I$55)*(B$52/B$56-1)</f>
        <v>9.9404603216919935E-2</v>
      </c>
      <c r="O52" s="2984">
        <f t="shared" si="37"/>
        <v>4.7636550760861554E-2</v>
      </c>
      <c r="P52" s="2984">
        <f t="shared" ref="P52:Q55" si="38">K52/SUM(K$52:K$55)*(E$52/E$56-1)</f>
        <v>8.3756345177664976E-2</v>
      </c>
      <c r="Q52" s="2984">
        <f t="shared" si="38"/>
        <v>5.2148766661559584E-2</v>
      </c>
      <c r="R52" s="2933"/>
      <c r="S52" s="2934"/>
      <c r="T52" s="2935"/>
      <c r="U52" s="2935"/>
      <c r="V52" s="2935"/>
      <c r="X52" s="2985"/>
      <c r="Y52" s="2985"/>
      <c r="Z52" s="2985"/>
    </row>
    <row r="53" spans="1:26">
      <c r="A53" s="2915" t="s">
        <v>2769</v>
      </c>
      <c r="B53" s="2936">
        <f t="shared" ref="B53:C55" si="39">B54+(B$52-B$56)*I53/SUM(I$52:I$55)</f>
        <v>125.9720430107527</v>
      </c>
      <c r="C53" s="2936">
        <f t="shared" si="39"/>
        <v>125.1883408071749</v>
      </c>
      <c r="D53" s="2936">
        <f t="shared" si="9"/>
        <v>125.1883408071749</v>
      </c>
      <c r="E53" s="2936">
        <f t="shared" ref="E53:F55" si="40">E54+(E$52-E$56)*K53/SUM(K$52:K$55)</f>
        <v>144.61421319796952</v>
      </c>
      <c r="F53" s="2936">
        <f t="shared" si="40"/>
        <v>108.42008196721311</v>
      </c>
      <c r="G53" s="3782">
        <v>2005</v>
      </c>
      <c r="H53" s="2946">
        <v>3</v>
      </c>
      <c r="I53" s="2946">
        <v>0.46</v>
      </c>
      <c r="J53" s="2946">
        <v>0.32</v>
      </c>
      <c r="K53" s="2946">
        <v>0.42</v>
      </c>
      <c r="L53" s="2947">
        <v>0.64</v>
      </c>
      <c r="N53" s="2983">
        <f t="shared" si="37"/>
        <v>1.3898515951301874E-2</v>
      </c>
      <c r="O53" s="2984">
        <f t="shared" si="37"/>
        <v>1.0585900169080346E-2</v>
      </c>
      <c r="P53" s="2984">
        <f t="shared" si="38"/>
        <v>5.3299492385786795E-2</v>
      </c>
      <c r="Q53" s="2984">
        <f t="shared" si="38"/>
        <v>4.2898728359123568E-3</v>
      </c>
      <c r="R53" s="2933"/>
      <c r="S53" s="2931"/>
      <c r="T53" s="2932"/>
      <c r="U53" s="2932"/>
      <c r="V53" s="2932"/>
      <c r="X53" s="2985"/>
      <c r="Y53" s="2985"/>
      <c r="Z53" s="2985"/>
    </row>
    <row r="54" spans="1:26">
      <c r="A54" s="2915" t="s">
        <v>2770</v>
      </c>
      <c r="B54" s="2936">
        <f t="shared" si="39"/>
        <v>124.29032258064517</v>
      </c>
      <c r="C54" s="2936">
        <f t="shared" si="39"/>
        <v>123.8968609865471</v>
      </c>
      <c r="D54" s="2936">
        <f t="shared" si="9"/>
        <v>123.8968609865471</v>
      </c>
      <c r="E54" s="2936">
        <f t="shared" si="40"/>
        <v>138.00507614213197</v>
      </c>
      <c r="F54" s="2936">
        <f t="shared" si="40"/>
        <v>107.96106557377048</v>
      </c>
      <c r="G54" s="3782">
        <v>2005</v>
      </c>
      <c r="H54" s="2921">
        <v>2</v>
      </c>
      <c r="I54" s="2921">
        <v>0.47</v>
      </c>
      <c r="J54" s="2921">
        <v>0.1</v>
      </c>
      <c r="K54" s="2921">
        <v>0.52</v>
      </c>
      <c r="L54" s="2938">
        <v>0.79</v>
      </c>
      <c r="N54" s="2983">
        <f t="shared" si="37"/>
        <v>1.420065760241713E-2</v>
      </c>
      <c r="O54" s="2984">
        <f t="shared" si="37"/>
        <v>3.3080938028376083E-3</v>
      </c>
      <c r="P54" s="2984">
        <f t="shared" si="38"/>
        <v>6.598984771573603E-2</v>
      </c>
      <c r="Q54" s="2984">
        <f t="shared" si="38"/>
        <v>5.2953117818293153E-3</v>
      </c>
      <c r="R54" s="2933"/>
      <c r="S54" s="2931"/>
      <c r="T54" s="2932"/>
      <c r="U54" s="2932"/>
      <c r="V54" s="2932"/>
      <c r="X54" s="2985"/>
      <c r="Y54" s="2985"/>
      <c r="Z54" s="2985"/>
    </row>
    <row r="55" spans="1:26">
      <c r="A55" s="2915" t="s">
        <v>2771</v>
      </c>
      <c r="B55" s="2936">
        <f t="shared" si="39"/>
        <v>122.57204301075269</v>
      </c>
      <c r="C55" s="2936">
        <f t="shared" si="39"/>
        <v>123.4932735426009</v>
      </c>
      <c r="D55" s="2936">
        <f t="shared" si="9"/>
        <v>123.4932735426009</v>
      </c>
      <c r="E55" s="2936">
        <f t="shared" si="40"/>
        <v>129.82233502538071</v>
      </c>
      <c r="F55" s="2936">
        <f t="shared" si="40"/>
        <v>107.39446721311475</v>
      </c>
      <c r="G55" s="3783">
        <v>2005</v>
      </c>
      <c r="H55" s="2920">
        <v>1</v>
      </c>
      <c r="I55" s="2920">
        <v>0.43</v>
      </c>
      <c r="J55" s="2920">
        <v>0.37</v>
      </c>
      <c r="K55" s="2920">
        <v>0.37</v>
      </c>
      <c r="L55" s="2937">
        <v>0.55000000000000004</v>
      </c>
      <c r="N55" s="2986">
        <f t="shared" si="37"/>
        <v>1.2992090997956099E-2</v>
      </c>
      <c r="O55" s="2987">
        <f t="shared" si="37"/>
        <v>1.2239947070499151E-2</v>
      </c>
      <c r="P55" s="2987">
        <f t="shared" si="38"/>
        <v>4.6954314720812178E-2</v>
      </c>
      <c r="Q55" s="2987">
        <f t="shared" si="38"/>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5" t="s">
        <v>2772</v>
      </c>
      <c r="B56" s="2970">
        <v>121</v>
      </c>
      <c r="C56" s="2970">
        <v>122</v>
      </c>
      <c r="D56" s="2970">
        <f t="shared" si="9"/>
        <v>122</v>
      </c>
      <c r="E56" s="2970">
        <v>124</v>
      </c>
      <c r="F56" s="2971">
        <v>107</v>
      </c>
      <c r="G56" s="3781">
        <v>2004</v>
      </c>
      <c r="H56" s="2941">
        <v>4</v>
      </c>
      <c r="I56" s="2941">
        <v>0.33</v>
      </c>
      <c r="J56" s="2941">
        <v>0.5</v>
      </c>
      <c r="K56" s="2941">
        <v>0.5</v>
      </c>
      <c r="L56" s="2942">
        <v>0</v>
      </c>
      <c r="N56" s="2983">
        <f t="shared" ref="N56:O59" si="41">I56/SUM(I$56:I$59)*(B$56/B$60-1)</f>
        <v>1.3391770148526898E-2</v>
      </c>
      <c r="O56" s="2984">
        <f t="shared" si="41"/>
        <v>1.063264221158958E-2</v>
      </c>
      <c r="P56" s="2984">
        <f t="shared" ref="P56:Q59" si="42">K56/SUM(K$56:K$59)*(E$56/E$60-1)</f>
        <v>2.2244466688911134E-2</v>
      </c>
      <c r="Q56" s="2984">
        <f t="shared" si="42"/>
        <v>0</v>
      </c>
      <c r="R56" s="2933"/>
      <c r="S56" s="2934"/>
      <c r="T56" s="2935"/>
      <c r="U56" s="2935"/>
      <c r="V56" s="2935"/>
      <c r="X56" s="2985"/>
      <c r="Y56" s="2985"/>
      <c r="Z56" s="2985"/>
    </row>
    <row r="57" spans="1:26">
      <c r="A57" s="2915" t="s">
        <v>2773</v>
      </c>
      <c r="B57" s="2936">
        <f t="shared" ref="B57:C59" si="43">B58+(B$56-B$60)*I57/SUM(I$56:I$59)</f>
        <v>119.51351351351352</v>
      </c>
      <c r="C57" s="2936">
        <f t="shared" si="43"/>
        <v>120.7878787878788</v>
      </c>
      <c r="D57" s="2936">
        <f t="shared" si="9"/>
        <v>120.7878787878788</v>
      </c>
      <c r="E57" s="2936">
        <f t="shared" ref="E57:F59" si="44">E58+(E$56-E$60)*K57/SUM(K$56:K$59)</f>
        <v>121.5975975975976</v>
      </c>
      <c r="F57" s="2936">
        <f t="shared" si="44"/>
        <v>107</v>
      </c>
      <c r="G57" s="3782">
        <v>2004</v>
      </c>
      <c r="H57" s="2946">
        <v>3</v>
      </c>
      <c r="I57" s="2946">
        <v>0.56000000000000005</v>
      </c>
      <c r="J57" s="2946">
        <v>0.8</v>
      </c>
      <c r="K57" s="2946">
        <v>0.83</v>
      </c>
      <c r="L57" s="2947">
        <v>0.06</v>
      </c>
      <c r="N57" s="2983">
        <f t="shared" si="41"/>
        <v>2.2725428130833527E-2</v>
      </c>
      <c r="O57" s="2984">
        <f t="shared" si="41"/>
        <v>1.7012227538543329E-2</v>
      </c>
      <c r="P57" s="2984">
        <f t="shared" si="42"/>
        <v>3.6925814703592477E-2</v>
      </c>
      <c r="Q57" s="2984">
        <f t="shared" si="42"/>
        <v>2.8846153846153744E-2</v>
      </c>
      <c r="R57" s="2933"/>
      <c r="S57" s="2931"/>
      <c r="T57" s="2932"/>
      <c r="U57" s="2932"/>
      <c r="V57" s="2932"/>
      <c r="X57" s="2985"/>
      <c r="Y57" s="2985"/>
      <c r="Z57" s="2985"/>
    </row>
    <row r="58" spans="1:26">
      <c r="A58" s="2915" t="s">
        <v>2774</v>
      </c>
      <c r="B58" s="2936">
        <f t="shared" si="43"/>
        <v>116.99099099099099</v>
      </c>
      <c r="C58" s="2936">
        <f t="shared" si="43"/>
        <v>118.84848484848486</v>
      </c>
      <c r="D58" s="2936">
        <f t="shared" si="9"/>
        <v>118.84848484848486</v>
      </c>
      <c r="E58" s="2936">
        <f t="shared" si="44"/>
        <v>117.60960960960961</v>
      </c>
      <c r="F58" s="2936">
        <f t="shared" si="44"/>
        <v>104</v>
      </c>
      <c r="G58" s="3782">
        <v>2004</v>
      </c>
      <c r="H58" s="2921">
        <v>2</v>
      </c>
      <c r="I58" s="2921">
        <v>1</v>
      </c>
      <c r="J58" s="2921">
        <v>1.5</v>
      </c>
      <c r="K58" s="2921">
        <v>1.5</v>
      </c>
      <c r="L58" s="2938">
        <v>0</v>
      </c>
      <c r="N58" s="2983">
        <f t="shared" si="41"/>
        <v>4.0581121662202721E-2</v>
      </c>
      <c r="O58" s="2984">
        <f t="shared" si="41"/>
        <v>3.1897926634768738E-2</v>
      </c>
      <c r="P58" s="2984">
        <f t="shared" si="42"/>
        <v>6.6733400066733395E-2</v>
      </c>
      <c r="Q58" s="2984">
        <f t="shared" si="42"/>
        <v>0</v>
      </c>
      <c r="R58" s="2933"/>
      <c r="S58" s="2931"/>
      <c r="T58" s="2932"/>
      <c r="U58" s="2932"/>
      <c r="V58" s="2932"/>
      <c r="X58" s="2985"/>
      <c r="Y58" s="2985"/>
      <c r="Z58" s="2985"/>
    </row>
    <row r="59" spans="1:26" s="2976" customFormat="1" ht="13.5" thickBot="1">
      <c r="A59" s="2915" t="s">
        <v>2775</v>
      </c>
      <c r="B59" s="2973">
        <f t="shared" si="43"/>
        <v>112.48648648648648</v>
      </c>
      <c r="C59" s="2973">
        <f t="shared" si="43"/>
        <v>115.21212121212122</v>
      </c>
      <c r="D59" s="2973">
        <f t="shared" si="9"/>
        <v>115.21212121212122</v>
      </c>
      <c r="E59" s="2973">
        <f t="shared" si="44"/>
        <v>110.4024024024024</v>
      </c>
      <c r="F59" s="2973">
        <f t="shared" si="44"/>
        <v>104</v>
      </c>
      <c r="G59" s="3783">
        <v>2004</v>
      </c>
      <c r="H59" s="2974">
        <v>1</v>
      </c>
      <c r="I59" s="2974">
        <v>0.33</v>
      </c>
      <c r="J59" s="2974">
        <v>0.5</v>
      </c>
      <c r="K59" s="2974">
        <v>0.5</v>
      </c>
      <c r="L59" s="2975">
        <v>0</v>
      </c>
      <c r="N59" s="2988">
        <f t="shared" si="41"/>
        <v>1.3391770148526898E-2</v>
      </c>
      <c r="O59" s="2989">
        <f t="shared" si="41"/>
        <v>1.063264221158958E-2</v>
      </c>
      <c r="P59" s="2989">
        <f t="shared" si="42"/>
        <v>2.2244466688911134E-2</v>
      </c>
      <c r="Q59" s="2989">
        <f t="shared" si="42"/>
        <v>0</v>
      </c>
      <c r="R59" s="2979"/>
      <c r="S59" s="2977">
        <f>B59/B60-1</f>
        <v>1.3391770148526883E-2</v>
      </c>
      <c r="T59" s="2978">
        <f>C59/C60-1</f>
        <v>1.063264221158966E-2</v>
      </c>
      <c r="U59" s="2978">
        <f>E59/E60-1</f>
        <v>2.2244466688911224E-2</v>
      </c>
      <c r="V59" s="2978">
        <f>F59/F60-1</f>
        <v>0</v>
      </c>
      <c r="X59" s="2990"/>
      <c r="Y59" s="2990"/>
      <c r="Z59" s="2990"/>
    </row>
    <row r="60" spans="1:26" ht="13.5" thickBot="1">
      <c r="A60" s="2915" t="s">
        <v>2776</v>
      </c>
      <c r="B60" s="2991">
        <v>111</v>
      </c>
      <c r="C60" s="2991">
        <v>114</v>
      </c>
      <c r="D60" s="2991">
        <f t="shared" si="9"/>
        <v>114</v>
      </c>
      <c r="E60" s="2991">
        <v>108</v>
      </c>
      <c r="F60" s="2992">
        <v>104</v>
      </c>
      <c r="G60" s="3781">
        <v>2003</v>
      </c>
      <c r="H60" s="2981">
        <v>4</v>
      </c>
      <c r="I60" s="2993"/>
      <c r="J60" s="2993"/>
      <c r="K60" s="2993"/>
      <c r="L60" s="2993"/>
      <c r="N60" s="2994"/>
      <c r="O60" s="2993"/>
      <c r="P60" s="2993"/>
      <c r="Q60" s="2993"/>
      <c r="S60" s="2994"/>
      <c r="T60" s="2993"/>
      <c r="U60" s="2993"/>
      <c r="V60" s="2993"/>
      <c r="X60" s="2985"/>
      <c r="Y60" s="2985"/>
      <c r="Z60" s="2985"/>
    </row>
    <row r="61" spans="1:26">
      <c r="A61" s="2915" t="s">
        <v>2777</v>
      </c>
      <c r="B61" s="2995">
        <f t="shared" ref="B61:C63" si="45">B62+(B$60-B$64)/4</f>
        <v>109.75</v>
      </c>
      <c r="C61" s="2995">
        <f t="shared" si="45"/>
        <v>112.25</v>
      </c>
      <c r="D61" s="2995">
        <f t="shared" si="9"/>
        <v>112.25</v>
      </c>
      <c r="E61" s="2995">
        <f t="shared" ref="E61:F63" si="46">E62+(E$60-E$64)/4</f>
        <v>107.25</v>
      </c>
      <c r="F61" s="2995">
        <f t="shared" si="46"/>
        <v>103.5</v>
      </c>
      <c r="G61" s="3782">
        <v>2003</v>
      </c>
      <c r="H61" s="2946">
        <v>3</v>
      </c>
      <c r="I61" s="2993"/>
      <c r="J61" s="2993"/>
      <c r="K61" s="2993"/>
      <c r="L61" s="2993"/>
      <c r="X61" s="2985"/>
      <c r="Y61" s="2985"/>
      <c r="Z61" s="2985"/>
    </row>
    <row r="62" spans="1:26">
      <c r="A62" s="2915" t="s">
        <v>2778</v>
      </c>
      <c r="B62" s="2995">
        <f t="shared" si="45"/>
        <v>108.5</v>
      </c>
      <c r="C62" s="2995">
        <f t="shared" si="45"/>
        <v>110.5</v>
      </c>
      <c r="D62" s="2995">
        <f t="shared" si="9"/>
        <v>110.5</v>
      </c>
      <c r="E62" s="2995">
        <f t="shared" si="46"/>
        <v>106.5</v>
      </c>
      <c r="F62" s="2995">
        <f t="shared" si="46"/>
        <v>103</v>
      </c>
      <c r="G62" s="3782">
        <v>2003</v>
      </c>
      <c r="H62" s="2921">
        <v>2</v>
      </c>
      <c r="I62" s="2993"/>
      <c r="J62" s="2993"/>
      <c r="K62" s="2993"/>
      <c r="L62" s="2993"/>
      <c r="X62" s="2985"/>
      <c r="Y62" s="2985"/>
      <c r="Z62" s="2985"/>
    </row>
    <row r="63" spans="1:26" ht="13.5" thickBot="1">
      <c r="A63" s="2915" t="s">
        <v>2779</v>
      </c>
      <c r="B63" s="2995">
        <f t="shared" si="45"/>
        <v>107.25</v>
      </c>
      <c r="C63" s="2995">
        <f t="shared" si="45"/>
        <v>108.75</v>
      </c>
      <c r="D63" s="2995">
        <f t="shared" si="9"/>
        <v>108.75</v>
      </c>
      <c r="E63" s="2995">
        <f t="shared" si="46"/>
        <v>105.75</v>
      </c>
      <c r="F63" s="2995">
        <f t="shared" si="46"/>
        <v>102.5</v>
      </c>
      <c r="G63" s="3783">
        <v>2003</v>
      </c>
      <c r="H63" s="2996">
        <v>1</v>
      </c>
      <c r="I63" s="2993"/>
      <c r="J63" s="2993"/>
      <c r="K63" s="2993"/>
      <c r="L63" s="2993"/>
      <c r="S63" s="2931"/>
      <c r="T63" s="2932"/>
      <c r="U63" s="2932"/>
      <c r="X63" s="2985"/>
      <c r="Y63" s="2985"/>
      <c r="Z63" s="2985"/>
    </row>
    <row r="64" spans="1:26" ht="13.5" thickBot="1">
      <c r="A64" s="2915" t="s">
        <v>2780</v>
      </c>
      <c r="B64" s="2997">
        <v>106</v>
      </c>
      <c r="C64" s="2997">
        <v>107</v>
      </c>
      <c r="D64" s="2997">
        <f t="shared" si="9"/>
        <v>107</v>
      </c>
      <c r="E64" s="2997">
        <v>105</v>
      </c>
      <c r="F64" s="2998">
        <v>102</v>
      </c>
      <c r="G64" s="3781">
        <v>2002</v>
      </c>
      <c r="H64" s="2941">
        <v>4</v>
      </c>
      <c r="I64" s="2993"/>
      <c r="J64" s="2993"/>
      <c r="K64" s="2993"/>
      <c r="L64" s="2993"/>
      <c r="N64" s="2994"/>
      <c r="O64" s="2993"/>
      <c r="P64" s="2993"/>
      <c r="Q64" s="2993"/>
      <c r="S64" s="2994"/>
      <c r="T64" s="2993"/>
      <c r="U64" s="2993"/>
      <c r="V64" s="2993"/>
      <c r="X64" s="2985"/>
      <c r="Y64" s="2985"/>
      <c r="Z64" s="2985"/>
    </row>
    <row r="65" spans="1:26">
      <c r="A65" s="2915" t="s">
        <v>2781</v>
      </c>
      <c r="B65" s="2995">
        <f t="shared" ref="B65:C67" si="47">B66+(B$64-B$68)/4</f>
        <v>105</v>
      </c>
      <c r="C65" s="2995">
        <f t="shared" si="47"/>
        <v>106</v>
      </c>
      <c r="D65" s="2995">
        <f t="shared" si="9"/>
        <v>106</v>
      </c>
      <c r="E65" s="2995">
        <f t="shared" ref="E65:F67" si="48">E66+(E$64-E$68)/4</f>
        <v>104.5</v>
      </c>
      <c r="F65" s="2995">
        <f t="shared" si="48"/>
        <v>101.5</v>
      </c>
      <c r="G65" s="3782">
        <v>2002</v>
      </c>
      <c r="H65" s="2946">
        <v>3</v>
      </c>
      <c r="I65" s="2993"/>
      <c r="J65" s="2993"/>
      <c r="K65" s="2993"/>
      <c r="L65" s="2993"/>
      <c r="X65" s="2985"/>
      <c r="Y65" s="2985"/>
      <c r="Z65" s="2985"/>
    </row>
    <row r="66" spans="1:26">
      <c r="A66" s="2915" t="s">
        <v>2782</v>
      </c>
      <c r="B66" s="2995">
        <f t="shared" si="47"/>
        <v>104</v>
      </c>
      <c r="C66" s="2995">
        <f t="shared" si="47"/>
        <v>105</v>
      </c>
      <c r="D66" s="2995">
        <f t="shared" si="9"/>
        <v>105</v>
      </c>
      <c r="E66" s="2995">
        <f t="shared" si="48"/>
        <v>104</v>
      </c>
      <c r="F66" s="2995">
        <f t="shared" si="48"/>
        <v>101</v>
      </c>
      <c r="G66" s="3782">
        <v>2002</v>
      </c>
      <c r="H66" s="2921">
        <v>2</v>
      </c>
      <c r="I66" s="2993"/>
      <c r="J66" s="2993"/>
      <c r="K66" s="2993"/>
      <c r="L66" s="2993"/>
      <c r="X66" s="2985"/>
      <c r="Y66" s="2985"/>
      <c r="Z66" s="2985"/>
    </row>
    <row r="67" spans="1:26" s="2957" customFormat="1" ht="13.5" thickBot="1">
      <c r="A67" s="2953" t="s">
        <v>2783</v>
      </c>
      <c r="B67" s="2999">
        <f t="shared" si="47"/>
        <v>103</v>
      </c>
      <c r="C67" s="2999">
        <f t="shared" si="47"/>
        <v>104</v>
      </c>
      <c r="D67" s="2999">
        <f t="shared" si="9"/>
        <v>104</v>
      </c>
      <c r="E67" s="2999">
        <f t="shared" si="48"/>
        <v>103.5</v>
      </c>
      <c r="F67" s="2999">
        <f t="shared" si="48"/>
        <v>100.5</v>
      </c>
      <c r="G67" s="3783">
        <v>2002</v>
      </c>
      <c r="H67" s="3000">
        <v>1</v>
      </c>
      <c r="I67" s="3001"/>
      <c r="J67" s="3001"/>
      <c r="K67" s="3001"/>
      <c r="L67" s="3001"/>
      <c r="N67" s="3002"/>
      <c r="S67" s="3002"/>
      <c r="X67" s="3003"/>
      <c r="Y67" s="3003"/>
      <c r="Z67" s="3003"/>
    </row>
    <row r="68" spans="1:26" ht="13.5" thickBot="1">
      <c r="B68" s="3004">
        <v>102</v>
      </c>
      <c r="C68" s="3005">
        <v>103</v>
      </c>
      <c r="D68" s="3005">
        <f t="shared" si="9"/>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2784</v>
      </c>
      <c r="G70" s="3009"/>
      <c r="N70" s="3009"/>
      <c r="S70" s="3009"/>
    </row>
    <row r="71" spans="1:26" s="3008" customFormat="1">
      <c r="A71" s="3008" t="s">
        <v>2785</v>
      </c>
      <c r="G71" s="3009"/>
      <c r="N71" s="3009"/>
      <c r="S71" s="3009"/>
    </row>
    <row r="72" spans="1:26" s="3008" customFormat="1">
      <c r="A72" s="3008" t="s">
        <v>2786</v>
      </c>
      <c r="G72" s="3009"/>
      <c r="I72" s="3010"/>
      <c r="J72" s="3010"/>
      <c r="K72" s="3010"/>
      <c r="L72" s="3010"/>
      <c r="N72" s="3011"/>
      <c r="O72" s="3010"/>
      <c r="P72" s="3010"/>
      <c r="Q72" s="3010"/>
      <c r="S72" s="3011"/>
      <c r="T72" s="3010"/>
      <c r="U72" s="3010"/>
      <c r="V72" s="3010"/>
    </row>
    <row r="73" spans="1:26" s="3008" customFormat="1">
      <c r="A73" s="3008" t="s">
        <v>2787</v>
      </c>
      <c r="G73" s="3009"/>
      <c r="N73" s="3009"/>
      <c r="S73" s="3009"/>
    </row>
    <row r="80" spans="1:26" ht="13.5" thickBot="1"/>
    <row r="81" spans="14:22" s="2930" customFormat="1">
      <c r="N81" s="2945"/>
      <c r="S81" s="3012" t="s">
        <v>2788</v>
      </c>
      <c r="T81" s="3013" t="s">
        <v>2789</v>
      </c>
      <c r="U81" s="3013" t="s">
        <v>2790</v>
      </c>
      <c r="V81" s="3013" t="s">
        <v>2791</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xSplit="12" ySplit="16" topLeftCell="M17" activePane="bottomRight" state="frozen"/>
      <selection pane="topRight" activeCell="M1" sqref="M1"/>
      <selection pane="bottomLeft" activeCell="A17" sqref="A17"/>
      <selection pane="bottomRight" activeCell="U29" sqref="U29"/>
    </sheetView>
  </sheetViews>
  <sheetFormatPr defaultRowHeight="12.75"/>
  <cols>
    <col min="1" max="1" width="11.5" style="470" customWidth="1"/>
    <col min="2" max="2" width="9.25" style="316" customWidth="1"/>
    <col min="3" max="3" width="7.5" style="316" customWidth="1"/>
    <col min="4" max="4" width="9.875" style="316" customWidth="1"/>
    <col min="5" max="5" width="5" style="316" customWidth="1"/>
    <col min="6" max="6" width="12" style="316" customWidth="1"/>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8" t="s">
        <v>2391</v>
      </c>
      <c r="C1" s="3701" t="s">
        <v>2392</v>
      </c>
      <c r="D1" s="3702"/>
      <c r="E1" s="3702"/>
      <c r="F1" s="3702"/>
      <c r="G1" s="3702"/>
      <c r="H1" s="3702"/>
      <c r="I1" s="3702"/>
      <c r="J1" s="3702"/>
      <c r="K1" s="3702"/>
      <c r="L1" s="3702"/>
      <c r="M1" s="3702"/>
      <c r="N1" s="3702"/>
      <c r="O1" s="3702"/>
      <c r="P1" s="3702"/>
      <c r="Q1" s="3702"/>
      <c r="R1" s="3702"/>
      <c r="S1" s="3703"/>
      <c r="T1" s="2438" t="s">
        <v>1821</v>
      </c>
    </row>
    <row r="2" spans="1:45" s="1115" customFormat="1" ht="38.25">
      <c r="A2" s="2439"/>
      <c r="B2" s="1111" t="s">
        <v>2393</v>
      </c>
      <c r="C2" s="1112" t="str">
        <f t="shared" ref="C2:R2" si="0">C3&amp;"(含)"&amp;"-"&amp;D3</f>
        <v>0(含)-50</v>
      </c>
      <c r="D2" s="1113" t="str">
        <f t="shared" si="0"/>
        <v>50(含)-100</v>
      </c>
      <c r="E2" s="1113" t="str">
        <f t="shared" si="0"/>
        <v>100(含)-200</v>
      </c>
      <c r="F2" s="1113" t="str">
        <f t="shared" si="0"/>
        <v>200(含)-500</v>
      </c>
      <c r="G2" s="1113" t="str">
        <f t="shared" si="0"/>
        <v>500(含)-1000</v>
      </c>
      <c r="H2" s="1113" t="str">
        <f t="shared" si="0"/>
        <v>1000(含)-2000</v>
      </c>
      <c r="I2" s="1113" t="str">
        <f t="shared" si="0"/>
        <v>2000(含)-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40"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1"/>
      <c r="B3" s="1116"/>
      <c r="C3" s="1117">
        <v>0</v>
      </c>
      <c r="D3" s="1118">
        <v>50</v>
      </c>
      <c r="E3" s="1118">
        <v>100</v>
      </c>
      <c r="F3" s="3209">
        <v>200</v>
      </c>
      <c r="G3" s="3209">
        <v>500</v>
      </c>
      <c r="H3" s="3209">
        <v>1000</v>
      </c>
      <c r="I3" s="3209">
        <v>2000</v>
      </c>
      <c r="J3" s="3209"/>
      <c r="K3" s="3209"/>
      <c r="L3" s="3210"/>
      <c r="M3" s="3211"/>
      <c r="N3" s="3211"/>
      <c r="O3" s="3209"/>
      <c r="P3" s="3209"/>
      <c r="Q3" s="3209"/>
      <c r="R3" s="3209"/>
      <c r="S3" s="3212"/>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5" thickBot="1">
      <c r="A4" s="2442"/>
      <c r="B4" s="2443"/>
      <c r="C4" s="902">
        <v>100</v>
      </c>
      <c r="D4" s="878">
        <v>97</v>
      </c>
      <c r="E4" s="878">
        <v>94</v>
      </c>
      <c r="F4" s="878">
        <v>91</v>
      </c>
      <c r="G4" s="878">
        <v>88</v>
      </c>
      <c r="H4" s="878">
        <v>85</v>
      </c>
      <c r="I4" s="3213">
        <v>82</v>
      </c>
      <c r="J4" s="3213"/>
      <c r="K4" s="3213"/>
      <c r="L4" s="3213"/>
      <c r="M4" s="3214"/>
      <c r="N4" s="3214"/>
      <c r="O4" s="3213"/>
      <c r="P4" s="3213"/>
      <c r="Q4" s="3213"/>
      <c r="R4" s="3213"/>
      <c r="S4" s="3215"/>
      <c r="T4" s="2448"/>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ht="14.25" thickTop="1">
      <c r="A5" s="2449"/>
      <c r="B5" s="3400" t="s">
        <v>3637</v>
      </c>
      <c r="C5" s="139" t="s">
        <v>3584</v>
      </c>
      <c r="D5" s="139" t="s">
        <v>3586</v>
      </c>
      <c r="E5" s="139" t="s">
        <v>3589</v>
      </c>
      <c r="F5" s="1385" t="s">
        <v>3587</v>
      </c>
      <c r="G5" s="139" t="s">
        <v>3588</v>
      </c>
      <c r="H5" s="3216"/>
      <c r="I5" s="3216"/>
      <c r="J5" s="3216"/>
      <c r="K5" s="3216"/>
      <c r="L5" s="3217"/>
      <c r="M5" s="3218"/>
      <c r="N5" s="3218"/>
      <c r="O5" s="3216"/>
      <c r="P5" s="3216"/>
      <c r="Q5" s="3216"/>
      <c r="R5" s="3216"/>
      <c r="S5" s="3219"/>
      <c r="T5" s="2453">
        <v>5</v>
      </c>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9"/>
      <c r="B6" s="2200"/>
      <c r="C6" s="2206">
        <v>100</v>
      </c>
      <c r="D6" s="2203">
        <f>C6-$T5</f>
        <v>95</v>
      </c>
      <c r="E6" s="2203">
        <f t="shared" ref="E6:S6" si="1">D6-$T5</f>
        <v>90</v>
      </c>
      <c r="F6" s="3220">
        <f t="shared" si="1"/>
        <v>85</v>
      </c>
      <c r="G6" s="3220">
        <f t="shared" si="1"/>
        <v>80</v>
      </c>
      <c r="H6" s="3220">
        <f t="shared" si="1"/>
        <v>75</v>
      </c>
      <c r="I6" s="3220">
        <f t="shared" si="1"/>
        <v>70</v>
      </c>
      <c r="J6" s="3220">
        <f t="shared" si="1"/>
        <v>65</v>
      </c>
      <c r="K6" s="3220">
        <f t="shared" si="1"/>
        <v>60</v>
      </c>
      <c r="L6" s="3220">
        <f t="shared" si="1"/>
        <v>55</v>
      </c>
      <c r="M6" s="3220">
        <f t="shared" si="1"/>
        <v>50</v>
      </c>
      <c r="N6" s="3220">
        <f t="shared" si="1"/>
        <v>45</v>
      </c>
      <c r="O6" s="3220">
        <f t="shared" si="1"/>
        <v>40</v>
      </c>
      <c r="P6" s="3220">
        <f t="shared" si="1"/>
        <v>35</v>
      </c>
      <c r="Q6" s="3220">
        <f t="shared" si="1"/>
        <v>30</v>
      </c>
      <c r="R6" s="3220">
        <f t="shared" si="1"/>
        <v>25</v>
      </c>
      <c r="S6" s="3220">
        <f t="shared" si="1"/>
        <v>20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9"/>
      <c r="B7" s="3401" t="s">
        <v>3638</v>
      </c>
      <c r="C7" s="3402" t="s">
        <v>3639</v>
      </c>
      <c r="D7" s="3403" t="s">
        <v>3640</v>
      </c>
      <c r="E7" s="3403" t="s">
        <v>3641</v>
      </c>
      <c r="F7" s="3404" t="s">
        <v>3643</v>
      </c>
      <c r="G7" s="3404" t="s">
        <v>3642</v>
      </c>
      <c r="H7" s="3221"/>
      <c r="I7" s="3221"/>
      <c r="J7" s="3221"/>
      <c r="K7" s="3221"/>
      <c r="L7" s="3221"/>
      <c r="M7" s="3222"/>
      <c r="N7" s="3223"/>
      <c r="O7" s="3224"/>
      <c r="P7" s="3225"/>
      <c r="Q7" s="3226"/>
      <c r="R7" s="3227"/>
      <c r="S7" s="3228"/>
      <c r="T7" s="1121">
        <v>5</v>
      </c>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9"/>
      <c r="B8" s="2200"/>
      <c r="C8" s="2206">
        <v>100</v>
      </c>
      <c r="D8" s="2203">
        <f>C8-$T7</f>
        <v>95</v>
      </c>
      <c r="E8" s="2203">
        <f t="shared" ref="E8:S8" si="2">D8-$T7</f>
        <v>90</v>
      </c>
      <c r="F8" s="3220">
        <f t="shared" si="2"/>
        <v>85</v>
      </c>
      <c r="G8" s="3220">
        <f t="shared" si="2"/>
        <v>80</v>
      </c>
      <c r="H8" s="3220">
        <f t="shared" si="2"/>
        <v>75</v>
      </c>
      <c r="I8" s="3220">
        <f t="shared" si="2"/>
        <v>70</v>
      </c>
      <c r="J8" s="3220">
        <f t="shared" si="2"/>
        <v>65</v>
      </c>
      <c r="K8" s="3220">
        <f t="shared" si="2"/>
        <v>60</v>
      </c>
      <c r="L8" s="3220">
        <f t="shared" si="2"/>
        <v>55</v>
      </c>
      <c r="M8" s="3220">
        <f t="shared" si="2"/>
        <v>50</v>
      </c>
      <c r="N8" s="3220">
        <f t="shared" si="2"/>
        <v>45</v>
      </c>
      <c r="O8" s="3220">
        <f t="shared" si="2"/>
        <v>40</v>
      </c>
      <c r="P8" s="3220">
        <f t="shared" si="2"/>
        <v>35</v>
      </c>
      <c r="Q8" s="3220">
        <f t="shared" si="2"/>
        <v>30</v>
      </c>
      <c r="R8" s="3220">
        <f t="shared" si="2"/>
        <v>25</v>
      </c>
      <c r="S8" s="3220">
        <f t="shared" si="2"/>
        <v>20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9"/>
      <c r="B9" s="3309" t="s">
        <v>3039</v>
      </c>
      <c r="C9" s="2205"/>
      <c r="D9" s="2199"/>
      <c r="E9" s="2199"/>
      <c r="F9" s="3221"/>
      <c r="G9" s="3221"/>
      <c r="H9" s="3221"/>
      <c r="I9" s="3221"/>
      <c r="J9" s="3221"/>
      <c r="K9" s="3221"/>
      <c r="L9" s="3229"/>
      <c r="M9" s="3222"/>
      <c r="N9" s="3223"/>
      <c r="O9" s="3224"/>
      <c r="P9" s="3225"/>
      <c r="Q9" s="3226"/>
      <c r="R9" s="3227"/>
      <c r="S9" s="3228"/>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9"/>
      <c r="B10" s="2443"/>
      <c r="C10" s="2454">
        <v>100</v>
      </c>
      <c r="D10" s="2455">
        <f>C10-$T9</f>
        <v>100</v>
      </c>
      <c r="E10" s="2455">
        <f t="shared" ref="E10:S10" si="3">D10-$T9</f>
        <v>100</v>
      </c>
      <c r="F10" s="3230">
        <f t="shared" si="3"/>
        <v>100</v>
      </c>
      <c r="G10" s="3230">
        <f t="shared" si="3"/>
        <v>100</v>
      </c>
      <c r="H10" s="3230">
        <f t="shared" si="3"/>
        <v>100</v>
      </c>
      <c r="I10" s="3230">
        <f t="shared" si="3"/>
        <v>100</v>
      </c>
      <c r="J10" s="3230">
        <f t="shared" si="3"/>
        <v>100</v>
      </c>
      <c r="K10" s="3230">
        <f t="shared" si="3"/>
        <v>100</v>
      </c>
      <c r="L10" s="3230">
        <f t="shared" si="3"/>
        <v>100</v>
      </c>
      <c r="M10" s="3230">
        <f t="shared" si="3"/>
        <v>100</v>
      </c>
      <c r="N10" s="3230">
        <f t="shared" si="3"/>
        <v>100</v>
      </c>
      <c r="O10" s="3230">
        <f t="shared" si="3"/>
        <v>100</v>
      </c>
      <c r="P10" s="3230">
        <f t="shared" si="3"/>
        <v>100</v>
      </c>
      <c r="Q10" s="3230">
        <f t="shared" si="3"/>
        <v>100</v>
      </c>
      <c r="R10" s="3230">
        <f t="shared" si="3"/>
        <v>100</v>
      </c>
      <c r="S10" s="3230">
        <f t="shared" si="3"/>
        <v>100</v>
      </c>
      <c r="T10" s="2448"/>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9"/>
      <c r="B11" s="3308" t="s">
        <v>3038</v>
      </c>
      <c r="C11" s="2450"/>
      <c r="D11" s="2451"/>
      <c r="E11" s="2451"/>
      <c r="F11" s="2451"/>
      <c r="G11" s="2451"/>
      <c r="H11" s="2451"/>
      <c r="I11" s="2451"/>
      <c r="J11" s="2451"/>
      <c r="K11" s="2451"/>
      <c r="L11" s="2451"/>
      <c r="M11" s="2452"/>
      <c r="N11" s="2456"/>
      <c r="O11" s="2457"/>
      <c r="P11" s="2458"/>
      <c r="Q11" s="2459"/>
      <c r="R11" s="2460"/>
      <c r="S11" s="2461"/>
      <c r="T11" s="2453"/>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9"/>
      <c r="B12" s="2200"/>
      <c r="C12" s="2206">
        <v>100</v>
      </c>
      <c r="D12" s="2203">
        <f>C12-$T11</f>
        <v>100</v>
      </c>
      <c r="E12" s="2203">
        <f t="shared" ref="E12:S12" si="4">D12-$T11</f>
        <v>100</v>
      </c>
      <c r="F12" s="2203">
        <f t="shared" si="4"/>
        <v>100</v>
      </c>
      <c r="G12" s="2203">
        <f t="shared" si="4"/>
        <v>100</v>
      </c>
      <c r="H12" s="2203">
        <f t="shared" si="4"/>
        <v>100</v>
      </c>
      <c r="I12" s="2203">
        <f t="shared" si="4"/>
        <v>100</v>
      </c>
      <c r="J12" s="2203">
        <f t="shared" si="4"/>
        <v>100</v>
      </c>
      <c r="K12" s="2203">
        <f t="shared" si="4"/>
        <v>100</v>
      </c>
      <c r="L12" s="2203">
        <f t="shared" si="4"/>
        <v>100</v>
      </c>
      <c r="M12" s="2203">
        <f t="shared" si="4"/>
        <v>100</v>
      </c>
      <c r="N12" s="2203">
        <f t="shared" si="4"/>
        <v>100</v>
      </c>
      <c r="O12" s="2203">
        <f t="shared" si="4"/>
        <v>100</v>
      </c>
      <c r="P12" s="2203">
        <f t="shared" si="4"/>
        <v>100</v>
      </c>
      <c r="Q12" s="2203">
        <f t="shared" si="4"/>
        <v>100</v>
      </c>
      <c r="R12" s="2203">
        <f>Q12-$T11</f>
        <v>100</v>
      </c>
      <c r="S12" s="2203">
        <f t="shared" si="4"/>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9"/>
      <c r="B13" s="3308" t="s">
        <v>3037</v>
      </c>
      <c r="C13" s="2450"/>
      <c r="D13" s="2451"/>
      <c r="E13" s="2451"/>
      <c r="F13" s="2451"/>
      <c r="G13" s="2451"/>
      <c r="H13" s="2451"/>
      <c r="I13" s="2451"/>
      <c r="J13" s="2451"/>
      <c r="K13" s="2451"/>
      <c r="L13" s="2451"/>
      <c r="M13" s="2452"/>
      <c r="N13" s="2456"/>
      <c r="O13" s="2457"/>
      <c r="P13" s="2458"/>
      <c r="Q13" s="2459"/>
      <c r="R13" s="2460"/>
      <c r="S13" s="2461"/>
      <c r="T13" s="2462"/>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9"/>
      <c r="B15" s="3308" t="s">
        <v>3036</v>
      </c>
      <c r="C15" s="2450"/>
      <c r="D15" s="2451"/>
      <c r="E15" s="2451"/>
      <c r="F15" s="2451"/>
      <c r="G15" s="2451"/>
      <c r="H15" s="2451"/>
      <c r="I15" s="2451"/>
      <c r="J15" s="2451"/>
      <c r="K15" s="2451"/>
      <c r="L15" s="2451"/>
      <c r="M15" s="2452"/>
      <c r="N15" s="2456"/>
      <c r="O15" s="2457"/>
      <c r="P15" s="2458"/>
      <c r="Q15" s="2459"/>
      <c r="R15" s="2460"/>
      <c r="S15" s="2461"/>
      <c r="T15" s="2462"/>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1" t="s">
        <v>2394</v>
      </c>
      <c r="B17" s="2482" t="s">
        <v>2395</v>
      </c>
      <c r="C17" s="2465">
        <v>1</v>
      </c>
      <c r="D17" s="2466" t="s">
        <v>3644</v>
      </c>
      <c r="E17" s="2466">
        <v>2</v>
      </c>
      <c r="F17" s="2466">
        <v>-1</v>
      </c>
      <c r="G17" s="2466" t="s">
        <v>3645</v>
      </c>
      <c r="H17" s="2466" t="s">
        <v>3646</v>
      </c>
      <c r="I17" s="2466" t="s">
        <v>3647</v>
      </c>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3"/>
      <c r="AS17" s="1463"/>
    </row>
    <row r="18" spans="1:45" s="1115" customFormat="1" ht="13.5" thickBot="1">
      <c r="A18" s="2475"/>
      <c r="B18" s="2476"/>
      <c r="C18" s="2477">
        <v>100</v>
      </c>
      <c r="D18" s="2478">
        <v>80</v>
      </c>
      <c r="E18" s="2478">
        <v>60</v>
      </c>
      <c r="F18" s="3410">
        <v>95</v>
      </c>
      <c r="G18" s="3410">
        <v>70</v>
      </c>
      <c r="H18" s="2478">
        <v>50</v>
      </c>
      <c r="I18" s="2478">
        <v>50</v>
      </c>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S22</f>
        <v>0</v>
      </c>
      <c r="C20" s="500"/>
      <c r="D20" s="500"/>
      <c r="E20" s="500"/>
      <c r="F20" s="500"/>
      <c r="G20" s="500"/>
      <c r="H20" s="500"/>
      <c r="I20" s="500"/>
      <c r="J20" s="500"/>
      <c r="K20" s="500"/>
      <c r="L20" s="500"/>
      <c r="M20" s="500"/>
      <c r="N20" s="500"/>
      <c r="O20" s="500"/>
      <c r="P20" s="500"/>
      <c r="Q20" s="500"/>
      <c r="R20" s="1415"/>
      <c r="S20" s="469"/>
    </row>
    <row r="21" spans="1:45" ht="15.75">
      <c r="A21" s="1123" t="s">
        <v>522</v>
      </c>
      <c r="B21" s="673">
        <f>R22</f>
        <v>0</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1420.2500000000002</v>
      </c>
      <c r="C22" s="3704" t="s">
        <v>169</v>
      </c>
      <c r="D22" s="3705"/>
      <c r="E22" s="3705"/>
      <c r="F22" s="3705"/>
      <c r="G22" s="3705"/>
      <c r="H22" s="3705"/>
      <c r="I22" s="3705"/>
      <c r="J22" s="3705"/>
      <c r="K22" s="3705"/>
      <c r="L22" s="3705"/>
      <c r="M22" s="3705"/>
      <c r="N22" s="3705"/>
      <c r="O22" s="3705"/>
      <c r="P22" s="3705"/>
      <c r="Q22" s="3706"/>
      <c r="R22" s="1124">
        <f>ROUND(S22*10000/B22,0)</f>
        <v>0</v>
      </c>
      <c r="S22" s="313">
        <f>SUM(S24:S10000)</f>
        <v>0</v>
      </c>
    </row>
    <row r="23" spans="1:45" s="300" customFormat="1" ht="24">
      <c r="A23" s="299" t="s">
        <v>524</v>
      </c>
      <c r="B23" s="299" t="s">
        <v>525</v>
      </c>
      <c r="C23" s="299" t="s">
        <v>526</v>
      </c>
      <c r="D23" s="299" t="str">
        <f>B5</f>
        <v>可视性</v>
      </c>
      <c r="E23" s="299" t="s">
        <v>526</v>
      </c>
      <c r="F23" s="299" t="str">
        <f>B7</f>
        <v>人流量</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134.66</v>
      </c>
      <c r="C24" s="1127">
        <v>1</v>
      </c>
      <c r="D24" s="1128" t="s">
        <v>3585</v>
      </c>
      <c r="E24" s="1127">
        <v>1</v>
      </c>
      <c r="F24" s="1128" t="s">
        <v>3669</v>
      </c>
      <c r="G24" s="1127">
        <v>1</v>
      </c>
      <c r="H24" s="1128"/>
      <c r="I24" s="1127">
        <v>1</v>
      </c>
      <c r="J24" s="1128"/>
      <c r="K24" s="1127">
        <v>1</v>
      </c>
      <c r="L24" s="1128"/>
      <c r="M24" s="1127">
        <v>1</v>
      </c>
      <c r="N24" s="1128"/>
      <c r="O24" s="1127">
        <v>1</v>
      </c>
      <c r="P24" s="1128" t="s">
        <v>3648</v>
      </c>
      <c r="Q24" s="1127">
        <v>1</v>
      </c>
      <c r="R24" s="1129">
        <f>'比较法-商业（租金）'!C49</f>
        <v>6</v>
      </c>
      <c r="S24" s="1127">
        <f t="shared" ref="S24:S87" si="5">ROUND(R24*B24/10000,0)</f>
        <v>0</v>
      </c>
      <c r="T24" s="1467">
        <f>ROUND(SUM(R24:R30)/7,0)</f>
        <v>6</v>
      </c>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3409" t="s">
        <v>3284</v>
      </c>
      <c r="B25" s="3409">
        <v>656.22</v>
      </c>
      <c r="C25" s="313">
        <f>IF(B25="",1,(LOOKUP(B25,$3:$3,$4:$4)-LOOKUP($B$24,$3:$3,$4:$4)+100)/100)</f>
        <v>0.94</v>
      </c>
      <c r="D25" s="1128" t="s">
        <v>3583</v>
      </c>
      <c r="E25" s="313">
        <f>(SUMIF($5:$5,D25,$6:$6)-SUMIF($5:$5,$D$24,$6:$6)+100)/100</f>
        <v>1.05</v>
      </c>
      <c r="F25" s="1128" t="s">
        <v>3669</v>
      </c>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t="s">
        <v>3648</v>
      </c>
      <c r="Q25" s="313">
        <f>(SUMIF($17:$17,P25,$18:$18)-SUMIF($17:$17,$P$24,$18:$18)+100)/100</f>
        <v>1</v>
      </c>
      <c r="R25" s="1124">
        <f>IF(B25="",0,ROUND($R$24*C25*E25*G25*I25*K25*M25*O25*Q25,0))</f>
        <v>6</v>
      </c>
      <c r="S25" s="698">
        <f t="shared" si="5"/>
        <v>0</v>
      </c>
    </row>
    <row r="26" spans="1:45">
      <c r="A26" s="3409" t="s">
        <v>3289</v>
      </c>
      <c r="B26" s="3409">
        <v>121.46</v>
      </c>
      <c r="C26" s="313">
        <f t="shared" ref="C26:C89" si="6">IF(B26="",1,(LOOKUP(B26,$3:$3,$4:$4)-LOOKUP($B$24,$3:$3,$4:$4)+100)/100)</f>
        <v>1</v>
      </c>
      <c r="D26" s="1128" t="s">
        <v>3585</v>
      </c>
      <c r="E26" s="313">
        <f t="shared" ref="E26:E89" si="7">(SUMIF($5:$5,D26,$6:$6)-SUMIF($5:$5,$D$24,$6:$6)+100)/100</f>
        <v>1</v>
      </c>
      <c r="F26" s="1128" t="s">
        <v>3669</v>
      </c>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t="s">
        <v>3648</v>
      </c>
      <c r="Q26" s="313">
        <f t="shared" ref="Q26:Q89" si="13">(SUMIF($17:$17,P26,$18:$18)-SUMIF($17:$17,$P$24,$18:$18)+100)/100</f>
        <v>1</v>
      </c>
      <c r="R26" s="1124">
        <f t="shared" ref="R26:R89" si="14">IF(B26="",0,ROUND($R$24*C26*E26*G26*I26*K26*M26*O26*Q26,0))</f>
        <v>6</v>
      </c>
      <c r="S26" s="698">
        <f t="shared" si="5"/>
        <v>0</v>
      </c>
    </row>
    <row r="27" spans="1:45">
      <c r="A27" s="3409" t="s">
        <v>3289</v>
      </c>
      <c r="B27" s="3409">
        <v>137.04</v>
      </c>
      <c r="C27" s="313">
        <f t="shared" si="6"/>
        <v>1</v>
      </c>
      <c r="D27" s="1128" t="s">
        <v>3585</v>
      </c>
      <c r="E27" s="313">
        <f t="shared" si="7"/>
        <v>1</v>
      </c>
      <c r="F27" s="1128" t="s">
        <v>3669</v>
      </c>
      <c r="G27" s="313">
        <f t="shared" si="8"/>
        <v>1</v>
      </c>
      <c r="H27" s="1128"/>
      <c r="I27" s="313">
        <f t="shared" si="9"/>
        <v>1</v>
      </c>
      <c r="J27" s="1128"/>
      <c r="K27" s="313">
        <f t="shared" si="10"/>
        <v>1</v>
      </c>
      <c r="L27" s="1128"/>
      <c r="M27" s="313">
        <f t="shared" si="11"/>
        <v>1</v>
      </c>
      <c r="N27" s="1128"/>
      <c r="O27" s="313">
        <f t="shared" si="12"/>
        <v>1</v>
      </c>
      <c r="P27" s="1128" t="s">
        <v>3648</v>
      </c>
      <c r="Q27" s="313">
        <f t="shared" si="13"/>
        <v>1</v>
      </c>
      <c r="R27" s="1124">
        <f t="shared" si="14"/>
        <v>6</v>
      </c>
      <c r="S27" s="698">
        <f t="shared" si="5"/>
        <v>0</v>
      </c>
    </row>
    <row r="28" spans="1:45">
      <c r="A28" s="3409" t="s">
        <v>3289</v>
      </c>
      <c r="B28" s="3409">
        <v>118.4</v>
      </c>
      <c r="C28" s="313">
        <f t="shared" si="6"/>
        <v>1</v>
      </c>
      <c r="D28" s="1128" t="s">
        <v>3585</v>
      </c>
      <c r="E28" s="313">
        <f t="shared" si="7"/>
        <v>1</v>
      </c>
      <c r="F28" s="1128" t="s">
        <v>3669</v>
      </c>
      <c r="G28" s="313">
        <f t="shared" si="8"/>
        <v>1</v>
      </c>
      <c r="H28" s="1128"/>
      <c r="I28" s="313">
        <f t="shared" si="9"/>
        <v>1</v>
      </c>
      <c r="J28" s="1128"/>
      <c r="K28" s="313">
        <f t="shared" si="10"/>
        <v>1</v>
      </c>
      <c r="L28" s="1128"/>
      <c r="M28" s="313">
        <f t="shared" si="11"/>
        <v>1</v>
      </c>
      <c r="N28" s="1128"/>
      <c r="O28" s="313">
        <f t="shared" si="12"/>
        <v>1</v>
      </c>
      <c r="P28" s="1128" t="s">
        <v>3648</v>
      </c>
      <c r="Q28" s="313">
        <f t="shared" si="13"/>
        <v>1</v>
      </c>
      <c r="R28" s="1124">
        <f t="shared" si="14"/>
        <v>6</v>
      </c>
      <c r="S28" s="698">
        <f t="shared" si="5"/>
        <v>0</v>
      </c>
    </row>
    <row r="29" spans="1:45">
      <c r="A29" s="3409" t="s">
        <v>3289</v>
      </c>
      <c r="B29" s="3409">
        <v>131.75</v>
      </c>
      <c r="C29" s="313">
        <f t="shared" si="6"/>
        <v>1</v>
      </c>
      <c r="D29" s="1128" t="s">
        <v>3585</v>
      </c>
      <c r="E29" s="313">
        <f t="shared" si="7"/>
        <v>1</v>
      </c>
      <c r="F29" s="1128" t="s">
        <v>3669</v>
      </c>
      <c r="G29" s="313">
        <f t="shared" si="8"/>
        <v>1</v>
      </c>
      <c r="H29" s="1128"/>
      <c r="I29" s="313">
        <f t="shared" si="9"/>
        <v>1</v>
      </c>
      <c r="J29" s="1128"/>
      <c r="K29" s="313">
        <f t="shared" si="10"/>
        <v>1</v>
      </c>
      <c r="L29" s="1128"/>
      <c r="M29" s="313">
        <f t="shared" si="11"/>
        <v>1</v>
      </c>
      <c r="N29" s="1128"/>
      <c r="O29" s="313">
        <f t="shared" si="12"/>
        <v>1</v>
      </c>
      <c r="P29" s="1128" t="s">
        <v>3648</v>
      </c>
      <c r="Q29" s="313">
        <f t="shared" si="13"/>
        <v>1</v>
      </c>
      <c r="R29" s="1124">
        <f t="shared" si="14"/>
        <v>6</v>
      </c>
      <c r="S29" s="698">
        <f t="shared" si="5"/>
        <v>0</v>
      </c>
    </row>
    <row r="30" spans="1:45">
      <c r="A30" s="3409" t="s">
        <v>3289</v>
      </c>
      <c r="B30" s="3409">
        <v>120.72</v>
      </c>
      <c r="C30" s="313">
        <f t="shared" si="6"/>
        <v>1</v>
      </c>
      <c r="D30" s="1128" t="s">
        <v>3585</v>
      </c>
      <c r="E30" s="313">
        <f t="shared" si="7"/>
        <v>1</v>
      </c>
      <c r="F30" s="1128" t="s">
        <v>3669</v>
      </c>
      <c r="G30" s="313">
        <f t="shared" si="8"/>
        <v>1</v>
      </c>
      <c r="H30" s="1128"/>
      <c r="I30" s="313">
        <f t="shared" si="9"/>
        <v>1</v>
      </c>
      <c r="J30" s="1128"/>
      <c r="K30" s="313">
        <f t="shared" si="10"/>
        <v>1</v>
      </c>
      <c r="L30" s="1128"/>
      <c r="M30" s="313">
        <f t="shared" si="11"/>
        <v>1</v>
      </c>
      <c r="N30" s="1128"/>
      <c r="O30" s="313">
        <f t="shared" si="12"/>
        <v>1</v>
      </c>
      <c r="P30" s="1128" t="s">
        <v>3648</v>
      </c>
      <c r="Q30" s="313">
        <f t="shared" si="13"/>
        <v>1</v>
      </c>
      <c r="R30" s="1124">
        <f t="shared" si="14"/>
        <v>6</v>
      </c>
      <c r="S30" s="698">
        <f t="shared" si="5"/>
        <v>0</v>
      </c>
    </row>
    <row r="31" spans="1:45">
      <c r="A31" s="3399"/>
      <c r="B31" s="348"/>
      <c r="C31" s="313">
        <f t="shared" si="6"/>
        <v>1</v>
      </c>
      <c r="D31" s="1128"/>
      <c r="E31" s="313">
        <f t="shared" si="7"/>
        <v>0.05</v>
      </c>
      <c r="F31" s="1128"/>
      <c r="G31" s="313">
        <f t="shared" si="8"/>
        <v>0.1</v>
      </c>
      <c r="H31" s="1128"/>
      <c r="I31" s="313">
        <f t="shared" si="9"/>
        <v>1</v>
      </c>
      <c r="J31" s="1128"/>
      <c r="K31" s="313">
        <f t="shared" si="10"/>
        <v>1</v>
      </c>
      <c r="L31" s="1128"/>
      <c r="M31" s="313">
        <f t="shared" si="11"/>
        <v>1</v>
      </c>
      <c r="N31" s="1128"/>
      <c r="O31" s="313">
        <f t="shared" si="12"/>
        <v>1</v>
      </c>
      <c r="P31" s="1128"/>
      <c r="Q31" s="313">
        <f t="shared" si="13"/>
        <v>0.2</v>
      </c>
      <c r="R31" s="1124">
        <f t="shared" si="14"/>
        <v>0</v>
      </c>
      <c r="S31" s="698">
        <f t="shared" si="5"/>
        <v>0</v>
      </c>
    </row>
    <row r="32" spans="1:45">
      <c r="A32" s="3399"/>
      <c r="B32" s="348"/>
      <c r="C32" s="313">
        <f t="shared" si="6"/>
        <v>1</v>
      </c>
      <c r="D32" s="1128"/>
      <c r="E32" s="313">
        <f t="shared" si="7"/>
        <v>0.05</v>
      </c>
      <c r="F32" s="1128"/>
      <c r="G32" s="313">
        <f t="shared" si="8"/>
        <v>0.1</v>
      </c>
      <c r="H32" s="1128"/>
      <c r="I32" s="313">
        <f t="shared" si="9"/>
        <v>1</v>
      </c>
      <c r="J32" s="1128"/>
      <c r="K32" s="313">
        <f t="shared" si="10"/>
        <v>1</v>
      </c>
      <c r="L32" s="1128"/>
      <c r="M32" s="313">
        <f t="shared" si="11"/>
        <v>1</v>
      </c>
      <c r="N32" s="1128"/>
      <c r="O32" s="313">
        <f t="shared" si="12"/>
        <v>1</v>
      </c>
      <c r="P32" s="1128"/>
      <c r="Q32" s="313">
        <f t="shared" si="13"/>
        <v>0.2</v>
      </c>
      <c r="R32" s="1124">
        <f t="shared" si="14"/>
        <v>0</v>
      </c>
      <c r="S32" s="698">
        <f t="shared" si="5"/>
        <v>0</v>
      </c>
    </row>
    <row r="33" spans="1:19">
      <c r="A33" s="3399"/>
      <c r="B33" s="348"/>
      <c r="C33" s="313">
        <f t="shared" si="6"/>
        <v>1</v>
      </c>
      <c r="D33" s="1128"/>
      <c r="E33" s="313">
        <f t="shared" si="7"/>
        <v>0.05</v>
      </c>
      <c r="F33" s="1128"/>
      <c r="G33" s="313">
        <f t="shared" si="8"/>
        <v>0.1</v>
      </c>
      <c r="H33" s="1128"/>
      <c r="I33" s="313">
        <f t="shared" si="9"/>
        <v>1</v>
      </c>
      <c r="J33" s="1128"/>
      <c r="K33" s="313">
        <f t="shared" si="10"/>
        <v>1</v>
      </c>
      <c r="L33" s="1128"/>
      <c r="M33" s="313">
        <f t="shared" si="11"/>
        <v>1</v>
      </c>
      <c r="N33" s="1128"/>
      <c r="O33" s="313">
        <f t="shared" si="12"/>
        <v>1</v>
      </c>
      <c r="P33" s="1128"/>
      <c r="Q33" s="313">
        <f t="shared" si="13"/>
        <v>0.2</v>
      </c>
      <c r="R33" s="1124">
        <f t="shared" si="14"/>
        <v>0</v>
      </c>
      <c r="S33" s="698">
        <f t="shared" si="5"/>
        <v>0</v>
      </c>
    </row>
    <row r="34" spans="1:19">
      <c r="A34" s="3399"/>
      <c r="B34" s="348"/>
      <c r="C34" s="313">
        <f t="shared" si="6"/>
        <v>1</v>
      </c>
      <c r="D34" s="1128"/>
      <c r="E34" s="313">
        <f t="shared" si="7"/>
        <v>0.05</v>
      </c>
      <c r="F34" s="1128"/>
      <c r="G34" s="313">
        <f t="shared" si="8"/>
        <v>0.1</v>
      </c>
      <c r="H34" s="1128"/>
      <c r="I34" s="313">
        <f t="shared" si="9"/>
        <v>1</v>
      </c>
      <c r="J34" s="1128"/>
      <c r="K34" s="313">
        <f t="shared" si="10"/>
        <v>1</v>
      </c>
      <c r="L34" s="1128"/>
      <c r="M34" s="313">
        <f t="shared" si="11"/>
        <v>1</v>
      </c>
      <c r="N34" s="1128"/>
      <c r="O34" s="313">
        <f t="shared" si="12"/>
        <v>1</v>
      </c>
      <c r="P34" s="1128"/>
      <c r="Q34" s="313">
        <f t="shared" si="13"/>
        <v>0.2</v>
      </c>
      <c r="R34" s="1124">
        <f t="shared" si="14"/>
        <v>0</v>
      </c>
      <c r="S34" s="698">
        <f t="shared" si="5"/>
        <v>0</v>
      </c>
    </row>
    <row r="35" spans="1:19">
      <c r="A35" s="3399"/>
      <c r="B35" s="348"/>
      <c r="C35" s="313">
        <f t="shared" si="6"/>
        <v>1</v>
      </c>
      <c r="D35" s="1128"/>
      <c r="E35" s="313">
        <f t="shared" si="7"/>
        <v>0.05</v>
      </c>
      <c r="F35" s="1128"/>
      <c r="G35" s="313">
        <f t="shared" si="8"/>
        <v>0.1</v>
      </c>
      <c r="H35" s="1128"/>
      <c r="I35" s="313">
        <f t="shared" si="9"/>
        <v>1</v>
      </c>
      <c r="J35" s="1128"/>
      <c r="K35" s="313">
        <f t="shared" si="10"/>
        <v>1</v>
      </c>
      <c r="L35" s="1128"/>
      <c r="M35" s="313">
        <f t="shared" si="11"/>
        <v>1</v>
      </c>
      <c r="N35" s="1128"/>
      <c r="O35" s="313">
        <f t="shared" si="12"/>
        <v>1</v>
      </c>
      <c r="P35" s="1128"/>
      <c r="Q35" s="313">
        <f t="shared" si="13"/>
        <v>0.2</v>
      </c>
      <c r="R35" s="1124">
        <f t="shared" si="14"/>
        <v>0</v>
      </c>
      <c r="S35" s="698">
        <f t="shared" si="5"/>
        <v>0</v>
      </c>
    </row>
    <row r="36" spans="1:19">
      <c r="A36" s="3399"/>
      <c r="B36" s="348"/>
      <c r="C36" s="313">
        <f t="shared" si="6"/>
        <v>1</v>
      </c>
      <c r="D36" s="1128"/>
      <c r="E36" s="313">
        <f t="shared" si="7"/>
        <v>0.05</v>
      </c>
      <c r="F36" s="1128"/>
      <c r="G36" s="313">
        <f t="shared" si="8"/>
        <v>0.1</v>
      </c>
      <c r="H36" s="1128"/>
      <c r="I36" s="313">
        <f t="shared" si="9"/>
        <v>1</v>
      </c>
      <c r="J36" s="1128"/>
      <c r="K36" s="313">
        <f t="shared" si="10"/>
        <v>1</v>
      </c>
      <c r="L36" s="1128"/>
      <c r="M36" s="313">
        <f t="shared" si="11"/>
        <v>1</v>
      </c>
      <c r="N36" s="1128"/>
      <c r="O36" s="313">
        <f t="shared" si="12"/>
        <v>1</v>
      </c>
      <c r="P36" s="1128"/>
      <c r="Q36" s="313">
        <f t="shared" si="13"/>
        <v>0.2</v>
      </c>
      <c r="R36" s="1124">
        <f t="shared" si="14"/>
        <v>0</v>
      </c>
      <c r="S36" s="698">
        <f t="shared" si="5"/>
        <v>0</v>
      </c>
    </row>
    <row r="37" spans="1:19">
      <c r="A37" s="3399"/>
      <c r="B37" s="348"/>
      <c r="C37" s="313">
        <f t="shared" si="6"/>
        <v>1</v>
      </c>
      <c r="D37" s="1128"/>
      <c r="E37" s="313">
        <f t="shared" si="7"/>
        <v>0.05</v>
      </c>
      <c r="F37" s="1128"/>
      <c r="G37" s="313">
        <f t="shared" si="8"/>
        <v>0.1</v>
      </c>
      <c r="H37" s="1128"/>
      <c r="I37" s="313">
        <f t="shared" si="9"/>
        <v>1</v>
      </c>
      <c r="J37" s="1128"/>
      <c r="K37" s="313">
        <f t="shared" si="10"/>
        <v>1</v>
      </c>
      <c r="L37" s="1128"/>
      <c r="M37" s="313">
        <f t="shared" si="11"/>
        <v>1</v>
      </c>
      <c r="N37" s="1128"/>
      <c r="O37" s="313">
        <f t="shared" si="12"/>
        <v>1</v>
      </c>
      <c r="P37" s="1128"/>
      <c r="Q37" s="313">
        <f t="shared" si="13"/>
        <v>0.2</v>
      </c>
      <c r="R37" s="1124">
        <f t="shared" si="14"/>
        <v>0</v>
      </c>
      <c r="S37" s="698">
        <f t="shared" si="5"/>
        <v>0</v>
      </c>
    </row>
    <row r="38" spans="1:19">
      <c r="A38" s="3399"/>
      <c r="B38" s="348"/>
      <c r="C38" s="313">
        <f t="shared" si="6"/>
        <v>1</v>
      </c>
      <c r="D38" s="1128"/>
      <c r="E38" s="313">
        <f t="shared" si="7"/>
        <v>0.05</v>
      </c>
      <c r="F38" s="1128"/>
      <c r="G38" s="313">
        <f t="shared" si="8"/>
        <v>0.1</v>
      </c>
      <c r="H38" s="1128"/>
      <c r="I38" s="313">
        <f t="shared" si="9"/>
        <v>1</v>
      </c>
      <c r="J38" s="1128"/>
      <c r="K38" s="313">
        <f t="shared" si="10"/>
        <v>1</v>
      </c>
      <c r="L38" s="1128"/>
      <c r="M38" s="313">
        <f t="shared" si="11"/>
        <v>1</v>
      </c>
      <c r="N38" s="1128"/>
      <c r="O38" s="313">
        <f t="shared" si="12"/>
        <v>1</v>
      </c>
      <c r="P38" s="1128"/>
      <c r="Q38" s="313">
        <f t="shared" si="13"/>
        <v>0.2</v>
      </c>
      <c r="R38" s="1124">
        <f t="shared" si="14"/>
        <v>0</v>
      </c>
      <c r="S38" s="698">
        <f t="shared" si="5"/>
        <v>0</v>
      </c>
    </row>
    <row r="39" spans="1:19">
      <c r="A39" s="3399"/>
      <c r="B39" s="348"/>
      <c r="C39" s="313">
        <f t="shared" si="6"/>
        <v>1</v>
      </c>
      <c r="D39" s="1128"/>
      <c r="E39" s="313">
        <f t="shared" si="7"/>
        <v>0.05</v>
      </c>
      <c r="F39" s="1128"/>
      <c r="G39" s="313">
        <f t="shared" si="8"/>
        <v>0.1</v>
      </c>
      <c r="H39" s="1128"/>
      <c r="I39" s="313">
        <f t="shared" si="9"/>
        <v>1</v>
      </c>
      <c r="J39" s="1128"/>
      <c r="K39" s="313">
        <f t="shared" si="10"/>
        <v>1</v>
      </c>
      <c r="L39" s="1128"/>
      <c r="M39" s="313">
        <f t="shared" si="11"/>
        <v>1</v>
      </c>
      <c r="N39" s="1128"/>
      <c r="O39" s="313">
        <f t="shared" si="12"/>
        <v>1</v>
      </c>
      <c r="P39" s="1128"/>
      <c r="Q39" s="313">
        <f t="shared" si="13"/>
        <v>0.2</v>
      </c>
      <c r="R39" s="1124">
        <f t="shared" si="14"/>
        <v>0</v>
      </c>
      <c r="S39" s="698">
        <f t="shared" si="5"/>
        <v>0</v>
      </c>
    </row>
    <row r="40" spans="1:19">
      <c r="A40" s="3399"/>
      <c r="B40" s="348"/>
      <c r="C40" s="313">
        <f t="shared" si="6"/>
        <v>1</v>
      </c>
      <c r="D40" s="1128"/>
      <c r="E40" s="313">
        <f t="shared" si="7"/>
        <v>0.05</v>
      </c>
      <c r="F40" s="1128"/>
      <c r="G40" s="313">
        <f t="shared" si="8"/>
        <v>0.1</v>
      </c>
      <c r="H40" s="1128"/>
      <c r="I40" s="313">
        <f t="shared" si="9"/>
        <v>1</v>
      </c>
      <c r="J40" s="1128"/>
      <c r="K40" s="313">
        <f t="shared" si="10"/>
        <v>1</v>
      </c>
      <c r="L40" s="1128"/>
      <c r="M40" s="313">
        <f t="shared" si="11"/>
        <v>1</v>
      </c>
      <c r="N40" s="1128"/>
      <c r="O40" s="313">
        <f t="shared" si="12"/>
        <v>1</v>
      </c>
      <c r="P40" s="1128"/>
      <c r="Q40" s="313">
        <f t="shared" si="13"/>
        <v>0.2</v>
      </c>
      <c r="R40" s="1124">
        <f t="shared" si="14"/>
        <v>0</v>
      </c>
      <c r="S40" s="698">
        <f t="shared" si="5"/>
        <v>0</v>
      </c>
    </row>
    <row r="41" spans="1:19">
      <c r="A41" s="3399"/>
      <c r="B41" s="348"/>
      <c r="C41" s="313">
        <f t="shared" si="6"/>
        <v>1</v>
      </c>
      <c r="D41" s="1128"/>
      <c r="E41" s="313">
        <f t="shared" si="7"/>
        <v>0.05</v>
      </c>
      <c r="F41" s="1128"/>
      <c r="G41" s="313">
        <f t="shared" si="8"/>
        <v>0.1</v>
      </c>
      <c r="H41" s="1128"/>
      <c r="I41" s="313">
        <f t="shared" si="9"/>
        <v>1</v>
      </c>
      <c r="J41" s="1128"/>
      <c r="K41" s="313">
        <f t="shared" si="10"/>
        <v>1</v>
      </c>
      <c r="L41" s="1128"/>
      <c r="M41" s="313">
        <f t="shared" si="11"/>
        <v>1</v>
      </c>
      <c r="N41" s="1128"/>
      <c r="O41" s="313">
        <f t="shared" si="12"/>
        <v>1</v>
      </c>
      <c r="P41" s="1128"/>
      <c r="Q41" s="313">
        <f t="shared" si="13"/>
        <v>0.2</v>
      </c>
      <c r="R41" s="1124">
        <f t="shared" si="14"/>
        <v>0</v>
      </c>
      <c r="S41" s="698">
        <f t="shared" si="5"/>
        <v>0</v>
      </c>
    </row>
    <row r="42" spans="1:19">
      <c r="A42" s="3399"/>
      <c r="B42" s="348"/>
      <c r="C42" s="313">
        <f t="shared" si="6"/>
        <v>1</v>
      </c>
      <c r="D42" s="1128"/>
      <c r="E42" s="313">
        <f t="shared" si="7"/>
        <v>0.05</v>
      </c>
      <c r="F42" s="1128"/>
      <c r="G42" s="313">
        <f t="shared" si="8"/>
        <v>0.1</v>
      </c>
      <c r="H42" s="1128"/>
      <c r="I42" s="313">
        <f t="shared" si="9"/>
        <v>1</v>
      </c>
      <c r="J42" s="1128"/>
      <c r="K42" s="313">
        <f t="shared" si="10"/>
        <v>1</v>
      </c>
      <c r="L42" s="1128"/>
      <c r="M42" s="313">
        <f t="shared" si="11"/>
        <v>1</v>
      </c>
      <c r="N42" s="1128"/>
      <c r="O42" s="313">
        <f t="shared" si="12"/>
        <v>1</v>
      </c>
      <c r="P42" s="1128"/>
      <c r="Q42" s="313">
        <f t="shared" si="13"/>
        <v>0.2</v>
      </c>
      <c r="R42" s="1124">
        <f t="shared" si="14"/>
        <v>0</v>
      </c>
      <c r="S42" s="698">
        <f t="shared" si="5"/>
        <v>0</v>
      </c>
    </row>
    <row r="43" spans="1:19">
      <c r="A43" s="3399"/>
      <c r="B43" s="348"/>
      <c r="C43" s="313">
        <f t="shared" si="6"/>
        <v>1</v>
      </c>
      <c r="D43" s="1128"/>
      <c r="E43" s="313">
        <f t="shared" si="7"/>
        <v>0.05</v>
      </c>
      <c r="F43" s="1128"/>
      <c r="G43" s="313">
        <f t="shared" si="8"/>
        <v>0.1</v>
      </c>
      <c r="H43" s="1128"/>
      <c r="I43" s="313">
        <f t="shared" si="9"/>
        <v>1</v>
      </c>
      <c r="J43" s="1128"/>
      <c r="K43" s="313">
        <f t="shared" si="10"/>
        <v>1</v>
      </c>
      <c r="L43" s="1128"/>
      <c r="M43" s="313">
        <f t="shared" si="11"/>
        <v>1</v>
      </c>
      <c r="N43" s="1128"/>
      <c r="O43" s="313">
        <f t="shared" si="12"/>
        <v>1</v>
      </c>
      <c r="P43" s="1128"/>
      <c r="Q43" s="313">
        <f t="shared" si="13"/>
        <v>0.2</v>
      </c>
      <c r="R43" s="1124">
        <f t="shared" si="14"/>
        <v>0</v>
      </c>
      <c r="S43" s="698">
        <f t="shared" si="5"/>
        <v>0</v>
      </c>
    </row>
    <row r="44" spans="1:19">
      <c r="A44" s="3399"/>
      <c r="B44" s="348"/>
      <c r="C44" s="313">
        <f t="shared" si="6"/>
        <v>1</v>
      </c>
      <c r="D44" s="1128"/>
      <c r="E44" s="313">
        <f t="shared" si="7"/>
        <v>0.05</v>
      </c>
      <c r="F44" s="1128"/>
      <c r="G44" s="313">
        <f t="shared" si="8"/>
        <v>0.1</v>
      </c>
      <c r="H44" s="1128"/>
      <c r="I44" s="313">
        <f t="shared" si="9"/>
        <v>1</v>
      </c>
      <c r="J44" s="1128"/>
      <c r="K44" s="313">
        <f t="shared" si="10"/>
        <v>1</v>
      </c>
      <c r="L44" s="1128"/>
      <c r="M44" s="313">
        <f t="shared" si="11"/>
        <v>1</v>
      </c>
      <c r="N44" s="1128"/>
      <c r="O44" s="313">
        <f t="shared" si="12"/>
        <v>1</v>
      </c>
      <c r="P44" s="1128"/>
      <c r="Q44" s="313">
        <f t="shared" si="13"/>
        <v>0.2</v>
      </c>
      <c r="R44" s="1124">
        <f t="shared" si="14"/>
        <v>0</v>
      </c>
      <c r="S44" s="698">
        <f t="shared" si="5"/>
        <v>0</v>
      </c>
    </row>
    <row r="45" spans="1:19">
      <c r="A45" s="3399"/>
      <c r="B45" s="348"/>
      <c r="C45" s="313">
        <f t="shared" si="6"/>
        <v>1</v>
      </c>
      <c r="D45" s="1128"/>
      <c r="E45" s="313">
        <f t="shared" si="7"/>
        <v>0.05</v>
      </c>
      <c r="F45" s="1128"/>
      <c r="G45" s="313">
        <f t="shared" si="8"/>
        <v>0.1</v>
      </c>
      <c r="H45" s="1128"/>
      <c r="I45" s="313">
        <f t="shared" si="9"/>
        <v>1</v>
      </c>
      <c r="J45" s="1128"/>
      <c r="K45" s="313">
        <f t="shared" si="10"/>
        <v>1</v>
      </c>
      <c r="L45" s="1128"/>
      <c r="M45" s="313">
        <f t="shared" si="11"/>
        <v>1</v>
      </c>
      <c r="N45" s="1128"/>
      <c r="O45" s="313">
        <f t="shared" si="12"/>
        <v>1</v>
      </c>
      <c r="P45" s="1128"/>
      <c r="Q45" s="313">
        <f t="shared" si="13"/>
        <v>0.2</v>
      </c>
      <c r="R45" s="1124">
        <f t="shared" si="14"/>
        <v>0</v>
      </c>
      <c r="S45" s="698">
        <f t="shared" si="5"/>
        <v>0</v>
      </c>
    </row>
    <row r="46" spans="1:19">
      <c r="A46" s="3399"/>
      <c r="B46" s="348"/>
      <c r="C46" s="313">
        <f t="shared" si="6"/>
        <v>1</v>
      </c>
      <c r="D46" s="1128"/>
      <c r="E46" s="313">
        <f t="shared" si="7"/>
        <v>0.05</v>
      </c>
      <c r="F46" s="1128"/>
      <c r="G46" s="313">
        <f t="shared" si="8"/>
        <v>0.1</v>
      </c>
      <c r="H46" s="1128"/>
      <c r="I46" s="313">
        <f t="shared" si="9"/>
        <v>1</v>
      </c>
      <c r="J46" s="1128"/>
      <c r="K46" s="313">
        <f t="shared" si="10"/>
        <v>1</v>
      </c>
      <c r="L46" s="1128"/>
      <c r="M46" s="313">
        <f t="shared" si="11"/>
        <v>1</v>
      </c>
      <c r="N46" s="1128"/>
      <c r="O46" s="313">
        <f t="shared" si="12"/>
        <v>1</v>
      </c>
      <c r="P46" s="1128"/>
      <c r="Q46" s="313">
        <f t="shared" si="13"/>
        <v>0.2</v>
      </c>
      <c r="R46" s="1124">
        <f t="shared" si="14"/>
        <v>0</v>
      </c>
      <c r="S46" s="698">
        <f t="shared" si="5"/>
        <v>0</v>
      </c>
    </row>
    <row r="47" spans="1:19">
      <c r="A47" s="3399"/>
      <c r="B47" s="348"/>
      <c r="C47" s="313">
        <f t="shared" si="6"/>
        <v>1</v>
      </c>
      <c r="D47" s="1128"/>
      <c r="E47" s="313">
        <f t="shared" si="7"/>
        <v>0.05</v>
      </c>
      <c r="F47" s="1128"/>
      <c r="G47" s="313">
        <f t="shared" si="8"/>
        <v>0.1</v>
      </c>
      <c r="H47" s="1128"/>
      <c r="I47" s="313">
        <f t="shared" si="9"/>
        <v>1</v>
      </c>
      <c r="J47" s="1128"/>
      <c r="K47" s="313">
        <f t="shared" si="10"/>
        <v>1</v>
      </c>
      <c r="L47" s="1128"/>
      <c r="M47" s="313">
        <f t="shared" si="11"/>
        <v>1</v>
      </c>
      <c r="N47" s="1128"/>
      <c r="O47" s="313">
        <f t="shared" si="12"/>
        <v>1</v>
      </c>
      <c r="P47" s="1128"/>
      <c r="Q47" s="313">
        <f t="shared" si="13"/>
        <v>0.2</v>
      </c>
      <c r="R47" s="1124">
        <f t="shared" si="14"/>
        <v>0</v>
      </c>
      <c r="S47" s="698">
        <f t="shared" si="5"/>
        <v>0</v>
      </c>
    </row>
    <row r="48" spans="1:19">
      <c r="A48" s="3399"/>
      <c r="B48" s="348"/>
      <c r="C48" s="313">
        <f t="shared" si="6"/>
        <v>1</v>
      </c>
      <c r="D48" s="1128"/>
      <c r="E48" s="313">
        <f t="shared" si="7"/>
        <v>0.05</v>
      </c>
      <c r="F48" s="1128"/>
      <c r="G48" s="313">
        <f t="shared" si="8"/>
        <v>0.1</v>
      </c>
      <c r="H48" s="1128"/>
      <c r="I48" s="313">
        <f t="shared" si="9"/>
        <v>1</v>
      </c>
      <c r="J48" s="1128"/>
      <c r="K48" s="313">
        <f t="shared" si="10"/>
        <v>1</v>
      </c>
      <c r="L48" s="1128"/>
      <c r="M48" s="313">
        <f t="shared" si="11"/>
        <v>1</v>
      </c>
      <c r="N48" s="1128"/>
      <c r="O48" s="313">
        <f t="shared" si="12"/>
        <v>1</v>
      </c>
      <c r="P48" s="1128"/>
      <c r="Q48" s="313">
        <f t="shared" si="13"/>
        <v>0.2</v>
      </c>
      <c r="R48" s="1124">
        <f t="shared" si="14"/>
        <v>0</v>
      </c>
      <c r="S48" s="698">
        <f t="shared" si="5"/>
        <v>0</v>
      </c>
    </row>
    <row r="49" spans="1:19">
      <c r="A49" s="3399"/>
      <c r="B49" s="348"/>
      <c r="C49" s="313">
        <f t="shared" si="6"/>
        <v>1</v>
      </c>
      <c r="D49" s="1128"/>
      <c r="E49" s="313">
        <f t="shared" si="7"/>
        <v>0.05</v>
      </c>
      <c r="F49" s="1128"/>
      <c r="G49" s="313">
        <f t="shared" si="8"/>
        <v>0.1</v>
      </c>
      <c r="H49" s="1128"/>
      <c r="I49" s="313">
        <f t="shared" si="9"/>
        <v>1</v>
      </c>
      <c r="J49" s="1128"/>
      <c r="K49" s="313">
        <f t="shared" si="10"/>
        <v>1</v>
      </c>
      <c r="L49" s="1128"/>
      <c r="M49" s="313">
        <f t="shared" si="11"/>
        <v>1</v>
      </c>
      <c r="N49" s="1128"/>
      <c r="O49" s="313">
        <f t="shared" si="12"/>
        <v>1</v>
      </c>
      <c r="P49" s="1128"/>
      <c r="Q49" s="313">
        <f t="shared" si="13"/>
        <v>0.2</v>
      </c>
      <c r="R49" s="1124">
        <f t="shared" si="14"/>
        <v>0</v>
      </c>
      <c r="S49" s="698">
        <f t="shared" si="5"/>
        <v>0</v>
      </c>
    </row>
    <row r="50" spans="1:19">
      <c r="A50" s="3399"/>
      <c r="B50" s="348"/>
      <c r="C50" s="313">
        <f t="shared" si="6"/>
        <v>1</v>
      </c>
      <c r="D50" s="1128"/>
      <c r="E50" s="313">
        <f t="shared" si="7"/>
        <v>0.05</v>
      </c>
      <c r="F50" s="1128"/>
      <c r="G50" s="313">
        <f t="shared" si="8"/>
        <v>0.1</v>
      </c>
      <c r="H50" s="1128"/>
      <c r="I50" s="313">
        <f t="shared" si="9"/>
        <v>1</v>
      </c>
      <c r="J50" s="1128"/>
      <c r="K50" s="313">
        <f t="shared" si="10"/>
        <v>1</v>
      </c>
      <c r="L50" s="1128"/>
      <c r="M50" s="313">
        <f t="shared" si="11"/>
        <v>1</v>
      </c>
      <c r="N50" s="1128"/>
      <c r="O50" s="313">
        <f t="shared" si="12"/>
        <v>1</v>
      </c>
      <c r="P50" s="1128"/>
      <c r="Q50" s="313">
        <f t="shared" si="13"/>
        <v>0.2</v>
      </c>
      <c r="R50" s="1124">
        <f t="shared" si="14"/>
        <v>0</v>
      </c>
      <c r="S50" s="698">
        <f t="shared" si="5"/>
        <v>0</v>
      </c>
    </row>
    <row r="51" spans="1:19">
      <c r="A51" s="3399"/>
      <c r="B51" s="348"/>
      <c r="C51" s="313">
        <f t="shared" si="6"/>
        <v>1</v>
      </c>
      <c r="D51" s="1128"/>
      <c r="E51" s="313">
        <f t="shared" si="7"/>
        <v>0.05</v>
      </c>
      <c r="F51" s="1128"/>
      <c r="G51" s="313">
        <f t="shared" si="8"/>
        <v>0.1</v>
      </c>
      <c r="H51" s="1128"/>
      <c r="I51" s="313">
        <f t="shared" si="9"/>
        <v>1</v>
      </c>
      <c r="J51" s="1128"/>
      <c r="K51" s="313">
        <f t="shared" si="10"/>
        <v>1</v>
      </c>
      <c r="L51" s="1128"/>
      <c r="M51" s="313">
        <f t="shared" si="11"/>
        <v>1</v>
      </c>
      <c r="N51" s="1128"/>
      <c r="O51" s="313">
        <f t="shared" si="12"/>
        <v>1</v>
      </c>
      <c r="P51" s="1128"/>
      <c r="Q51" s="313">
        <f t="shared" si="13"/>
        <v>0.2</v>
      </c>
      <c r="R51" s="1124">
        <f t="shared" si="14"/>
        <v>0</v>
      </c>
      <c r="S51" s="698">
        <f t="shared" si="5"/>
        <v>0</v>
      </c>
    </row>
    <row r="52" spans="1:19">
      <c r="A52" s="3399"/>
      <c r="B52" s="348"/>
      <c r="C52" s="313">
        <f t="shared" si="6"/>
        <v>1</v>
      </c>
      <c r="D52" s="1128"/>
      <c r="E52" s="313">
        <f t="shared" si="7"/>
        <v>0.05</v>
      </c>
      <c r="F52" s="1128"/>
      <c r="G52" s="313">
        <f t="shared" si="8"/>
        <v>0.1</v>
      </c>
      <c r="H52" s="1128"/>
      <c r="I52" s="313">
        <f t="shared" si="9"/>
        <v>1</v>
      </c>
      <c r="J52" s="1128"/>
      <c r="K52" s="313">
        <f t="shared" si="10"/>
        <v>1</v>
      </c>
      <c r="L52" s="1128"/>
      <c r="M52" s="313">
        <f t="shared" si="11"/>
        <v>1</v>
      </c>
      <c r="N52" s="1128"/>
      <c r="O52" s="313">
        <f t="shared" si="12"/>
        <v>1</v>
      </c>
      <c r="P52" s="1128"/>
      <c r="Q52" s="313">
        <f t="shared" si="13"/>
        <v>0.2</v>
      </c>
      <c r="R52" s="1124">
        <f t="shared" si="14"/>
        <v>0</v>
      </c>
      <c r="S52" s="698">
        <f t="shared" si="5"/>
        <v>0</v>
      </c>
    </row>
    <row r="53" spans="1:19">
      <c r="A53" s="3399"/>
      <c r="B53" s="348"/>
      <c r="C53" s="313">
        <f t="shared" si="6"/>
        <v>1</v>
      </c>
      <c r="D53" s="1128"/>
      <c r="E53" s="313">
        <f t="shared" si="7"/>
        <v>0.05</v>
      </c>
      <c r="F53" s="1128"/>
      <c r="G53" s="313">
        <f t="shared" si="8"/>
        <v>0.1</v>
      </c>
      <c r="H53" s="1128"/>
      <c r="I53" s="313">
        <f t="shared" si="9"/>
        <v>1</v>
      </c>
      <c r="J53" s="1128"/>
      <c r="K53" s="313">
        <f t="shared" si="10"/>
        <v>1</v>
      </c>
      <c r="L53" s="1128"/>
      <c r="M53" s="313">
        <f t="shared" si="11"/>
        <v>1</v>
      </c>
      <c r="N53" s="1128"/>
      <c r="O53" s="313">
        <f t="shared" si="12"/>
        <v>1</v>
      </c>
      <c r="P53" s="1128"/>
      <c r="Q53" s="313">
        <f t="shared" si="13"/>
        <v>0.2</v>
      </c>
      <c r="R53" s="1124">
        <f t="shared" si="14"/>
        <v>0</v>
      </c>
      <c r="S53" s="698">
        <f t="shared" si="5"/>
        <v>0</v>
      </c>
    </row>
    <row r="54" spans="1:19">
      <c r="A54" s="3399"/>
      <c r="B54" s="348"/>
      <c r="C54" s="313">
        <f t="shared" si="6"/>
        <v>1</v>
      </c>
      <c r="D54" s="1128"/>
      <c r="E54" s="313">
        <f t="shared" si="7"/>
        <v>0.05</v>
      </c>
      <c r="F54" s="1128"/>
      <c r="G54" s="313">
        <f t="shared" si="8"/>
        <v>0.1</v>
      </c>
      <c r="H54" s="1128"/>
      <c r="I54" s="313">
        <f t="shared" si="9"/>
        <v>1</v>
      </c>
      <c r="J54" s="1128"/>
      <c r="K54" s="313">
        <f t="shared" si="10"/>
        <v>1</v>
      </c>
      <c r="L54" s="1128"/>
      <c r="M54" s="313">
        <f t="shared" si="11"/>
        <v>1</v>
      </c>
      <c r="N54" s="1128"/>
      <c r="O54" s="313">
        <f t="shared" si="12"/>
        <v>1</v>
      </c>
      <c r="P54" s="1128"/>
      <c r="Q54" s="313">
        <f t="shared" si="13"/>
        <v>0.2</v>
      </c>
      <c r="R54" s="1124">
        <f t="shared" si="14"/>
        <v>0</v>
      </c>
      <c r="S54" s="698">
        <f t="shared" si="5"/>
        <v>0</v>
      </c>
    </row>
    <row r="55" spans="1:19">
      <c r="A55" s="3399"/>
      <c r="B55" s="348"/>
      <c r="C55" s="313">
        <f t="shared" si="6"/>
        <v>1</v>
      </c>
      <c r="D55" s="1128"/>
      <c r="E55" s="313">
        <f t="shared" si="7"/>
        <v>0.05</v>
      </c>
      <c r="F55" s="1128"/>
      <c r="G55" s="313">
        <f t="shared" si="8"/>
        <v>0.1</v>
      </c>
      <c r="H55" s="1128"/>
      <c r="I55" s="313">
        <f t="shared" si="9"/>
        <v>1</v>
      </c>
      <c r="J55" s="1128"/>
      <c r="K55" s="313">
        <f t="shared" si="10"/>
        <v>1</v>
      </c>
      <c r="L55" s="1128"/>
      <c r="M55" s="313">
        <f t="shared" si="11"/>
        <v>1</v>
      </c>
      <c r="N55" s="1128"/>
      <c r="O55" s="313">
        <f t="shared" si="12"/>
        <v>1</v>
      </c>
      <c r="P55" s="1128"/>
      <c r="Q55" s="313">
        <f t="shared" si="13"/>
        <v>0.2</v>
      </c>
      <c r="R55" s="1124">
        <f t="shared" si="14"/>
        <v>0</v>
      </c>
      <c r="S55" s="698">
        <f t="shared" si="5"/>
        <v>0</v>
      </c>
    </row>
    <row r="56" spans="1:19">
      <c r="A56" s="3399"/>
      <c r="B56" s="348"/>
      <c r="C56" s="313">
        <f t="shared" si="6"/>
        <v>1</v>
      </c>
      <c r="D56" s="1128"/>
      <c r="E56" s="313">
        <f t="shared" si="7"/>
        <v>0.05</v>
      </c>
      <c r="F56" s="1128"/>
      <c r="G56" s="313">
        <f t="shared" si="8"/>
        <v>0.1</v>
      </c>
      <c r="H56" s="1128"/>
      <c r="I56" s="313">
        <f t="shared" si="9"/>
        <v>1</v>
      </c>
      <c r="J56" s="1128"/>
      <c r="K56" s="313">
        <f t="shared" si="10"/>
        <v>1</v>
      </c>
      <c r="L56" s="1128"/>
      <c r="M56" s="313">
        <f t="shared" si="11"/>
        <v>1</v>
      </c>
      <c r="N56" s="1128"/>
      <c r="O56" s="313">
        <f t="shared" si="12"/>
        <v>1</v>
      </c>
      <c r="P56" s="1128"/>
      <c r="Q56" s="313">
        <f t="shared" si="13"/>
        <v>0.2</v>
      </c>
      <c r="R56" s="1124">
        <f t="shared" si="14"/>
        <v>0</v>
      </c>
      <c r="S56" s="698">
        <f t="shared" si="5"/>
        <v>0</v>
      </c>
    </row>
    <row r="57" spans="1:19">
      <c r="A57" s="3399"/>
      <c r="B57" s="348"/>
      <c r="C57" s="313">
        <f t="shared" si="6"/>
        <v>1</v>
      </c>
      <c r="D57" s="1128"/>
      <c r="E57" s="313">
        <f t="shared" si="7"/>
        <v>0.05</v>
      </c>
      <c r="F57" s="1128"/>
      <c r="G57" s="313">
        <f t="shared" si="8"/>
        <v>0.1</v>
      </c>
      <c r="H57" s="1128"/>
      <c r="I57" s="313">
        <f t="shared" si="9"/>
        <v>1</v>
      </c>
      <c r="J57" s="1128"/>
      <c r="K57" s="313">
        <f t="shared" si="10"/>
        <v>1</v>
      </c>
      <c r="L57" s="1128"/>
      <c r="M57" s="313">
        <f t="shared" si="11"/>
        <v>1</v>
      </c>
      <c r="N57" s="1128"/>
      <c r="O57" s="313">
        <f t="shared" si="12"/>
        <v>1</v>
      </c>
      <c r="P57" s="1128"/>
      <c r="Q57" s="313">
        <f t="shared" si="13"/>
        <v>0.2</v>
      </c>
      <c r="R57" s="1124">
        <f t="shared" si="14"/>
        <v>0</v>
      </c>
      <c r="S57" s="698">
        <f t="shared" si="5"/>
        <v>0</v>
      </c>
    </row>
    <row r="58" spans="1:19">
      <c r="A58" s="3399"/>
      <c r="B58" s="348"/>
      <c r="C58" s="313">
        <f t="shared" si="6"/>
        <v>1</v>
      </c>
      <c r="D58" s="1128"/>
      <c r="E58" s="313">
        <f t="shared" si="7"/>
        <v>0.05</v>
      </c>
      <c r="F58" s="1128"/>
      <c r="G58" s="313">
        <f t="shared" si="8"/>
        <v>0.1</v>
      </c>
      <c r="H58" s="1128"/>
      <c r="I58" s="313">
        <f t="shared" si="9"/>
        <v>1</v>
      </c>
      <c r="J58" s="1128"/>
      <c r="K58" s="313">
        <f t="shared" si="10"/>
        <v>1</v>
      </c>
      <c r="L58" s="1128"/>
      <c r="M58" s="313">
        <f t="shared" si="11"/>
        <v>1</v>
      </c>
      <c r="N58" s="1128"/>
      <c r="O58" s="313">
        <f t="shared" si="12"/>
        <v>1</v>
      </c>
      <c r="P58" s="1128"/>
      <c r="Q58" s="313">
        <f t="shared" si="13"/>
        <v>0.2</v>
      </c>
      <c r="R58" s="1124">
        <f t="shared" si="14"/>
        <v>0</v>
      </c>
      <c r="S58" s="698">
        <f t="shared" si="5"/>
        <v>0</v>
      </c>
    </row>
    <row r="59" spans="1:19">
      <c r="A59" s="3399"/>
      <c r="B59" s="348"/>
      <c r="C59" s="313">
        <f t="shared" si="6"/>
        <v>1</v>
      </c>
      <c r="D59" s="1128"/>
      <c r="E59" s="313">
        <f t="shared" si="7"/>
        <v>0.05</v>
      </c>
      <c r="F59" s="1128"/>
      <c r="G59" s="313">
        <f t="shared" si="8"/>
        <v>0.1</v>
      </c>
      <c r="H59" s="1128"/>
      <c r="I59" s="313">
        <f t="shared" si="9"/>
        <v>1</v>
      </c>
      <c r="J59" s="1128"/>
      <c r="K59" s="313">
        <f t="shared" si="10"/>
        <v>1</v>
      </c>
      <c r="L59" s="1128"/>
      <c r="M59" s="313">
        <f t="shared" si="11"/>
        <v>1</v>
      </c>
      <c r="N59" s="1128"/>
      <c r="O59" s="313">
        <f t="shared" si="12"/>
        <v>1</v>
      </c>
      <c r="P59" s="1128"/>
      <c r="Q59" s="313">
        <f t="shared" si="13"/>
        <v>0.2</v>
      </c>
      <c r="R59" s="1124">
        <f t="shared" si="14"/>
        <v>0</v>
      </c>
      <c r="S59" s="698">
        <f t="shared" si="5"/>
        <v>0</v>
      </c>
    </row>
    <row r="60" spans="1:19">
      <c r="A60" s="3399"/>
      <c r="B60" s="348"/>
      <c r="C60" s="313">
        <f t="shared" si="6"/>
        <v>1</v>
      </c>
      <c r="D60" s="1128"/>
      <c r="E60" s="313">
        <f t="shared" si="7"/>
        <v>0.05</v>
      </c>
      <c r="F60" s="1128"/>
      <c r="G60" s="313">
        <f t="shared" si="8"/>
        <v>0.1</v>
      </c>
      <c r="H60" s="1128"/>
      <c r="I60" s="313">
        <f t="shared" si="9"/>
        <v>1</v>
      </c>
      <c r="J60" s="1128"/>
      <c r="K60" s="313">
        <f t="shared" si="10"/>
        <v>1</v>
      </c>
      <c r="L60" s="1128"/>
      <c r="M60" s="313">
        <f t="shared" si="11"/>
        <v>1</v>
      </c>
      <c r="N60" s="1128"/>
      <c r="O60" s="313">
        <f t="shared" si="12"/>
        <v>1</v>
      </c>
      <c r="P60" s="1128"/>
      <c r="Q60" s="313">
        <f t="shared" si="13"/>
        <v>0.2</v>
      </c>
      <c r="R60" s="1124">
        <f t="shared" si="14"/>
        <v>0</v>
      </c>
      <c r="S60" s="698">
        <f t="shared" si="5"/>
        <v>0</v>
      </c>
    </row>
    <row r="61" spans="1:19">
      <c r="A61" s="3399"/>
      <c r="B61" s="348"/>
      <c r="C61" s="313">
        <f t="shared" si="6"/>
        <v>1</v>
      </c>
      <c r="D61" s="1128"/>
      <c r="E61" s="313">
        <f t="shared" si="7"/>
        <v>0.05</v>
      </c>
      <c r="F61" s="1128"/>
      <c r="G61" s="313">
        <f t="shared" si="8"/>
        <v>0.1</v>
      </c>
      <c r="H61" s="1128"/>
      <c r="I61" s="313">
        <f t="shared" si="9"/>
        <v>1</v>
      </c>
      <c r="J61" s="1128"/>
      <c r="K61" s="313">
        <f t="shared" si="10"/>
        <v>1</v>
      </c>
      <c r="L61" s="1128"/>
      <c r="M61" s="313">
        <f t="shared" si="11"/>
        <v>1</v>
      </c>
      <c r="N61" s="1128"/>
      <c r="O61" s="313">
        <f t="shared" si="12"/>
        <v>1</v>
      </c>
      <c r="P61" s="1128"/>
      <c r="Q61" s="313">
        <f t="shared" si="13"/>
        <v>0.2</v>
      </c>
      <c r="R61" s="1124">
        <f t="shared" si="14"/>
        <v>0</v>
      </c>
      <c r="S61" s="698">
        <f t="shared" si="5"/>
        <v>0</v>
      </c>
    </row>
    <row r="62" spans="1:19">
      <c r="A62" s="3399"/>
      <c r="B62" s="348"/>
      <c r="C62" s="313">
        <f t="shared" si="6"/>
        <v>1</v>
      </c>
      <c r="D62" s="1128"/>
      <c r="E62" s="313">
        <f t="shared" si="7"/>
        <v>0.05</v>
      </c>
      <c r="F62" s="1128"/>
      <c r="G62" s="313">
        <f t="shared" si="8"/>
        <v>0.1</v>
      </c>
      <c r="H62" s="1128"/>
      <c r="I62" s="313">
        <f t="shared" si="9"/>
        <v>1</v>
      </c>
      <c r="J62" s="1128"/>
      <c r="K62" s="313">
        <f t="shared" si="10"/>
        <v>1</v>
      </c>
      <c r="L62" s="1128"/>
      <c r="M62" s="313">
        <f t="shared" si="11"/>
        <v>1</v>
      </c>
      <c r="N62" s="1128"/>
      <c r="O62" s="313">
        <f t="shared" si="12"/>
        <v>1</v>
      </c>
      <c r="P62" s="1128"/>
      <c r="Q62" s="313">
        <f t="shared" si="13"/>
        <v>0.2</v>
      </c>
      <c r="R62" s="1124">
        <f t="shared" si="14"/>
        <v>0</v>
      </c>
      <c r="S62" s="698">
        <f t="shared" si="5"/>
        <v>0</v>
      </c>
    </row>
    <row r="63" spans="1:19">
      <c r="A63" s="3399"/>
      <c r="B63" s="348"/>
      <c r="C63" s="313">
        <f t="shared" si="6"/>
        <v>1</v>
      </c>
      <c r="D63" s="1128"/>
      <c r="E63" s="313">
        <f t="shared" si="7"/>
        <v>0.05</v>
      </c>
      <c r="F63" s="1128"/>
      <c r="G63" s="313">
        <f t="shared" si="8"/>
        <v>0.1</v>
      </c>
      <c r="H63" s="1128"/>
      <c r="I63" s="313">
        <f t="shared" si="9"/>
        <v>1</v>
      </c>
      <c r="J63" s="1128"/>
      <c r="K63" s="313">
        <f t="shared" si="10"/>
        <v>1</v>
      </c>
      <c r="L63" s="1128"/>
      <c r="M63" s="313">
        <f t="shared" si="11"/>
        <v>1</v>
      </c>
      <c r="N63" s="1128"/>
      <c r="O63" s="313">
        <f t="shared" si="12"/>
        <v>1</v>
      </c>
      <c r="P63" s="1128"/>
      <c r="Q63" s="313">
        <f t="shared" si="13"/>
        <v>0.2</v>
      </c>
      <c r="R63" s="1124">
        <f t="shared" si="14"/>
        <v>0</v>
      </c>
      <c r="S63" s="698">
        <f t="shared" si="5"/>
        <v>0</v>
      </c>
    </row>
    <row r="64" spans="1:19">
      <c r="A64" s="3399"/>
      <c r="B64" s="348"/>
      <c r="C64" s="313">
        <f t="shared" si="6"/>
        <v>1</v>
      </c>
      <c r="D64" s="1128"/>
      <c r="E64" s="313">
        <f t="shared" si="7"/>
        <v>0.05</v>
      </c>
      <c r="F64" s="1128"/>
      <c r="G64" s="313">
        <f t="shared" si="8"/>
        <v>0.1</v>
      </c>
      <c r="H64" s="1128"/>
      <c r="I64" s="313">
        <f t="shared" si="9"/>
        <v>1</v>
      </c>
      <c r="J64" s="1128"/>
      <c r="K64" s="313">
        <f t="shared" si="10"/>
        <v>1</v>
      </c>
      <c r="L64" s="1128"/>
      <c r="M64" s="313">
        <f t="shared" si="11"/>
        <v>1</v>
      </c>
      <c r="N64" s="1128"/>
      <c r="O64" s="313">
        <f t="shared" si="12"/>
        <v>1</v>
      </c>
      <c r="P64" s="1128"/>
      <c r="Q64" s="313">
        <f t="shared" si="13"/>
        <v>0.2</v>
      </c>
      <c r="R64" s="1124">
        <f t="shared" si="14"/>
        <v>0</v>
      </c>
      <c r="S64" s="698">
        <f t="shared" si="5"/>
        <v>0</v>
      </c>
    </row>
    <row r="65" spans="1:19">
      <c r="A65" s="3399"/>
      <c r="B65" s="348"/>
      <c r="C65" s="313">
        <f t="shared" si="6"/>
        <v>1</v>
      </c>
      <c r="D65" s="1128"/>
      <c r="E65" s="313">
        <f t="shared" si="7"/>
        <v>0.05</v>
      </c>
      <c r="F65" s="1128"/>
      <c r="G65" s="313">
        <f t="shared" si="8"/>
        <v>0.1</v>
      </c>
      <c r="H65" s="1128"/>
      <c r="I65" s="313">
        <f t="shared" si="9"/>
        <v>1</v>
      </c>
      <c r="J65" s="1128"/>
      <c r="K65" s="313">
        <f t="shared" si="10"/>
        <v>1</v>
      </c>
      <c r="L65" s="1128"/>
      <c r="M65" s="313">
        <f t="shared" si="11"/>
        <v>1</v>
      </c>
      <c r="N65" s="1128"/>
      <c r="O65" s="313">
        <f t="shared" si="12"/>
        <v>1</v>
      </c>
      <c r="P65" s="1128"/>
      <c r="Q65" s="313">
        <f t="shared" si="13"/>
        <v>0.2</v>
      </c>
      <c r="R65" s="1124">
        <f t="shared" si="14"/>
        <v>0</v>
      </c>
      <c r="S65" s="698">
        <f t="shared" si="5"/>
        <v>0</v>
      </c>
    </row>
    <row r="66" spans="1:19">
      <c r="A66" s="3399"/>
      <c r="B66" s="348"/>
      <c r="C66" s="313">
        <f t="shared" si="6"/>
        <v>1</v>
      </c>
      <c r="D66" s="1128"/>
      <c r="E66" s="313">
        <f t="shared" si="7"/>
        <v>0.05</v>
      </c>
      <c r="F66" s="1128"/>
      <c r="G66" s="313">
        <f t="shared" si="8"/>
        <v>0.1</v>
      </c>
      <c r="H66" s="1128"/>
      <c r="I66" s="313">
        <f t="shared" si="9"/>
        <v>1</v>
      </c>
      <c r="J66" s="1128"/>
      <c r="K66" s="313">
        <f t="shared" si="10"/>
        <v>1</v>
      </c>
      <c r="L66" s="1128"/>
      <c r="M66" s="313">
        <f t="shared" si="11"/>
        <v>1</v>
      </c>
      <c r="N66" s="1128"/>
      <c r="O66" s="313">
        <f t="shared" si="12"/>
        <v>1</v>
      </c>
      <c r="P66" s="1128"/>
      <c r="Q66" s="313">
        <f t="shared" si="13"/>
        <v>0.2</v>
      </c>
      <c r="R66" s="1124">
        <f t="shared" si="14"/>
        <v>0</v>
      </c>
      <c r="S66" s="698">
        <f t="shared" si="5"/>
        <v>0</v>
      </c>
    </row>
    <row r="67" spans="1:19">
      <c r="A67" s="3399"/>
      <c r="B67" s="348"/>
      <c r="C67" s="313">
        <f t="shared" si="6"/>
        <v>1</v>
      </c>
      <c r="D67" s="1128"/>
      <c r="E67" s="313">
        <f t="shared" si="7"/>
        <v>0.05</v>
      </c>
      <c r="F67" s="1128"/>
      <c r="G67" s="313">
        <f t="shared" si="8"/>
        <v>0.1</v>
      </c>
      <c r="H67" s="1128"/>
      <c r="I67" s="313">
        <f t="shared" si="9"/>
        <v>1</v>
      </c>
      <c r="J67" s="1128"/>
      <c r="K67" s="313">
        <f t="shared" si="10"/>
        <v>1</v>
      </c>
      <c r="L67" s="1128"/>
      <c r="M67" s="313">
        <f t="shared" si="11"/>
        <v>1</v>
      </c>
      <c r="N67" s="1128"/>
      <c r="O67" s="313">
        <f t="shared" si="12"/>
        <v>1</v>
      </c>
      <c r="P67" s="1128"/>
      <c r="Q67" s="313">
        <f t="shared" si="13"/>
        <v>0.2</v>
      </c>
      <c r="R67" s="1124">
        <f t="shared" si="14"/>
        <v>0</v>
      </c>
      <c r="S67" s="698">
        <f t="shared" si="5"/>
        <v>0</v>
      </c>
    </row>
    <row r="68" spans="1:19">
      <c r="A68" s="3399"/>
      <c r="B68" s="348"/>
      <c r="C68" s="313">
        <f t="shared" si="6"/>
        <v>1</v>
      </c>
      <c r="D68" s="1128"/>
      <c r="E68" s="313">
        <f t="shared" si="7"/>
        <v>0.05</v>
      </c>
      <c r="F68" s="1128"/>
      <c r="G68" s="313">
        <f t="shared" si="8"/>
        <v>0.1</v>
      </c>
      <c r="H68" s="1128"/>
      <c r="I68" s="313">
        <f t="shared" si="9"/>
        <v>1</v>
      </c>
      <c r="J68" s="1128"/>
      <c r="K68" s="313">
        <f t="shared" si="10"/>
        <v>1</v>
      </c>
      <c r="L68" s="1128"/>
      <c r="M68" s="313">
        <f t="shared" si="11"/>
        <v>1</v>
      </c>
      <c r="N68" s="1128"/>
      <c r="O68" s="313">
        <f t="shared" si="12"/>
        <v>1</v>
      </c>
      <c r="P68" s="1128"/>
      <c r="Q68" s="313">
        <f t="shared" si="13"/>
        <v>0.2</v>
      </c>
      <c r="R68" s="1124">
        <f t="shared" si="14"/>
        <v>0</v>
      </c>
      <c r="S68" s="698">
        <f t="shared" si="5"/>
        <v>0</v>
      </c>
    </row>
    <row r="69" spans="1:19">
      <c r="A69" s="3399"/>
      <c r="B69" s="348"/>
      <c r="C69" s="313">
        <f t="shared" si="6"/>
        <v>1</v>
      </c>
      <c r="D69" s="1128"/>
      <c r="E69" s="313">
        <f t="shared" si="7"/>
        <v>0.05</v>
      </c>
      <c r="F69" s="1128"/>
      <c r="G69" s="313">
        <f t="shared" si="8"/>
        <v>0.1</v>
      </c>
      <c r="H69" s="1128"/>
      <c r="I69" s="313">
        <f t="shared" si="9"/>
        <v>1</v>
      </c>
      <c r="J69" s="1128"/>
      <c r="K69" s="313">
        <f t="shared" si="10"/>
        <v>1</v>
      </c>
      <c r="L69" s="1128"/>
      <c r="M69" s="313">
        <f t="shared" si="11"/>
        <v>1</v>
      </c>
      <c r="N69" s="1128"/>
      <c r="O69" s="313">
        <f t="shared" si="12"/>
        <v>1</v>
      </c>
      <c r="P69" s="1128"/>
      <c r="Q69" s="313">
        <f t="shared" si="13"/>
        <v>0.2</v>
      </c>
      <c r="R69" s="1124">
        <f t="shared" si="14"/>
        <v>0</v>
      </c>
      <c r="S69" s="698">
        <f t="shared" si="5"/>
        <v>0</v>
      </c>
    </row>
    <row r="70" spans="1:19">
      <c r="A70" s="3399"/>
      <c r="B70" s="348"/>
      <c r="C70" s="313">
        <f t="shared" si="6"/>
        <v>1</v>
      </c>
      <c r="D70" s="1128"/>
      <c r="E70" s="313">
        <f t="shared" si="7"/>
        <v>0.05</v>
      </c>
      <c r="F70" s="1128"/>
      <c r="G70" s="313">
        <f t="shared" si="8"/>
        <v>0.1</v>
      </c>
      <c r="H70" s="1128"/>
      <c r="I70" s="313">
        <f t="shared" si="9"/>
        <v>1</v>
      </c>
      <c r="J70" s="1128"/>
      <c r="K70" s="313">
        <f t="shared" si="10"/>
        <v>1</v>
      </c>
      <c r="L70" s="1128"/>
      <c r="M70" s="313">
        <f t="shared" si="11"/>
        <v>1</v>
      </c>
      <c r="N70" s="1128"/>
      <c r="O70" s="313">
        <f t="shared" si="12"/>
        <v>1</v>
      </c>
      <c r="P70" s="1128"/>
      <c r="Q70" s="313">
        <f t="shared" si="13"/>
        <v>0.2</v>
      </c>
      <c r="R70" s="1124">
        <f t="shared" si="14"/>
        <v>0</v>
      </c>
      <c r="S70" s="698">
        <f t="shared" si="5"/>
        <v>0</v>
      </c>
    </row>
    <row r="71" spans="1:19">
      <c r="A71" s="3399"/>
      <c r="B71" s="348"/>
      <c r="C71" s="313">
        <f t="shared" si="6"/>
        <v>1</v>
      </c>
      <c r="D71" s="1128"/>
      <c r="E71" s="313">
        <f t="shared" si="7"/>
        <v>0.05</v>
      </c>
      <c r="F71" s="1128"/>
      <c r="G71" s="313">
        <f t="shared" si="8"/>
        <v>0.1</v>
      </c>
      <c r="H71" s="1128"/>
      <c r="I71" s="313">
        <f t="shared" si="9"/>
        <v>1</v>
      </c>
      <c r="J71" s="1128"/>
      <c r="K71" s="313">
        <f t="shared" si="10"/>
        <v>1</v>
      </c>
      <c r="L71" s="1128"/>
      <c r="M71" s="313">
        <f t="shared" si="11"/>
        <v>1</v>
      </c>
      <c r="N71" s="1128"/>
      <c r="O71" s="313">
        <f t="shared" si="12"/>
        <v>1</v>
      </c>
      <c r="P71" s="1128"/>
      <c r="Q71" s="313">
        <f t="shared" si="13"/>
        <v>0.2</v>
      </c>
      <c r="R71" s="1124">
        <f t="shared" si="14"/>
        <v>0</v>
      </c>
      <c r="S71" s="698">
        <f t="shared" si="5"/>
        <v>0</v>
      </c>
    </row>
    <row r="72" spans="1:19">
      <c r="A72" s="3399"/>
      <c r="B72" s="348"/>
      <c r="C72" s="313">
        <f t="shared" si="6"/>
        <v>1</v>
      </c>
      <c r="D72" s="1128"/>
      <c r="E72" s="313">
        <f t="shared" si="7"/>
        <v>0.05</v>
      </c>
      <c r="F72" s="1128"/>
      <c r="G72" s="313">
        <f t="shared" si="8"/>
        <v>0.1</v>
      </c>
      <c r="H72" s="1128"/>
      <c r="I72" s="313">
        <f t="shared" si="9"/>
        <v>1</v>
      </c>
      <c r="J72" s="1128"/>
      <c r="K72" s="313">
        <f t="shared" si="10"/>
        <v>1</v>
      </c>
      <c r="L72" s="1128"/>
      <c r="M72" s="313">
        <f t="shared" si="11"/>
        <v>1</v>
      </c>
      <c r="N72" s="1128"/>
      <c r="O72" s="313">
        <f t="shared" si="12"/>
        <v>1</v>
      </c>
      <c r="P72" s="1128"/>
      <c r="Q72" s="313">
        <f t="shared" si="13"/>
        <v>0.2</v>
      </c>
      <c r="R72" s="1124">
        <f t="shared" si="14"/>
        <v>0</v>
      </c>
      <c r="S72" s="698">
        <f t="shared" si="5"/>
        <v>0</v>
      </c>
    </row>
    <row r="73" spans="1:19">
      <c r="A73" s="3399"/>
      <c r="B73" s="348"/>
      <c r="C73" s="313">
        <f t="shared" si="6"/>
        <v>1</v>
      </c>
      <c r="D73" s="1128"/>
      <c r="E73" s="313">
        <f t="shared" si="7"/>
        <v>0.05</v>
      </c>
      <c r="F73" s="1128"/>
      <c r="G73" s="313">
        <f t="shared" si="8"/>
        <v>0.1</v>
      </c>
      <c r="H73" s="1128"/>
      <c r="I73" s="313">
        <f t="shared" si="9"/>
        <v>1</v>
      </c>
      <c r="J73" s="1128"/>
      <c r="K73" s="313">
        <f t="shared" si="10"/>
        <v>1</v>
      </c>
      <c r="L73" s="1128"/>
      <c r="M73" s="313">
        <f t="shared" si="11"/>
        <v>1</v>
      </c>
      <c r="N73" s="1128"/>
      <c r="O73" s="313">
        <f t="shared" si="12"/>
        <v>1</v>
      </c>
      <c r="P73" s="1128"/>
      <c r="Q73" s="313">
        <f t="shared" si="13"/>
        <v>0.2</v>
      </c>
      <c r="R73" s="1124">
        <f t="shared" si="14"/>
        <v>0</v>
      </c>
      <c r="S73" s="698">
        <f t="shared" si="5"/>
        <v>0</v>
      </c>
    </row>
    <row r="74" spans="1:19">
      <c r="A74" s="3399"/>
      <c r="B74" s="348"/>
      <c r="C74" s="313">
        <f t="shared" si="6"/>
        <v>1</v>
      </c>
      <c r="D74" s="1128"/>
      <c r="E74" s="313">
        <f t="shared" si="7"/>
        <v>0.05</v>
      </c>
      <c r="F74" s="1128"/>
      <c r="G74" s="313">
        <f t="shared" si="8"/>
        <v>0.1</v>
      </c>
      <c r="H74" s="1128"/>
      <c r="I74" s="313">
        <f t="shared" si="9"/>
        <v>1</v>
      </c>
      <c r="J74" s="1128"/>
      <c r="K74" s="313">
        <f t="shared" si="10"/>
        <v>1</v>
      </c>
      <c r="L74" s="1128"/>
      <c r="M74" s="313">
        <f t="shared" si="11"/>
        <v>1</v>
      </c>
      <c r="N74" s="1128"/>
      <c r="O74" s="313">
        <f t="shared" si="12"/>
        <v>1</v>
      </c>
      <c r="P74" s="1128"/>
      <c r="Q74" s="313">
        <f t="shared" si="13"/>
        <v>0.2</v>
      </c>
      <c r="R74" s="1124">
        <f t="shared" si="14"/>
        <v>0</v>
      </c>
      <c r="S74" s="698">
        <f t="shared" si="5"/>
        <v>0</v>
      </c>
    </row>
    <row r="75" spans="1:19">
      <c r="A75" s="3399"/>
      <c r="B75" s="348"/>
      <c r="C75" s="313">
        <f t="shared" si="6"/>
        <v>1</v>
      </c>
      <c r="D75" s="1128"/>
      <c r="E75" s="313">
        <f t="shared" si="7"/>
        <v>0.05</v>
      </c>
      <c r="F75" s="1128"/>
      <c r="G75" s="313">
        <f t="shared" si="8"/>
        <v>0.1</v>
      </c>
      <c r="H75" s="1128"/>
      <c r="I75" s="313">
        <f t="shared" si="9"/>
        <v>1</v>
      </c>
      <c r="J75" s="1128"/>
      <c r="K75" s="313">
        <f t="shared" si="10"/>
        <v>1</v>
      </c>
      <c r="L75" s="1128"/>
      <c r="M75" s="313">
        <f t="shared" si="11"/>
        <v>1</v>
      </c>
      <c r="N75" s="1128"/>
      <c r="O75" s="313">
        <f t="shared" si="12"/>
        <v>1</v>
      </c>
      <c r="P75" s="1128"/>
      <c r="Q75" s="313">
        <f t="shared" si="13"/>
        <v>0.2</v>
      </c>
      <c r="R75" s="1124">
        <f t="shared" si="14"/>
        <v>0</v>
      </c>
      <c r="S75" s="698">
        <f t="shared" si="5"/>
        <v>0</v>
      </c>
    </row>
    <row r="76" spans="1:19">
      <c r="A76" s="3399"/>
      <c r="B76" s="348"/>
      <c r="C76" s="313">
        <f t="shared" si="6"/>
        <v>1</v>
      </c>
      <c r="D76" s="1128"/>
      <c r="E76" s="313">
        <f t="shared" si="7"/>
        <v>0.05</v>
      </c>
      <c r="F76" s="1128"/>
      <c r="G76" s="313">
        <f t="shared" si="8"/>
        <v>0.1</v>
      </c>
      <c r="H76" s="1128"/>
      <c r="I76" s="313">
        <f t="shared" si="9"/>
        <v>1</v>
      </c>
      <c r="J76" s="1128"/>
      <c r="K76" s="313">
        <f t="shared" si="10"/>
        <v>1</v>
      </c>
      <c r="L76" s="1128"/>
      <c r="M76" s="313">
        <f t="shared" si="11"/>
        <v>1</v>
      </c>
      <c r="N76" s="1128"/>
      <c r="O76" s="313">
        <f t="shared" si="12"/>
        <v>1</v>
      </c>
      <c r="P76" s="1128"/>
      <c r="Q76" s="313">
        <f t="shared" si="13"/>
        <v>0.2</v>
      </c>
      <c r="R76" s="1124">
        <f t="shared" si="14"/>
        <v>0</v>
      </c>
      <c r="S76" s="698">
        <f t="shared" si="5"/>
        <v>0</v>
      </c>
    </row>
    <row r="77" spans="1:19">
      <c r="A77" s="3399"/>
      <c r="B77" s="348"/>
      <c r="C77" s="313">
        <f t="shared" si="6"/>
        <v>1</v>
      </c>
      <c r="D77" s="1128"/>
      <c r="E77" s="313">
        <f t="shared" si="7"/>
        <v>0.05</v>
      </c>
      <c r="F77" s="1128"/>
      <c r="G77" s="313">
        <f t="shared" si="8"/>
        <v>0.1</v>
      </c>
      <c r="H77" s="1128"/>
      <c r="I77" s="313">
        <f t="shared" si="9"/>
        <v>1</v>
      </c>
      <c r="J77" s="1128"/>
      <c r="K77" s="313">
        <f t="shared" si="10"/>
        <v>1</v>
      </c>
      <c r="L77" s="1128"/>
      <c r="M77" s="313">
        <f t="shared" si="11"/>
        <v>1</v>
      </c>
      <c r="N77" s="1128"/>
      <c r="O77" s="313">
        <f t="shared" si="12"/>
        <v>1</v>
      </c>
      <c r="P77" s="1128"/>
      <c r="Q77" s="313">
        <f t="shared" si="13"/>
        <v>0.2</v>
      </c>
      <c r="R77" s="1124">
        <f t="shared" si="14"/>
        <v>0</v>
      </c>
      <c r="S77" s="698">
        <f t="shared" si="5"/>
        <v>0</v>
      </c>
    </row>
    <row r="78" spans="1:19">
      <c r="A78" s="3399"/>
      <c r="B78" s="348"/>
      <c r="C78" s="313">
        <f t="shared" si="6"/>
        <v>1</v>
      </c>
      <c r="D78" s="1128"/>
      <c r="E78" s="313">
        <f t="shared" si="7"/>
        <v>0.05</v>
      </c>
      <c r="F78" s="1128"/>
      <c r="G78" s="313">
        <f t="shared" si="8"/>
        <v>0.1</v>
      </c>
      <c r="H78" s="1128"/>
      <c r="I78" s="313">
        <f t="shared" si="9"/>
        <v>1</v>
      </c>
      <c r="J78" s="1128"/>
      <c r="K78" s="313">
        <f t="shared" si="10"/>
        <v>1</v>
      </c>
      <c r="L78" s="1128"/>
      <c r="M78" s="313">
        <f t="shared" si="11"/>
        <v>1</v>
      </c>
      <c r="N78" s="1128"/>
      <c r="O78" s="313">
        <f t="shared" si="12"/>
        <v>1</v>
      </c>
      <c r="P78" s="1128"/>
      <c r="Q78" s="313">
        <f t="shared" si="13"/>
        <v>0.2</v>
      </c>
      <c r="R78" s="1124">
        <f t="shared" si="14"/>
        <v>0</v>
      </c>
      <c r="S78" s="698">
        <f t="shared" si="5"/>
        <v>0</v>
      </c>
    </row>
    <row r="79" spans="1:19">
      <c r="A79" s="3399"/>
      <c r="B79" s="348"/>
      <c r="C79" s="313">
        <f t="shared" si="6"/>
        <v>1</v>
      </c>
      <c r="D79" s="1128"/>
      <c r="E79" s="313">
        <f t="shared" si="7"/>
        <v>0.05</v>
      </c>
      <c r="F79" s="1128"/>
      <c r="G79" s="313">
        <f t="shared" si="8"/>
        <v>0.1</v>
      </c>
      <c r="H79" s="1128"/>
      <c r="I79" s="313">
        <f t="shared" si="9"/>
        <v>1</v>
      </c>
      <c r="J79" s="1128"/>
      <c r="K79" s="313">
        <f t="shared" si="10"/>
        <v>1</v>
      </c>
      <c r="L79" s="1128"/>
      <c r="M79" s="313">
        <f t="shared" si="11"/>
        <v>1</v>
      </c>
      <c r="N79" s="1128"/>
      <c r="O79" s="313">
        <f t="shared" si="12"/>
        <v>1</v>
      </c>
      <c r="P79" s="1128"/>
      <c r="Q79" s="313">
        <f t="shared" si="13"/>
        <v>0.2</v>
      </c>
      <c r="R79" s="1124">
        <f t="shared" si="14"/>
        <v>0</v>
      </c>
      <c r="S79" s="698">
        <f t="shared" si="5"/>
        <v>0</v>
      </c>
    </row>
    <row r="80" spans="1:19">
      <c r="A80" s="3399"/>
      <c r="B80" s="348"/>
      <c r="C80" s="313">
        <f t="shared" si="6"/>
        <v>1</v>
      </c>
      <c r="D80" s="1128"/>
      <c r="E80" s="313">
        <f t="shared" si="7"/>
        <v>0.05</v>
      </c>
      <c r="F80" s="1128"/>
      <c r="G80" s="313">
        <f t="shared" si="8"/>
        <v>0.1</v>
      </c>
      <c r="H80" s="1128"/>
      <c r="I80" s="313">
        <f t="shared" si="9"/>
        <v>1</v>
      </c>
      <c r="J80" s="1128"/>
      <c r="K80" s="313">
        <f t="shared" si="10"/>
        <v>1</v>
      </c>
      <c r="L80" s="1128"/>
      <c r="M80" s="313">
        <f t="shared" si="11"/>
        <v>1</v>
      </c>
      <c r="N80" s="1128"/>
      <c r="O80" s="313">
        <f t="shared" si="12"/>
        <v>1</v>
      </c>
      <c r="P80" s="1128"/>
      <c r="Q80" s="313">
        <f t="shared" si="13"/>
        <v>0.2</v>
      </c>
      <c r="R80" s="1124">
        <f t="shared" si="14"/>
        <v>0</v>
      </c>
      <c r="S80" s="698">
        <f t="shared" si="5"/>
        <v>0</v>
      </c>
    </row>
    <row r="81" spans="1:19">
      <c r="A81" s="3399"/>
      <c r="B81" s="348"/>
      <c r="C81" s="313">
        <f t="shared" si="6"/>
        <v>1</v>
      </c>
      <c r="D81" s="1128"/>
      <c r="E81" s="313">
        <f t="shared" si="7"/>
        <v>0.05</v>
      </c>
      <c r="F81" s="1128"/>
      <c r="G81" s="313">
        <f t="shared" si="8"/>
        <v>0.1</v>
      </c>
      <c r="H81" s="1128"/>
      <c r="I81" s="313">
        <f t="shared" si="9"/>
        <v>1</v>
      </c>
      <c r="J81" s="1128"/>
      <c r="K81" s="313">
        <f t="shared" si="10"/>
        <v>1</v>
      </c>
      <c r="L81" s="1128"/>
      <c r="M81" s="313">
        <f t="shared" si="11"/>
        <v>1</v>
      </c>
      <c r="N81" s="1128"/>
      <c r="O81" s="313">
        <f t="shared" si="12"/>
        <v>1</v>
      </c>
      <c r="P81" s="1128"/>
      <c r="Q81" s="313">
        <f t="shared" si="13"/>
        <v>0.2</v>
      </c>
      <c r="R81" s="1124">
        <f t="shared" si="14"/>
        <v>0</v>
      </c>
      <c r="S81" s="698">
        <f t="shared" si="5"/>
        <v>0</v>
      </c>
    </row>
    <row r="82" spans="1:19">
      <c r="A82" s="3399"/>
      <c r="B82" s="348"/>
      <c r="C82" s="313">
        <f t="shared" si="6"/>
        <v>1</v>
      </c>
      <c r="D82" s="1128"/>
      <c r="E82" s="313">
        <f t="shared" si="7"/>
        <v>0.05</v>
      </c>
      <c r="F82" s="1128"/>
      <c r="G82" s="313">
        <f t="shared" si="8"/>
        <v>0.1</v>
      </c>
      <c r="H82" s="1128"/>
      <c r="I82" s="313">
        <f t="shared" si="9"/>
        <v>1</v>
      </c>
      <c r="J82" s="1128"/>
      <c r="K82" s="313">
        <f t="shared" si="10"/>
        <v>1</v>
      </c>
      <c r="L82" s="1128"/>
      <c r="M82" s="313">
        <f t="shared" si="11"/>
        <v>1</v>
      </c>
      <c r="N82" s="1128"/>
      <c r="O82" s="313">
        <f t="shared" si="12"/>
        <v>1</v>
      </c>
      <c r="P82" s="1128"/>
      <c r="Q82" s="313">
        <f t="shared" si="13"/>
        <v>0.2</v>
      </c>
      <c r="R82" s="1124">
        <f t="shared" si="14"/>
        <v>0</v>
      </c>
      <c r="S82" s="698">
        <f t="shared" si="5"/>
        <v>0</v>
      </c>
    </row>
    <row r="83" spans="1:19">
      <c r="A83" s="3399"/>
      <c r="B83" s="348"/>
      <c r="C83" s="313">
        <f t="shared" si="6"/>
        <v>1</v>
      </c>
      <c r="D83" s="1128"/>
      <c r="E83" s="313">
        <f t="shared" si="7"/>
        <v>0.05</v>
      </c>
      <c r="F83" s="1128"/>
      <c r="G83" s="313">
        <f t="shared" si="8"/>
        <v>0.1</v>
      </c>
      <c r="H83" s="1128"/>
      <c r="I83" s="313">
        <f t="shared" si="9"/>
        <v>1</v>
      </c>
      <c r="J83" s="1128"/>
      <c r="K83" s="313">
        <f t="shared" si="10"/>
        <v>1</v>
      </c>
      <c r="L83" s="1128"/>
      <c r="M83" s="313">
        <f t="shared" si="11"/>
        <v>1</v>
      </c>
      <c r="N83" s="1128"/>
      <c r="O83" s="313">
        <f t="shared" si="12"/>
        <v>1</v>
      </c>
      <c r="P83" s="1128"/>
      <c r="Q83" s="313">
        <f t="shared" si="13"/>
        <v>0.2</v>
      </c>
      <c r="R83" s="1124">
        <f t="shared" si="14"/>
        <v>0</v>
      </c>
      <c r="S83" s="698">
        <f t="shared" si="5"/>
        <v>0</v>
      </c>
    </row>
    <row r="84" spans="1:19">
      <c r="A84" s="3399"/>
      <c r="B84" s="348"/>
      <c r="C84" s="313">
        <f t="shared" si="6"/>
        <v>1</v>
      </c>
      <c r="D84" s="1128"/>
      <c r="E84" s="313">
        <f t="shared" si="7"/>
        <v>0.05</v>
      </c>
      <c r="F84" s="1128"/>
      <c r="G84" s="313">
        <f t="shared" si="8"/>
        <v>0.1</v>
      </c>
      <c r="H84" s="1128"/>
      <c r="I84" s="313">
        <f t="shared" si="9"/>
        <v>1</v>
      </c>
      <c r="J84" s="1128"/>
      <c r="K84" s="313">
        <f t="shared" si="10"/>
        <v>1</v>
      </c>
      <c r="L84" s="1128"/>
      <c r="M84" s="313">
        <f t="shared" si="11"/>
        <v>1</v>
      </c>
      <c r="N84" s="1128"/>
      <c r="O84" s="313">
        <f t="shared" si="12"/>
        <v>1</v>
      </c>
      <c r="P84" s="1128"/>
      <c r="Q84" s="313">
        <f t="shared" si="13"/>
        <v>0.2</v>
      </c>
      <c r="R84" s="1124">
        <f t="shared" si="14"/>
        <v>0</v>
      </c>
      <c r="S84" s="698">
        <f t="shared" si="5"/>
        <v>0</v>
      </c>
    </row>
    <row r="85" spans="1:19">
      <c r="A85" s="3399"/>
      <c r="B85" s="348"/>
      <c r="C85" s="313">
        <f t="shared" si="6"/>
        <v>1</v>
      </c>
      <c r="D85" s="1128"/>
      <c r="E85" s="313">
        <f t="shared" si="7"/>
        <v>0.05</v>
      </c>
      <c r="F85" s="1128"/>
      <c r="G85" s="313">
        <f t="shared" si="8"/>
        <v>0.1</v>
      </c>
      <c r="H85" s="1128"/>
      <c r="I85" s="313">
        <f t="shared" si="9"/>
        <v>1</v>
      </c>
      <c r="J85" s="1128"/>
      <c r="K85" s="313">
        <f t="shared" si="10"/>
        <v>1</v>
      </c>
      <c r="L85" s="1128"/>
      <c r="M85" s="313">
        <f t="shared" si="11"/>
        <v>1</v>
      </c>
      <c r="N85" s="1128"/>
      <c r="O85" s="313">
        <f t="shared" si="12"/>
        <v>1</v>
      </c>
      <c r="P85" s="1128"/>
      <c r="Q85" s="313">
        <f t="shared" si="13"/>
        <v>0.2</v>
      </c>
      <c r="R85" s="1124">
        <f t="shared" si="14"/>
        <v>0</v>
      </c>
      <c r="S85" s="698">
        <f t="shared" si="5"/>
        <v>0</v>
      </c>
    </row>
    <row r="86" spans="1:19">
      <c r="A86" s="3399"/>
      <c r="B86" s="348"/>
      <c r="C86" s="313">
        <f t="shared" si="6"/>
        <v>1</v>
      </c>
      <c r="D86" s="1128"/>
      <c r="E86" s="313">
        <f t="shared" si="7"/>
        <v>0.05</v>
      </c>
      <c r="F86" s="1128"/>
      <c r="G86" s="313">
        <f t="shared" si="8"/>
        <v>0.1</v>
      </c>
      <c r="H86" s="1128"/>
      <c r="I86" s="313">
        <f t="shared" si="9"/>
        <v>1</v>
      </c>
      <c r="J86" s="1128"/>
      <c r="K86" s="313">
        <f t="shared" si="10"/>
        <v>1</v>
      </c>
      <c r="L86" s="1128"/>
      <c r="M86" s="313">
        <f t="shared" si="11"/>
        <v>1</v>
      </c>
      <c r="N86" s="1128"/>
      <c r="O86" s="313">
        <f t="shared" si="12"/>
        <v>1</v>
      </c>
      <c r="P86" s="1128"/>
      <c r="Q86" s="313">
        <f t="shared" si="13"/>
        <v>0.2</v>
      </c>
      <c r="R86" s="1124">
        <f t="shared" si="14"/>
        <v>0</v>
      </c>
      <c r="S86" s="698">
        <f t="shared" si="5"/>
        <v>0</v>
      </c>
    </row>
    <row r="87" spans="1:19">
      <c r="A87" s="3399"/>
      <c r="B87" s="348"/>
      <c r="C87" s="313">
        <f t="shared" si="6"/>
        <v>1</v>
      </c>
      <c r="D87" s="1128"/>
      <c r="E87" s="313">
        <f t="shared" si="7"/>
        <v>0.05</v>
      </c>
      <c r="F87" s="1128"/>
      <c r="G87" s="313">
        <f t="shared" si="8"/>
        <v>0.1</v>
      </c>
      <c r="H87" s="1128"/>
      <c r="I87" s="313">
        <f t="shared" si="9"/>
        <v>1</v>
      </c>
      <c r="J87" s="1128"/>
      <c r="K87" s="313">
        <f t="shared" si="10"/>
        <v>1</v>
      </c>
      <c r="L87" s="1128"/>
      <c r="M87" s="313">
        <f t="shared" si="11"/>
        <v>1</v>
      </c>
      <c r="N87" s="1128"/>
      <c r="O87" s="313">
        <f t="shared" si="12"/>
        <v>1</v>
      </c>
      <c r="P87" s="1128"/>
      <c r="Q87" s="313">
        <f t="shared" si="13"/>
        <v>0.2</v>
      </c>
      <c r="R87" s="1124">
        <f t="shared" si="14"/>
        <v>0</v>
      </c>
      <c r="S87" s="698">
        <f t="shared" si="5"/>
        <v>0</v>
      </c>
    </row>
    <row r="88" spans="1:19">
      <c r="A88" s="3399"/>
      <c r="B88" s="348"/>
      <c r="C88" s="313">
        <f t="shared" si="6"/>
        <v>1</v>
      </c>
      <c r="D88" s="1128"/>
      <c r="E88" s="313">
        <f t="shared" si="7"/>
        <v>0.05</v>
      </c>
      <c r="F88" s="1128"/>
      <c r="G88" s="313">
        <f t="shared" si="8"/>
        <v>0.1</v>
      </c>
      <c r="H88" s="1128"/>
      <c r="I88" s="313">
        <f t="shared" si="9"/>
        <v>1</v>
      </c>
      <c r="J88" s="1128"/>
      <c r="K88" s="313">
        <f t="shared" si="10"/>
        <v>1</v>
      </c>
      <c r="L88" s="1128"/>
      <c r="M88" s="313">
        <f t="shared" si="11"/>
        <v>1</v>
      </c>
      <c r="N88" s="1128"/>
      <c r="O88" s="313">
        <f t="shared" si="12"/>
        <v>1</v>
      </c>
      <c r="P88" s="1128"/>
      <c r="Q88" s="313">
        <f t="shared" si="13"/>
        <v>0.2</v>
      </c>
      <c r="R88" s="1124">
        <f t="shared" si="14"/>
        <v>0</v>
      </c>
      <c r="S88" s="698">
        <f t="shared" ref="S88:S151" si="15">ROUND(R88*B88/10000,0)</f>
        <v>0</v>
      </c>
    </row>
    <row r="89" spans="1:19">
      <c r="A89" s="3399"/>
      <c r="B89" s="348"/>
      <c r="C89" s="313">
        <f t="shared" si="6"/>
        <v>1</v>
      </c>
      <c r="D89" s="1128"/>
      <c r="E89" s="313">
        <f t="shared" si="7"/>
        <v>0.05</v>
      </c>
      <c r="F89" s="1128"/>
      <c r="G89" s="313">
        <f t="shared" si="8"/>
        <v>0.1</v>
      </c>
      <c r="H89" s="1128"/>
      <c r="I89" s="313">
        <f t="shared" si="9"/>
        <v>1</v>
      </c>
      <c r="J89" s="1128"/>
      <c r="K89" s="313">
        <f t="shared" si="10"/>
        <v>1</v>
      </c>
      <c r="L89" s="1128"/>
      <c r="M89" s="313">
        <f t="shared" si="11"/>
        <v>1</v>
      </c>
      <c r="N89" s="1128"/>
      <c r="O89" s="313">
        <f t="shared" si="12"/>
        <v>1</v>
      </c>
      <c r="P89" s="1128"/>
      <c r="Q89" s="313">
        <f t="shared" si="13"/>
        <v>0.2</v>
      </c>
      <c r="R89" s="1124">
        <f t="shared" si="14"/>
        <v>0</v>
      </c>
      <c r="S89" s="698">
        <f t="shared" si="15"/>
        <v>0</v>
      </c>
    </row>
    <row r="90" spans="1:19">
      <c r="A90" s="3399"/>
      <c r="B90" s="348"/>
      <c r="C90" s="313">
        <f t="shared" ref="C90:C153" si="16">IF(B90="",1,(LOOKUP(B90,$3:$3,$4:$4)-LOOKUP($B$24,$3:$3,$4:$4)+100)/100)</f>
        <v>1</v>
      </c>
      <c r="D90" s="1128"/>
      <c r="E90" s="313">
        <f t="shared" ref="E90:E153" si="17">(SUMIF($5:$5,D90,$6:$6)-SUMIF($5:$5,$D$24,$6:$6)+100)/100</f>
        <v>0.05</v>
      </c>
      <c r="F90" s="1128"/>
      <c r="G90" s="313">
        <f t="shared" ref="G90:G153" si="18">(SUMIF($7:$7,F90,$8:$8)-SUMIF($7:$7,$F$24,$8:$8)+100)/100</f>
        <v>0.1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0.2</v>
      </c>
      <c r="R90" s="1124">
        <f t="shared" ref="R90:R153" si="24">IF(B90="",0,ROUND($R$24*C90*E90*G90*I90*K90*M90*O90*Q90,0))</f>
        <v>0</v>
      </c>
      <c r="S90" s="698">
        <f t="shared" si="15"/>
        <v>0</v>
      </c>
    </row>
    <row r="91" spans="1:19">
      <c r="A91" s="3399"/>
      <c r="B91" s="348"/>
      <c r="C91" s="313">
        <f t="shared" si="16"/>
        <v>1</v>
      </c>
      <c r="D91" s="1128"/>
      <c r="E91" s="313">
        <f t="shared" si="17"/>
        <v>0.05</v>
      </c>
      <c r="F91" s="1128"/>
      <c r="G91" s="313">
        <f t="shared" si="18"/>
        <v>0.1</v>
      </c>
      <c r="H91" s="1128"/>
      <c r="I91" s="313">
        <f t="shared" si="19"/>
        <v>1</v>
      </c>
      <c r="J91" s="1128"/>
      <c r="K91" s="313">
        <f t="shared" si="20"/>
        <v>1</v>
      </c>
      <c r="L91" s="1128"/>
      <c r="M91" s="313">
        <f t="shared" si="21"/>
        <v>1</v>
      </c>
      <c r="N91" s="1128"/>
      <c r="O91" s="313">
        <f t="shared" si="22"/>
        <v>1</v>
      </c>
      <c r="P91" s="1128"/>
      <c r="Q91" s="313">
        <f t="shared" si="23"/>
        <v>0.2</v>
      </c>
      <c r="R91" s="1124">
        <f t="shared" si="24"/>
        <v>0</v>
      </c>
      <c r="S91" s="698">
        <f t="shared" si="15"/>
        <v>0</v>
      </c>
    </row>
    <row r="92" spans="1:19">
      <c r="A92" s="3399"/>
      <c r="B92" s="348"/>
      <c r="C92" s="313">
        <f t="shared" si="16"/>
        <v>1</v>
      </c>
      <c r="D92" s="1128"/>
      <c r="E92" s="313">
        <f t="shared" si="17"/>
        <v>0.05</v>
      </c>
      <c r="F92" s="1128"/>
      <c r="G92" s="313">
        <f t="shared" si="18"/>
        <v>0.1</v>
      </c>
      <c r="H92" s="1128"/>
      <c r="I92" s="313">
        <f t="shared" si="19"/>
        <v>1</v>
      </c>
      <c r="J92" s="1128"/>
      <c r="K92" s="313">
        <f t="shared" si="20"/>
        <v>1</v>
      </c>
      <c r="L92" s="1128"/>
      <c r="M92" s="313">
        <f t="shared" si="21"/>
        <v>1</v>
      </c>
      <c r="N92" s="1128"/>
      <c r="O92" s="313">
        <f t="shared" si="22"/>
        <v>1</v>
      </c>
      <c r="P92" s="1128"/>
      <c r="Q92" s="313">
        <f t="shared" si="23"/>
        <v>0.2</v>
      </c>
      <c r="R92" s="1124">
        <f t="shared" si="24"/>
        <v>0</v>
      </c>
      <c r="S92" s="698">
        <f t="shared" si="15"/>
        <v>0</v>
      </c>
    </row>
    <row r="93" spans="1:19">
      <c r="A93" s="3399"/>
      <c r="B93" s="348"/>
      <c r="C93" s="313">
        <f t="shared" si="16"/>
        <v>1</v>
      </c>
      <c r="D93" s="1128"/>
      <c r="E93" s="313">
        <f t="shared" si="17"/>
        <v>0.05</v>
      </c>
      <c r="F93" s="1128"/>
      <c r="G93" s="313">
        <f t="shared" si="18"/>
        <v>0.1</v>
      </c>
      <c r="H93" s="1128"/>
      <c r="I93" s="313">
        <f t="shared" si="19"/>
        <v>1</v>
      </c>
      <c r="J93" s="1128"/>
      <c r="K93" s="313">
        <f t="shared" si="20"/>
        <v>1</v>
      </c>
      <c r="L93" s="1128"/>
      <c r="M93" s="313">
        <f t="shared" si="21"/>
        <v>1</v>
      </c>
      <c r="N93" s="1128"/>
      <c r="O93" s="313">
        <f t="shared" si="22"/>
        <v>1</v>
      </c>
      <c r="P93" s="1128"/>
      <c r="Q93" s="313">
        <f t="shared" si="23"/>
        <v>0.2</v>
      </c>
      <c r="R93" s="1124">
        <f t="shared" si="24"/>
        <v>0</v>
      </c>
      <c r="S93" s="698">
        <f t="shared" si="15"/>
        <v>0</v>
      </c>
    </row>
    <row r="94" spans="1:19">
      <c r="A94" s="3399"/>
      <c r="B94" s="348"/>
      <c r="C94" s="313">
        <f t="shared" si="16"/>
        <v>1</v>
      </c>
      <c r="D94" s="1128"/>
      <c r="E94" s="313">
        <f t="shared" si="17"/>
        <v>0.05</v>
      </c>
      <c r="F94" s="1128"/>
      <c r="G94" s="313">
        <f t="shared" si="18"/>
        <v>0.1</v>
      </c>
      <c r="H94" s="1128"/>
      <c r="I94" s="313">
        <f t="shared" si="19"/>
        <v>1</v>
      </c>
      <c r="J94" s="1128"/>
      <c r="K94" s="313">
        <f t="shared" si="20"/>
        <v>1</v>
      </c>
      <c r="L94" s="1128"/>
      <c r="M94" s="313">
        <f t="shared" si="21"/>
        <v>1</v>
      </c>
      <c r="N94" s="1128"/>
      <c r="O94" s="313">
        <f t="shared" si="22"/>
        <v>1</v>
      </c>
      <c r="P94" s="1128"/>
      <c r="Q94" s="313">
        <f t="shared" si="23"/>
        <v>0.2</v>
      </c>
      <c r="R94" s="1124">
        <f t="shared" si="24"/>
        <v>0</v>
      </c>
      <c r="S94" s="698">
        <f t="shared" si="15"/>
        <v>0</v>
      </c>
    </row>
    <row r="95" spans="1:19">
      <c r="A95" s="3399"/>
      <c r="B95" s="348"/>
      <c r="C95" s="313">
        <f t="shared" si="16"/>
        <v>1</v>
      </c>
      <c r="D95" s="1128"/>
      <c r="E95" s="313">
        <f t="shared" si="17"/>
        <v>0.05</v>
      </c>
      <c r="F95" s="1128"/>
      <c r="G95" s="313">
        <f t="shared" si="18"/>
        <v>0.1</v>
      </c>
      <c r="H95" s="1128"/>
      <c r="I95" s="313">
        <f t="shared" si="19"/>
        <v>1</v>
      </c>
      <c r="J95" s="1128"/>
      <c r="K95" s="313">
        <f t="shared" si="20"/>
        <v>1</v>
      </c>
      <c r="L95" s="1128"/>
      <c r="M95" s="313">
        <f t="shared" si="21"/>
        <v>1</v>
      </c>
      <c r="N95" s="1128"/>
      <c r="O95" s="313">
        <f t="shared" si="22"/>
        <v>1</v>
      </c>
      <c r="P95" s="1128"/>
      <c r="Q95" s="313">
        <f t="shared" si="23"/>
        <v>0.2</v>
      </c>
      <c r="R95" s="1124">
        <f t="shared" si="24"/>
        <v>0</v>
      </c>
      <c r="S95" s="698">
        <f t="shared" si="15"/>
        <v>0</v>
      </c>
    </row>
    <row r="96" spans="1:19">
      <c r="A96" s="3399"/>
      <c r="B96" s="348"/>
      <c r="C96" s="313">
        <f t="shared" si="16"/>
        <v>1</v>
      </c>
      <c r="D96" s="1128"/>
      <c r="E96" s="313">
        <f t="shared" si="17"/>
        <v>0.05</v>
      </c>
      <c r="F96" s="1128"/>
      <c r="G96" s="313">
        <f t="shared" si="18"/>
        <v>0.1</v>
      </c>
      <c r="H96" s="1128"/>
      <c r="I96" s="313">
        <f t="shared" si="19"/>
        <v>1</v>
      </c>
      <c r="J96" s="1128"/>
      <c r="K96" s="313">
        <f t="shared" si="20"/>
        <v>1</v>
      </c>
      <c r="L96" s="1128"/>
      <c r="M96" s="313">
        <f t="shared" si="21"/>
        <v>1</v>
      </c>
      <c r="N96" s="1128"/>
      <c r="O96" s="313">
        <f t="shared" si="22"/>
        <v>1</v>
      </c>
      <c r="P96" s="1128"/>
      <c r="Q96" s="313">
        <f t="shared" si="23"/>
        <v>0.2</v>
      </c>
      <c r="R96" s="1124">
        <f t="shared" si="24"/>
        <v>0</v>
      </c>
      <c r="S96" s="698">
        <f t="shared" si="15"/>
        <v>0</v>
      </c>
    </row>
    <row r="97" spans="1:19">
      <c r="A97" s="3399"/>
      <c r="B97" s="348"/>
      <c r="C97" s="313">
        <f t="shared" si="16"/>
        <v>1</v>
      </c>
      <c r="D97" s="1128"/>
      <c r="E97" s="313">
        <f t="shared" si="17"/>
        <v>0.05</v>
      </c>
      <c r="F97" s="1128"/>
      <c r="G97" s="313">
        <f t="shared" si="18"/>
        <v>0.1</v>
      </c>
      <c r="H97" s="1128"/>
      <c r="I97" s="313">
        <f t="shared" si="19"/>
        <v>1</v>
      </c>
      <c r="J97" s="1128"/>
      <c r="K97" s="313">
        <f t="shared" si="20"/>
        <v>1</v>
      </c>
      <c r="L97" s="1128"/>
      <c r="M97" s="313">
        <f t="shared" si="21"/>
        <v>1</v>
      </c>
      <c r="N97" s="1128"/>
      <c r="O97" s="313">
        <f t="shared" si="22"/>
        <v>1</v>
      </c>
      <c r="P97" s="1128"/>
      <c r="Q97" s="313">
        <f t="shared" si="23"/>
        <v>0.2</v>
      </c>
      <c r="R97" s="1124">
        <f t="shared" si="24"/>
        <v>0</v>
      </c>
      <c r="S97" s="698">
        <f t="shared" si="15"/>
        <v>0</v>
      </c>
    </row>
    <row r="98" spans="1:19">
      <c r="A98" s="3399"/>
      <c r="B98" s="348"/>
      <c r="C98" s="313">
        <f t="shared" si="16"/>
        <v>1</v>
      </c>
      <c r="D98" s="1128"/>
      <c r="E98" s="313">
        <f t="shared" si="17"/>
        <v>0.05</v>
      </c>
      <c r="F98" s="1128"/>
      <c r="G98" s="313">
        <f t="shared" si="18"/>
        <v>0.1</v>
      </c>
      <c r="H98" s="1128"/>
      <c r="I98" s="313">
        <f t="shared" si="19"/>
        <v>1</v>
      </c>
      <c r="J98" s="1128"/>
      <c r="K98" s="313">
        <f t="shared" si="20"/>
        <v>1</v>
      </c>
      <c r="L98" s="1128"/>
      <c r="M98" s="313">
        <f t="shared" si="21"/>
        <v>1</v>
      </c>
      <c r="N98" s="1128"/>
      <c r="O98" s="313">
        <f t="shared" si="22"/>
        <v>1</v>
      </c>
      <c r="P98" s="1128"/>
      <c r="Q98" s="313">
        <f t="shared" si="23"/>
        <v>0.2</v>
      </c>
      <c r="R98" s="1124">
        <f t="shared" si="24"/>
        <v>0</v>
      </c>
      <c r="S98" s="698">
        <f t="shared" si="15"/>
        <v>0</v>
      </c>
    </row>
    <row r="99" spans="1:19">
      <c r="A99" s="3399"/>
      <c r="B99" s="348"/>
      <c r="C99" s="313">
        <f t="shared" si="16"/>
        <v>1</v>
      </c>
      <c r="D99" s="1128"/>
      <c r="E99" s="313">
        <f t="shared" si="17"/>
        <v>0.05</v>
      </c>
      <c r="F99" s="1128"/>
      <c r="G99" s="313">
        <f t="shared" si="18"/>
        <v>0.1</v>
      </c>
      <c r="H99" s="1128"/>
      <c r="I99" s="313">
        <f t="shared" si="19"/>
        <v>1</v>
      </c>
      <c r="J99" s="1128"/>
      <c r="K99" s="313">
        <f t="shared" si="20"/>
        <v>1</v>
      </c>
      <c r="L99" s="1128"/>
      <c r="M99" s="313">
        <f t="shared" si="21"/>
        <v>1</v>
      </c>
      <c r="N99" s="1128"/>
      <c r="O99" s="313">
        <f t="shared" si="22"/>
        <v>1</v>
      </c>
      <c r="P99" s="1128"/>
      <c r="Q99" s="313">
        <f t="shared" si="23"/>
        <v>0.2</v>
      </c>
      <c r="R99" s="1124">
        <f t="shared" si="24"/>
        <v>0</v>
      </c>
      <c r="S99" s="698">
        <f t="shared" si="15"/>
        <v>0</v>
      </c>
    </row>
    <row r="100" spans="1:19">
      <c r="A100" s="3399"/>
      <c r="B100" s="348"/>
      <c r="C100" s="313">
        <f t="shared" si="16"/>
        <v>1</v>
      </c>
      <c r="D100" s="1128"/>
      <c r="E100" s="313">
        <f t="shared" si="17"/>
        <v>0.05</v>
      </c>
      <c r="F100" s="1128"/>
      <c r="G100" s="313">
        <f t="shared" si="18"/>
        <v>0.1</v>
      </c>
      <c r="H100" s="1128"/>
      <c r="I100" s="313">
        <f t="shared" si="19"/>
        <v>1</v>
      </c>
      <c r="J100" s="1128"/>
      <c r="K100" s="313">
        <f t="shared" si="20"/>
        <v>1</v>
      </c>
      <c r="L100" s="1128"/>
      <c r="M100" s="313">
        <f t="shared" si="21"/>
        <v>1</v>
      </c>
      <c r="N100" s="1128"/>
      <c r="O100" s="313">
        <f t="shared" si="22"/>
        <v>1</v>
      </c>
      <c r="P100" s="1128"/>
      <c r="Q100" s="313">
        <f t="shared" si="23"/>
        <v>0.2</v>
      </c>
      <c r="R100" s="1124">
        <f t="shared" si="24"/>
        <v>0</v>
      </c>
      <c r="S100" s="698">
        <f t="shared" si="15"/>
        <v>0</v>
      </c>
    </row>
    <row r="101" spans="1:19">
      <c r="A101" s="3399"/>
      <c r="B101" s="348"/>
      <c r="C101" s="313">
        <f t="shared" si="16"/>
        <v>1</v>
      </c>
      <c r="D101" s="1128"/>
      <c r="E101" s="313">
        <f t="shared" si="17"/>
        <v>0.05</v>
      </c>
      <c r="F101" s="1128"/>
      <c r="G101" s="313">
        <f t="shared" si="18"/>
        <v>0.1</v>
      </c>
      <c r="H101" s="1128"/>
      <c r="I101" s="313">
        <f t="shared" si="19"/>
        <v>1</v>
      </c>
      <c r="J101" s="1128"/>
      <c r="K101" s="313">
        <f t="shared" si="20"/>
        <v>1</v>
      </c>
      <c r="L101" s="1128"/>
      <c r="M101" s="313">
        <f t="shared" si="21"/>
        <v>1</v>
      </c>
      <c r="N101" s="1128"/>
      <c r="O101" s="313">
        <f t="shared" si="22"/>
        <v>1</v>
      </c>
      <c r="P101" s="1128"/>
      <c r="Q101" s="313">
        <f t="shared" si="23"/>
        <v>0.2</v>
      </c>
      <c r="R101" s="1124">
        <f t="shared" si="24"/>
        <v>0</v>
      </c>
      <c r="S101" s="698">
        <f t="shared" si="15"/>
        <v>0</v>
      </c>
    </row>
    <row r="102" spans="1:19">
      <c r="A102" s="3399"/>
      <c r="B102" s="348"/>
      <c r="C102" s="313">
        <f t="shared" si="16"/>
        <v>1</v>
      </c>
      <c r="D102" s="1128"/>
      <c r="E102" s="313">
        <f t="shared" si="17"/>
        <v>0.05</v>
      </c>
      <c r="F102" s="1128"/>
      <c r="G102" s="313">
        <f t="shared" si="18"/>
        <v>0.1</v>
      </c>
      <c r="H102" s="1128"/>
      <c r="I102" s="313">
        <f t="shared" si="19"/>
        <v>1</v>
      </c>
      <c r="J102" s="1128"/>
      <c r="K102" s="313">
        <f t="shared" si="20"/>
        <v>1</v>
      </c>
      <c r="L102" s="1128"/>
      <c r="M102" s="313">
        <f t="shared" si="21"/>
        <v>1</v>
      </c>
      <c r="N102" s="1128"/>
      <c r="O102" s="313">
        <f t="shared" si="22"/>
        <v>1</v>
      </c>
      <c r="P102" s="1128"/>
      <c r="Q102" s="313">
        <f t="shared" si="23"/>
        <v>0.2</v>
      </c>
      <c r="R102" s="1124">
        <f t="shared" si="24"/>
        <v>0</v>
      </c>
      <c r="S102" s="698">
        <f t="shared" si="15"/>
        <v>0</v>
      </c>
    </row>
    <row r="103" spans="1:19">
      <c r="A103" s="3399"/>
      <c r="B103" s="348"/>
      <c r="C103" s="313">
        <f t="shared" si="16"/>
        <v>1</v>
      </c>
      <c r="D103" s="1128"/>
      <c r="E103" s="313">
        <f t="shared" si="17"/>
        <v>0.05</v>
      </c>
      <c r="F103" s="1128"/>
      <c r="G103" s="313">
        <f t="shared" si="18"/>
        <v>0.1</v>
      </c>
      <c r="H103" s="1128"/>
      <c r="I103" s="313">
        <f t="shared" si="19"/>
        <v>1</v>
      </c>
      <c r="J103" s="1128"/>
      <c r="K103" s="313">
        <f t="shared" si="20"/>
        <v>1</v>
      </c>
      <c r="L103" s="1128"/>
      <c r="M103" s="313">
        <f t="shared" si="21"/>
        <v>1</v>
      </c>
      <c r="N103" s="1128"/>
      <c r="O103" s="313">
        <f t="shared" si="22"/>
        <v>1</v>
      </c>
      <c r="P103" s="1128"/>
      <c r="Q103" s="313">
        <f t="shared" si="23"/>
        <v>0.2</v>
      </c>
      <c r="R103" s="1124">
        <f t="shared" si="24"/>
        <v>0</v>
      </c>
      <c r="S103" s="698">
        <f t="shared" si="15"/>
        <v>0</v>
      </c>
    </row>
    <row r="104" spans="1:19">
      <c r="A104" s="3399"/>
      <c r="B104" s="348"/>
      <c r="C104" s="313">
        <f t="shared" si="16"/>
        <v>1</v>
      </c>
      <c r="D104" s="1128"/>
      <c r="E104" s="313">
        <f t="shared" si="17"/>
        <v>0.05</v>
      </c>
      <c r="F104" s="1128"/>
      <c r="G104" s="313">
        <f t="shared" si="18"/>
        <v>0.1</v>
      </c>
      <c r="H104" s="1128"/>
      <c r="I104" s="313">
        <f t="shared" si="19"/>
        <v>1</v>
      </c>
      <c r="J104" s="1128"/>
      <c r="K104" s="313">
        <f t="shared" si="20"/>
        <v>1</v>
      </c>
      <c r="L104" s="1128"/>
      <c r="M104" s="313">
        <f t="shared" si="21"/>
        <v>1</v>
      </c>
      <c r="N104" s="1128"/>
      <c r="O104" s="313">
        <f t="shared" si="22"/>
        <v>1</v>
      </c>
      <c r="P104" s="1128"/>
      <c r="Q104" s="313">
        <f t="shared" si="23"/>
        <v>0.2</v>
      </c>
      <c r="R104" s="1124">
        <f t="shared" si="24"/>
        <v>0</v>
      </c>
      <c r="S104" s="698">
        <f t="shared" si="15"/>
        <v>0</v>
      </c>
    </row>
    <row r="105" spans="1:19">
      <c r="A105" s="3399"/>
      <c r="B105" s="348"/>
      <c r="C105" s="313">
        <f t="shared" si="16"/>
        <v>1</v>
      </c>
      <c r="D105" s="1128"/>
      <c r="E105" s="313">
        <f t="shared" si="17"/>
        <v>0.05</v>
      </c>
      <c r="F105" s="1128"/>
      <c r="G105" s="313">
        <f t="shared" si="18"/>
        <v>0.1</v>
      </c>
      <c r="H105" s="1128"/>
      <c r="I105" s="313">
        <f t="shared" si="19"/>
        <v>1</v>
      </c>
      <c r="J105" s="1128"/>
      <c r="K105" s="313">
        <f t="shared" si="20"/>
        <v>1</v>
      </c>
      <c r="L105" s="1128"/>
      <c r="M105" s="313">
        <f t="shared" si="21"/>
        <v>1</v>
      </c>
      <c r="N105" s="1128"/>
      <c r="O105" s="313">
        <f t="shared" si="22"/>
        <v>1</v>
      </c>
      <c r="P105" s="1128"/>
      <c r="Q105" s="313">
        <f t="shared" si="23"/>
        <v>0.2</v>
      </c>
      <c r="R105" s="1124">
        <f t="shared" si="24"/>
        <v>0</v>
      </c>
      <c r="S105" s="698">
        <f t="shared" si="15"/>
        <v>0</v>
      </c>
    </row>
    <row r="106" spans="1:19">
      <c r="A106" s="3399"/>
      <c r="B106" s="348"/>
      <c r="C106" s="313">
        <f t="shared" si="16"/>
        <v>1</v>
      </c>
      <c r="D106" s="1128"/>
      <c r="E106" s="313">
        <f t="shared" si="17"/>
        <v>0.05</v>
      </c>
      <c r="F106" s="1128"/>
      <c r="G106" s="313">
        <f t="shared" si="18"/>
        <v>0.1</v>
      </c>
      <c r="H106" s="1128"/>
      <c r="I106" s="313">
        <f t="shared" si="19"/>
        <v>1</v>
      </c>
      <c r="J106" s="1128"/>
      <c r="K106" s="313">
        <f t="shared" si="20"/>
        <v>1</v>
      </c>
      <c r="L106" s="1128"/>
      <c r="M106" s="313">
        <f t="shared" si="21"/>
        <v>1</v>
      </c>
      <c r="N106" s="1128"/>
      <c r="O106" s="313">
        <f t="shared" si="22"/>
        <v>1</v>
      </c>
      <c r="P106" s="1128"/>
      <c r="Q106" s="313">
        <f t="shared" si="23"/>
        <v>0.2</v>
      </c>
      <c r="R106" s="1124">
        <f t="shared" si="24"/>
        <v>0</v>
      </c>
      <c r="S106" s="698">
        <f t="shared" si="15"/>
        <v>0</v>
      </c>
    </row>
    <row r="107" spans="1:19">
      <c r="A107" s="3399"/>
      <c r="B107" s="348"/>
      <c r="C107" s="313">
        <f t="shared" si="16"/>
        <v>1</v>
      </c>
      <c r="D107" s="1128"/>
      <c r="E107" s="313">
        <f t="shared" si="17"/>
        <v>0.05</v>
      </c>
      <c r="F107" s="1128"/>
      <c r="G107" s="313">
        <f t="shared" si="18"/>
        <v>0.1</v>
      </c>
      <c r="H107" s="1128"/>
      <c r="I107" s="313">
        <f t="shared" si="19"/>
        <v>1</v>
      </c>
      <c r="J107" s="1128"/>
      <c r="K107" s="313">
        <f t="shared" si="20"/>
        <v>1</v>
      </c>
      <c r="L107" s="1128"/>
      <c r="M107" s="313">
        <f t="shared" si="21"/>
        <v>1</v>
      </c>
      <c r="N107" s="1128"/>
      <c r="O107" s="313">
        <f t="shared" si="22"/>
        <v>1</v>
      </c>
      <c r="P107" s="1128"/>
      <c r="Q107" s="313">
        <f t="shared" si="23"/>
        <v>0.2</v>
      </c>
      <c r="R107" s="1124">
        <f t="shared" si="24"/>
        <v>0</v>
      </c>
      <c r="S107" s="698">
        <f t="shared" si="15"/>
        <v>0</v>
      </c>
    </row>
    <row r="108" spans="1:19">
      <c r="A108" s="3399"/>
      <c r="B108" s="348"/>
      <c r="C108" s="313">
        <f t="shared" si="16"/>
        <v>1</v>
      </c>
      <c r="D108" s="1128"/>
      <c r="E108" s="313">
        <f t="shared" si="17"/>
        <v>0.05</v>
      </c>
      <c r="F108" s="1128"/>
      <c r="G108" s="313">
        <f t="shared" si="18"/>
        <v>0.1</v>
      </c>
      <c r="H108" s="1128"/>
      <c r="I108" s="313">
        <f t="shared" si="19"/>
        <v>1</v>
      </c>
      <c r="J108" s="1128"/>
      <c r="K108" s="313">
        <f t="shared" si="20"/>
        <v>1</v>
      </c>
      <c r="L108" s="1128"/>
      <c r="M108" s="313">
        <f t="shared" si="21"/>
        <v>1</v>
      </c>
      <c r="N108" s="1128"/>
      <c r="O108" s="313">
        <f t="shared" si="22"/>
        <v>1</v>
      </c>
      <c r="P108" s="1128"/>
      <c r="Q108" s="313">
        <f t="shared" si="23"/>
        <v>0.2</v>
      </c>
      <c r="R108" s="1124">
        <f t="shared" si="24"/>
        <v>0</v>
      </c>
      <c r="S108" s="698">
        <f t="shared" si="15"/>
        <v>0</v>
      </c>
    </row>
    <row r="109" spans="1:19">
      <c r="A109" s="3399"/>
      <c r="B109" s="348"/>
      <c r="C109" s="313">
        <f t="shared" si="16"/>
        <v>1</v>
      </c>
      <c r="D109" s="1128"/>
      <c r="E109" s="313">
        <f t="shared" si="17"/>
        <v>0.05</v>
      </c>
      <c r="F109" s="1128"/>
      <c r="G109" s="313">
        <f t="shared" si="18"/>
        <v>0.1</v>
      </c>
      <c r="H109" s="1128"/>
      <c r="I109" s="313">
        <f t="shared" si="19"/>
        <v>1</v>
      </c>
      <c r="J109" s="1128"/>
      <c r="K109" s="313">
        <f t="shared" si="20"/>
        <v>1</v>
      </c>
      <c r="L109" s="1128"/>
      <c r="M109" s="313">
        <f t="shared" si="21"/>
        <v>1</v>
      </c>
      <c r="N109" s="1128"/>
      <c r="O109" s="313">
        <f t="shared" si="22"/>
        <v>1</v>
      </c>
      <c r="P109" s="1128"/>
      <c r="Q109" s="313">
        <f t="shared" si="23"/>
        <v>0.2</v>
      </c>
      <c r="R109" s="1124">
        <f t="shared" si="24"/>
        <v>0</v>
      </c>
      <c r="S109" s="698">
        <f t="shared" si="15"/>
        <v>0</v>
      </c>
    </row>
    <row r="110" spans="1:19">
      <c r="A110" s="3399"/>
      <c r="B110" s="348"/>
      <c r="C110" s="313">
        <f t="shared" si="16"/>
        <v>1</v>
      </c>
      <c r="D110" s="1128"/>
      <c r="E110" s="313">
        <f t="shared" si="17"/>
        <v>0.05</v>
      </c>
      <c r="F110" s="1128"/>
      <c r="G110" s="313">
        <f t="shared" si="18"/>
        <v>0.1</v>
      </c>
      <c r="H110" s="1128"/>
      <c r="I110" s="313">
        <f t="shared" si="19"/>
        <v>1</v>
      </c>
      <c r="J110" s="1128"/>
      <c r="K110" s="313">
        <f t="shared" si="20"/>
        <v>1</v>
      </c>
      <c r="L110" s="1128"/>
      <c r="M110" s="313">
        <f t="shared" si="21"/>
        <v>1</v>
      </c>
      <c r="N110" s="1128"/>
      <c r="O110" s="313">
        <f t="shared" si="22"/>
        <v>1</v>
      </c>
      <c r="P110" s="1128"/>
      <c r="Q110" s="313">
        <f t="shared" si="23"/>
        <v>0.2</v>
      </c>
      <c r="R110" s="1124">
        <f t="shared" si="24"/>
        <v>0</v>
      </c>
      <c r="S110" s="698">
        <f t="shared" si="15"/>
        <v>0</v>
      </c>
    </row>
    <row r="111" spans="1:19">
      <c r="A111" s="3399"/>
      <c r="B111" s="348"/>
      <c r="C111" s="313">
        <f t="shared" si="16"/>
        <v>1</v>
      </c>
      <c r="D111" s="1128"/>
      <c r="E111" s="313">
        <f t="shared" si="17"/>
        <v>0.05</v>
      </c>
      <c r="F111" s="1128"/>
      <c r="G111" s="313">
        <f t="shared" si="18"/>
        <v>0.1</v>
      </c>
      <c r="H111" s="1128"/>
      <c r="I111" s="313">
        <f t="shared" si="19"/>
        <v>1</v>
      </c>
      <c r="J111" s="1128"/>
      <c r="K111" s="313">
        <f t="shared" si="20"/>
        <v>1</v>
      </c>
      <c r="L111" s="1128"/>
      <c r="M111" s="313">
        <f t="shared" si="21"/>
        <v>1</v>
      </c>
      <c r="N111" s="1128"/>
      <c r="O111" s="313">
        <f t="shared" si="22"/>
        <v>1</v>
      </c>
      <c r="P111" s="1128"/>
      <c r="Q111" s="313">
        <f t="shared" si="23"/>
        <v>0.2</v>
      </c>
      <c r="R111" s="1124">
        <f t="shared" si="24"/>
        <v>0</v>
      </c>
      <c r="S111" s="698">
        <f t="shared" si="15"/>
        <v>0</v>
      </c>
    </row>
    <row r="112" spans="1:19">
      <c r="A112" s="3399"/>
      <c r="B112" s="348"/>
      <c r="C112" s="313">
        <f t="shared" si="16"/>
        <v>1</v>
      </c>
      <c r="D112" s="1128"/>
      <c r="E112" s="313">
        <f t="shared" si="17"/>
        <v>0.05</v>
      </c>
      <c r="F112" s="1128"/>
      <c r="G112" s="313">
        <f t="shared" si="18"/>
        <v>0.1</v>
      </c>
      <c r="H112" s="1128"/>
      <c r="I112" s="313">
        <f t="shared" si="19"/>
        <v>1</v>
      </c>
      <c r="J112" s="1128"/>
      <c r="K112" s="313">
        <f t="shared" si="20"/>
        <v>1</v>
      </c>
      <c r="L112" s="1128"/>
      <c r="M112" s="313">
        <f t="shared" si="21"/>
        <v>1</v>
      </c>
      <c r="N112" s="1128"/>
      <c r="O112" s="313">
        <f t="shared" si="22"/>
        <v>1</v>
      </c>
      <c r="P112" s="1128"/>
      <c r="Q112" s="313">
        <f t="shared" si="23"/>
        <v>0.2</v>
      </c>
      <c r="R112" s="1124">
        <f t="shared" si="24"/>
        <v>0</v>
      </c>
      <c r="S112" s="698">
        <f t="shared" si="15"/>
        <v>0</v>
      </c>
    </row>
    <row r="113" spans="1:19">
      <c r="A113" s="3399"/>
      <c r="B113" s="348"/>
      <c r="C113" s="313">
        <f t="shared" si="16"/>
        <v>1</v>
      </c>
      <c r="D113" s="1128"/>
      <c r="E113" s="313">
        <f t="shared" si="17"/>
        <v>0.05</v>
      </c>
      <c r="F113" s="1128"/>
      <c r="G113" s="313">
        <f t="shared" si="18"/>
        <v>0.1</v>
      </c>
      <c r="H113" s="1128"/>
      <c r="I113" s="313">
        <f t="shared" si="19"/>
        <v>1</v>
      </c>
      <c r="J113" s="1128"/>
      <c r="K113" s="313">
        <f t="shared" si="20"/>
        <v>1</v>
      </c>
      <c r="L113" s="1128"/>
      <c r="M113" s="313">
        <f t="shared" si="21"/>
        <v>1</v>
      </c>
      <c r="N113" s="1128"/>
      <c r="O113" s="313">
        <f t="shared" si="22"/>
        <v>1</v>
      </c>
      <c r="P113" s="1128"/>
      <c r="Q113" s="313">
        <f t="shared" si="23"/>
        <v>0.2</v>
      </c>
      <c r="R113" s="1124">
        <f t="shared" si="24"/>
        <v>0</v>
      </c>
      <c r="S113" s="698">
        <f t="shared" si="15"/>
        <v>0</v>
      </c>
    </row>
    <row r="114" spans="1:19">
      <c r="A114" s="3399"/>
      <c r="B114" s="348"/>
      <c r="C114" s="313">
        <f t="shared" si="16"/>
        <v>1</v>
      </c>
      <c r="D114" s="1128"/>
      <c r="E114" s="313">
        <f t="shared" si="17"/>
        <v>0.05</v>
      </c>
      <c r="F114" s="1128"/>
      <c r="G114" s="313">
        <f t="shared" si="18"/>
        <v>0.1</v>
      </c>
      <c r="H114" s="1128"/>
      <c r="I114" s="313">
        <f t="shared" si="19"/>
        <v>1</v>
      </c>
      <c r="J114" s="1128"/>
      <c r="K114" s="313">
        <f t="shared" si="20"/>
        <v>1</v>
      </c>
      <c r="L114" s="1128"/>
      <c r="M114" s="313">
        <f t="shared" si="21"/>
        <v>1</v>
      </c>
      <c r="N114" s="1128"/>
      <c r="O114" s="313">
        <f t="shared" si="22"/>
        <v>1</v>
      </c>
      <c r="P114" s="1128"/>
      <c r="Q114" s="313">
        <f t="shared" si="23"/>
        <v>0.2</v>
      </c>
      <c r="R114" s="1124">
        <f t="shared" si="24"/>
        <v>0</v>
      </c>
      <c r="S114" s="698">
        <f t="shared" si="15"/>
        <v>0</v>
      </c>
    </row>
    <row r="115" spans="1:19">
      <c r="A115" s="3399"/>
      <c r="B115" s="348"/>
      <c r="C115" s="313">
        <f t="shared" si="16"/>
        <v>1</v>
      </c>
      <c r="D115" s="1128"/>
      <c r="E115" s="313">
        <f t="shared" si="17"/>
        <v>0.05</v>
      </c>
      <c r="F115" s="1128"/>
      <c r="G115" s="313">
        <f t="shared" si="18"/>
        <v>0.1</v>
      </c>
      <c r="H115" s="1128"/>
      <c r="I115" s="313">
        <f t="shared" si="19"/>
        <v>1</v>
      </c>
      <c r="J115" s="1128"/>
      <c r="K115" s="313">
        <f t="shared" si="20"/>
        <v>1</v>
      </c>
      <c r="L115" s="1128"/>
      <c r="M115" s="313">
        <f t="shared" si="21"/>
        <v>1</v>
      </c>
      <c r="N115" s="1128"/>
      <c r="O115" s="313">
        <f t="shared" si="22"/>
        <v>1</v>
      </c>
      <c r="P115" s="1128"/>
      <c r="Q115" s="313">
        <f t="shared" si="23"/>
        <v>0.2</v>
      </c>
      <c r="R115" s="1124">
        <f t="shared" si="24"/>
        <v>0</v>
      </c>
      <c r="S115" s="698">
        <f t="shared" si="15"/>
        <v>0</v>
      </c>
    </row>
    <row r="116" spans="1:19">
      <c r="A116" s="3399"/>
      <c r="B116" s="348"/>
      <c r="C116" s="313">
        <f t="shared" si="16"/>
        <v>1</v>
      </c>
      <c r="D116" s="1128"/>
      <c r="E116" s="313">
        <f t="shared" si="17"/>
        <v>0.05</v>
      </c>
      <c r="F116" s="1128"/>
      <c r="G116" s="313">
        <f t="shared" si="18"/>
        <v>0.1</v>
      </c>
      <c r="H116" s="1128"/>
      <c r="I116" s="313">
        <f t="shared" si="19"/>
        <v>1</v>
      </c>
      <c r="J116" s="1128"/>
      <c r="K116" s="313">
        <f t="shared" si="20"/>
        <v>1</v>
      </c>
      <c r="L116" s="1128"/>
      <c r="M116" s="313">
        <f t="shared" si="21"/>
        <v>1</v>
      </c>
      <c r="N116" s="1128"/>
      <c r="O116" s="313">
        <f t="shared" si="22"/>
        <v>1</v>
      </c>
      <c r="P116" s="1128"/>
      <c r="Q116" s="313">
        <f t="shared" si="23"/>
        <v>0.2</v>
      </c>
      <c r="R116" s="1124">
        <f t="shared" si="24"/>
        <v>0</v>
      </c>
      <c r="S116" s="698">
        <f t="shared" si="15"/>
        <v>0</v>
      </c>
    </row>
    <row r="117" spans="1:19">
      <c r="A117" s="3399"/>
      <c r="B117" s="348"/>
      <c r="C117" s="313">
        <f t="shared" si="16"/>
        <v>1</v>
      </c>
      <c r="D117" s="1128"/>
      <c r="E117" s="313">
        <f t="shared" si="17"/>
        <v>0.05</v>
      </c>
      <c r="F117" s="1128"/>
      <c r="G117" s="313">
        <f t="shared" si="18"/>
        <v>0.1</v>
      </c>
      <c r="H117" s="1128"/>
      <c r="I117" s="313">
        <f t="shared" si="19"/>
        <v>1</v>
      </c>
      <c r="J117" s="1128"/>
      <c r="K117" s="313">
        <f t="shared" si="20"/>
        <v>1</v>
      </c>
      <c r="L117" s="1128"/>
      <c r="M117" s="313">
        <f t="shared" si="21"/>
        <v>1</v>
      </c>
      <c r="N117" s="1128"/>
      <c r="O117" s="313">
        <f t="shared" si="22"/>
        <v>1</v>
      </c>
      <c r="P117" s="1128"/>
      <c r="Q117" s="313">
        <f t="shared" si="23"/>
        <v>0.2</v>
      </c>
      <c r="R117" s="1124">
        <f t="shared" si="24"/>
        <v>0</v>
      </c>
      <c r="S117" s="698">
        <f t="shared" si="15"/>
        <v>0</v>
      </c>
    </row>
    <row r="118" spans="1:19">
      <c r="A118" s="3399"/>
      <c r="B118" s="348"/>
      <c r="C118" s="313">
        <f t="shared" si="16"/>
        <v>1</v>
      </c>
      <c r="D118" s="1128"/>
      <c r="E118" s="313">
        <f t="shared" si="17"/>
        <v>0.05</v>
      </c>
      <c r="F118" s="1128"/>
      <c r="G118" s="313">
        <f t="shared" si="18"/>
        <v>0.1</v>
      </c>
      <c r="H118" s="1128"/>
      <c r="I118" s="313">
        <f t="shared" si="19"/>
        <v>1</v>
      </c>
      <c r="J118" s="1128"/>
      <c r="K118" s="313">
        <f t="shared" si="20"/>
        <v>1</v>
      </c>
      <c r="L118" s="1128"/>
      <c r="M118" s="313">
        <f t="shared" si="21"/>
        <v>1</v>
      </c>
      <c r="N118" s="1128"/>
      <c r="O118" s="313">
        <f t="shared" si="22"/>
        <v>1</v>
      </c>
      <c r="P118" s="1128"/>
      <c r="Q118" s="313">
        <f t="shared" si="23"/>
        <v>0.2</v>
      </c>
      <c r="R118" s="1124">
        <f t="shared" si="24"/>
        <v>0</v>
      </c>
      <c r="S118" s="698">
        <f t="shared" si="15"/>
        <v>0</v>
      </c>
    </row>
    <row r="119" spans="1:19">
      <c r="A119" s="3399"/>
      <c r="B119" s="348"/>
      <c r="C119" s="313">
        <f t="shared" si="16"/>
        <v>1</v>
      </c>
      <c r="D119" s="1128"/>
      <c r="E119" s="313">
        <f t="shared" si="17"/>
        <v>0.05</v>
      </c>
      <c r="F119" s="1128"/>
      <c r="G119" s="313">
        <f t="shared" si="18"/>
        <v>0.1</v>
      </c>
      <c r="H119" s="1128"/>
      <c r="I119" s="313">
        <f t="shared" si="19"/>
        <v>1</v>
      </c>
      <c r="J119" s="1128"/>
      <c r="K119" s="313">
        <f t="shared" si="20"/>
        <v>1</v>
      </c>
      <c r="L119" s="1128"/>
      <c r="M119" s="313">
        <f t="shared" si="21"/>
        <v>1</v>
      </c>
      <c r="N119" s="1128"/>
      <c r="O119" s="313">
        <f t="shared" si="22"/>
        <v>1</v>
      </c>
      <c r="P119" s="1128"/>
      <c r="Q119" s="313">
        <f t="shared" si="23"/>
        <v>0.2</v>
      </c>
      <c r="R119" s="1124">
        <f t="shared" si="24"/>
        <v>0</v>
      </c>
      <c r="S119" s="698">
        <f t="shared" si="15"/>
        <v>0</v>
      </c>
    </row>
    <row r="120" spans="1:19">
      <c r="A120" s="3399"/>
      <c r="B120" s="348"/>
      <c r="C120" s="313">
        <f t="shared" si="16"/>
        <v>1</v>
      </c>
      <c r="D120" s="1128"/>
      <c r="E120" s="313">
        <f t="shared" si="17"/>
        <v>0.05</v>
      </c>
      <c r="F120" s="1128"/>
      <c r="G120" s="313">
        <f t="shared" si="18"/>
        <v>0.1</v>
      </c>
      <c r="H120" s="1128"/>
      <c r="I120" s="313">
        <f t="shared" si="19"/>
        <v>1</v>
      </c>
      <c r="J120" s="1128"/>
      <c r="K120" s="313">
        <f t="shared" si="20"/>
        <v>1</v>
      </c>
      <c r="L120" s="1128"/>
      <c r="M120" s="313">
        <f t="shared" si="21"/>
        <v>1</v>
      </c>
      <c r="N120" s="1128"/>
      <c r="O120" s="313">
        <f t="shared" si="22"/>
        <v>1</v>
      </c>
      <c r="P120" s="1128"/>
      <c r="Q120" s="313">
        <f t="shared" si="23"/>
        <v>0.2</v>
      </c>
      <c r="R120" s="1124">
        <f t="shared" si="24"/>
        <v>0</v>
      </c>
      <c r="S120" s="698">
        <f t="shared" si="15"/>
        <v>0</v>
      </c>
    </row>
    <row r="121" spans="1:19">
      <c r="A121" s="3399"/>
      <c r="B121" s="348"/>
      <c r="C121" s="313">
        <f t="shared" si="16"/>
        <v>1</v>
      </c>
      <c r="D121" s="1128"/>
      <c r="E121" s="313">
        <f t="shared" si="17"/>
        <v>0.05</v>
      </c>
      <c r="F121" s="1128"/>
      <c r="G121" s="313">
        <f t="shared" si="18"/>
        <v>0.1</v>
      </c>
      <c r="H121" s="1128"/>
      <c r="I121" s="313">
        <f t="shared" si="19"/>
        <v>1</v>
      </c>
      <c r="J121" s="1128"/>
      <c r="K121" s="313">
        <f t="shared" si="20"/>
        <v>1</v>
      </c>
      <c r="L121" s="1128"/>
      <c r="M121" s="313">
        <f t="shared" si="21"/>
        <v>1</v>
      </c>
      <c r="N121" s="1128"/>
      <c r="O121" s="313">
        <f t="shared" si="22"/>
        <v>1</v>
      </c>
      <c r="P121" s="1128"/>
      <c r="Q121" s="313">
        <f t="shared" si="23"/>
        <v>0.2</v>
      </c>
      <c r="R121" s="1124">
        <f t="shared" si="24"/>
        <v>0</v>
      </c>
      <c r="S121" s="698">
        <f t="shared" si="15"/>
        <v>0</v>
      </c>
    </row>
    <row r="122" spans="1:19">
      <c r="A122" s="3399"/>
      <c r="B122" s="348"/>
      <c r="C122" s="313">
        <f t="shared" si="16"/>
        <v>1</v>
      </c>
      <c r="D122" s="1128"/>
      <c r="E122" s="313">
        <f t="shared" si="17"/>
        <v>0.05</v>
      </c>
      <c r="F122" s="1128"/>
      <c r="G122" s="313">
        <f t="shared" si="18"/>
        <v>0.1</v>
      </c>
      <c r="H122" s="1128"/>
      <c r="I122" s="313">
        <f t="shared" si="19"/>
        <v>1</v>
      </c>
      <c r="J122" s="1128"/>
      <c r="K122" s="313">
        <f t="shared" si="20"/>
        <v>1</v>
      </c>
      <c r="L122" s="1128"/>
      <c r="M122" s="313">
        <f t="shared" si="21"/>
        <v>1</v>
      </c>
      <c r="N122" s="1128"/>
      <c r="O122" s="313">
        <f t="shared" si="22"/>
        <v>1</v>
      </c>
      <c r="P122" s="1128"/>
      <c r="Q122" s="313">
        <f t="shared" si="23"/>
        <v>0.2</v>
      </c>
      <c r="R122" s="1124">
        <f t="shared" si="24"/>
        <v>0</v>
      </c>
      <c r="S122" s="698">
        <f t="shared" si="15"/>
        <v>0</v>
      </c>
    </row>
    <row r="123" spans="1:19">
      <c r="A123" s="3399"/>
      <c r="B123" s="348"/>
      <c r="C123" s="313">
        <f t="shared" si="16"/>
        <v>1</v>
      </c>
      <c r="D123" s="1128"/>
      <c r="E123" s="313">
        <f t="shared" si="17"/>
        <v>0.05</v>
      </c>
      <c r="F123" s="1128"/>
      <c r="G123" s="313">
        <f t="shared" si="18"/>
        <v>0.1</v>
      </c>
      <c r="H123" s="1128"/>
      <c r="I123" s="313">
        <f t="shared" si="19"/>
        <v>1</v>
      </c>
      <c r="J123" s="1128"/>
      <c r="K123" s="313">
        <f t="shared" si="20"/>
        <v>1</v>
      </c>
      <c r="L123" s="1128"/>
      <c r="M123" s="313">
        <f t="shared" si="21"/>
        <v>1</v>
      </c>
      <c r="N123" s="1128"/>
      <c r="O123" s="313">
        <f t="shared" si="22"/>
        <v>1</v>
      </c>
      <c r="P123" s="1128"/>
      <c r="Q123" s="313">
        <f t="shared" si="23"/>
        <v>0.2</v>
      </c>
      <c r="R123" s="1124">
        <f t="shared" si="24"/>
        <v>0</v>
      </c>
      <c r="S123" s="698">
        <f t="shared" si="15"/>
        <v>0</v>
      </c>
    </row>
    <row r="124" spans="1:19">
      <c r="A124" s="3399"/>
      <c r="B124" s="348"/>
      <c r="C124" s="313">
        <f t="shared" si="16"/>
        <v>1</v>
      </c>
      <c r="D124" s="1128"/>
      <c r="E124" s="313">
        <f t="shared" si="17"/>
        <v>0.05</v>
      </c>
      <c r="F124" s="1128"/>
      <c r="G124" s="313">
        <f t="shared" si="18"/>
        <v>0.1</v>
      </c>
      <c r="H124" s="1128"/>
      <c r="I124" s="313">
        <f t="shared" si="19"/>
        <v>1</v>
      </c>
      <c r="J124" s="1128"/>
      <c r="K124" s="313">
        <f t="shared" si="20"/>
        <v>1</v>
      </c>
      <c r="L124" s="1128"/>
      <c r="M124" s="313">
        <f t="shared" si="21"/>
        <v>1</v>
      </c>
      <c r="N124" s="1128"/>
      <c r="O124" s="313">
        <f t="shared" si="22"/>
        <v>1</v>
      </c>
      <c r="P124" s="1128"/>
      <c r="Q124" s="313">
        <f t="shared" si="23"/>
        <v>0.2</v>
      </c>
      <c r="R124" s="1124">
        <f t="shared" si="24"/>
        <v>0</v>
      </c>
      <c r="S124" s="698">
        <f t="shared" si="15"/>
        <v>0</v>
      </c>
    </row>
    <row r="125" spans="1:19">
      <c r="A125" s="3399"/>
      <c r="B125" s="348"/>
      <c r="C125" s="313">
        <f t="shared" si="16"/>
        <v>1</v>
      </c>
      <c r="D125" s="1128"/>
      <c r="E125" s="313">
        <f t="shared" si="17"/>
        <v>0.05</v>
      </c>
      <c r="F125" s="1128"/>
      <c r="G125" s="313">
        <f t="shared" si="18"/>
        <v>0.1</v>
      </c>
      <c r="H125" s="1128"/>
      <c r="I125" s="313">
        <f t="shared" si="19"/>
        <v>1</v>
      </c>
      <c r="J125" s="1128"/>
      <c r="K125" s="313">
        <f t="shared" si="20"/>
        <v>1</v>
      </c>
      <c r="L125" s="1128"/>
      <c r="M125" s="313">
        <f t="shared" si="21"/>
        <v>1</v>
      </c>
      <c r="N125" s="1128"/>
      <c r="O125" s="313">
        <f t="shared" si="22"/>
        <v>1</v>
      </c>
      <c r="P125" s="1128"/>
      <c r="Q125" s="313">
        <f t="shared" si="23"/>
        <v>0.2</v>
      </c>
      <c r="R125" s="1124">
        <f t="shared" si="24"/>
        <v>0</v>
      </c>
      <c r="S125" s="698">
        <f t="shared" si="15"/>
        <v>0</v>
      </c>
    </row>
    <row r="126" spans="1:19">
      <c r="A126" s="3399"/>
      <c r="B126" s="348"/>
      <c r="C126" s="313">
        <f t="shared" si="16"/>
        <v>1</v>
      </c>
      <c r="D126" s="1128"/>
      <c r="E126" s="313">
        <f t="shared" si="17"/>
        <v>0.05</v>
      </c>
      <c r="F126" s="1128"/>
      <c r="G126" s="313">
        <f t="shared" si="18"/>
        <v>0.1</v>
      </c>
      <c r="H126" s="1128"/>
      <c r="I126" s="313">
        <f t="shared" si="19"/>
        <v>1</v>
      </c>
      <c r="J126" s="1128"/>
      <c r="K126" s="313">
        <f t="shared" si="20"/>
        <v>1</v>
      </c>
      <c r="L126" s="1128"/>
      <c r="M126" s="313">
        <f t="shared" si="21"/>
        <v>1</v>
      </c>
      <c r="N126" s="1128"/>
      <c r="O126" s="313">
        <f t="shared" si="22"/>
        <v>1</v>
      </c>
      <c r="P126" s="1128"/>
      <c r="Q126" s="313">
        <f t="shared" si="23"/>
        <v>0.2</v>
      </c>
      <c r="R126" s="1124">
        <f t="shared" si="24"/>
        <v>0</v>
      </c>
      <c r="S126" s="698">
        <f t="shared" si="15"/>
        <v>0</v>
      </c>
    </row>
    <row r="127" spans="1:19">
      <c r="A127" s="491"/>
      <c r="B127" s="348"/>
      <c r="C127" s="313">
        <f t="shared" si="16"/>
        <v>1</v>
      </c>
      <c r="D127" s="1128"/>
      <c r="E127" s="313">
        <f t="shared" si="17"/>
        <v>0.05</v>
      </c>
      <c r="F127" s="1128"/>
      <c r="G127" s="313">
        <f t="shared" si="18"/>
        <v>0.1</v>
      </c>
      <c r="H127" s="1128"/>
      <c r="I127" s="313">
        <f t="shared" si="19"/>
        <v>1</v>
      </c>
      <c r="J127" s="1128"/>
      <c r="K127" s="313">
        <f t="shared" si="20"/>
        <v>1</v>
      </c>
      <c r="L127" s="1128"/>
      <c r="M127" s="313">
        <f t="shared" si="21"/>
        <v>1</v>
      </c>
      <c r="N127" s="1128"/>
      <c r="O127" s="313">
        <f t="shared" si="22"/>
        <v>1</v>
      </c>
      <c r="P127" s="1128"/>
      <c r="Q127" s="313">
        <f t="shared" si="23"/>
        <v>0.2</v>
      </c>
      <c r="R127" s="1124">
        <f t="shared" si="24"/>
        <v>0</v>
      </c>
      <c r="S127" s="698">
        <f t="shared" si="15"/>
        <v>0</v>
      </c>
    </row>
    <row r="128" spans="1:19">
      <c r="A128" s="491"/>
      <c r="B128" s="348"/>
      <c r="C128" s="313">
        <f t="shared" si="16"/>
        <v>1</v>
      </c>
      <c r="D128" s="1128"/>
      <c r="E128" s="313">
        <f t="shared" si="17"/>
        <v>0.05</v>
      </c>
      <c r="F128" s="1128"/>
      <c r="G128" s="313">
        <f t="shared" si="18"/>
        <v>0.1</v>
      </c>
      <c r="H128" s="1128"/>
      <c r="I128" s="313">
        <f t="shared" si="19"/>
        <v>1</v>
      </c>
      <c r="J128" s="1128"/>
      <c r="K128" s="313">
        <f t="shared" si="20"/>
        <v>1</v>
      </c>
      <c r="L128" s="1128"/>
      <c r="M128" s="313">
        <f t="shared" si="21"/>
        <v>1</v>
      </c>
      <c r="N128" s="1128"/>
      <c r="O128" s="313">
        <f t="shared" si="22"/>
        <v>1</v>
      </c>
      <c r="P128" s="1128"/>
      <c r="Q128" s="313">
        <f t="shared" si="23"/>
        <v>0.2</v>
      </c>
      <c r="R128" s="1124">
        <f t="shared" si="24"/>
        <v>0</v>
      </c>
      <c r="S128" s="698">
        <f t="shared" si="15"/>
        <v>0</v>
      </c>
    </row>
    <row r="129" spans="1:19">
      <c r="A129" s="491"/>
      <c r="B129" s="348"/>
      <c r="C129" s="313">
        <f t="shared" si="16"/>
        <v>1</v>
      </c>
      <c r="D129" s="1128"/>
      <c r="E129" s="313">
        <f t="shared" si="17"/>
        <v>0.05</v>
      </c>
      <c r="F129" s="1128"/>
      <c r="G129" s="313">
        <f t="shared" si="18"/>
        <v>0.1</v>
      </c>
      <c r="H129" s="1128"/>
      <c r="I129" s="313">
        <f t="shared" si="19"/>
        <v>1</v>
      </c>
      <c r="J129" s="1128"/>
      <c r="K129" s="313">
        <f t="shared" si="20"/>
        <v>1</v>
      </c>
      <c r="L129" s="1128"/>
      <c r="M129" s="313">
        <f t="shared" si="21"/>
        <v>1</v>
      </c>
      <c r="N129" s="1128"/>
      <c r="O129" s="313">
        <f t="shared" si="22"/>
        <v>1</v>
      </c>
      <c r="P129" s="1128"/>
      <c r="Q129" s="313">
        <f t="shared" si="23"/>
        <v>0.2</v>
      </c>
      <c r="R129" s="1124">
        <f t="shared" si="24"/>
        <v>0</v>
      </c>
      <c r="S129" s="698">
        <f t="shared" si="15"/>
        <v>0</v>
      </c>
    </row>
    <row r="130" spans="1:19">
      <c r="A130" s="491"/>
      <c r="B130" s="348"/>
      <c r="C130" s="313">
        <f t="shared" si="16"/>
        <v>1</v>
      </c>
      <c r="D130" s="1128"/>
      <c r="E130" s="313">
        <f t="shared" si="17"/>
        <v>0.05</v>
      </c>
      <c r="F130" s="1128"/>
      <c r="G130" s="313">
        <f t="shared" si="18"/>
        <v>0.1</v>
      </c>
      <c r="H130" s="1128"/>
      <c r="I130" s="313">
        <f t="shared" si="19"/>
        <v>1</v>
      </c>
      <c r="J130" s="1128"/>
      <c r="K130" s="313">
        <f t="shared" si="20"/>
        <v>1</v>
      </c>
      <c r="L130" s="1128"/>
      <c r="M130" s="313">
        <f t="shared" si="21"/>
        <v>1</v>
      </c>
      <c r="N130" s="1128"/>
      <c r="O130" s="313">
        <f t="shared" si="22"/>
        <v>1</v>
      </c>
      <c r="P130" s="1128"/>
      <c r="Q130" s="313">
        <f t="shared" si="23"/>
        <v>0.2</v>
      </c>
      <c r="R130" s="1124">
        <f t="shared" si="24"/>
        <v>0</v>
      </c>
      <c r="S130" s="698">
        <f t="shared" si="15"/>
        <v>0</v>
      </c>
    </row>
    <row r="131" spans="1:19">
      <c r="A131" s="491"/>
      <c r="B131" s="348"/>
      <c r="C131" s="313">
        <f t="shared" si="16"/>
        <v>1</v>
      </c>
      <c r="D131" s="1128"/>
      <c r="E131" s="313">
        <f t="shared" si="17"/>
        <v>0.05</v>
      </c>
      <c r="F131" s="1128"/>
      <c r="G131" s="313">
        <f t="shared" si="18"/>
        <v>0.1</v>
      </c>
      <c r="H131" s="1128"/>
      <c r="I131" s="313">
        <f t="shared" si="19"/>
        <v>1</v>
      </c>
      <c r="J131" s="1128"/>
      <c r="K131" s="313">
        <f t="shared" si="20"/>
        <v>1</v>
      </c>
      <c r="L131" s="1128"/>
      <c r="M131" s="313">
        <f t="shared" si="21"/>
        <v>1</v>
      </c>
      <c r="N131" s="1128"/>
      <c r="O131" s="313">
        <f t="shared" si="22"/>
        <v>1</v>
      </c>
      <c r="P131" s="1128"/>
      <c r="Q131" s="313">
        <f t="shared" si="23"/>
        <v>0.2</v>
      </c>
      <c r="R131" s="1124">
        <f t="shared" si="24"/>
        <v>0</v>
      </c>
      <c r="S131" s="698">
        <f t="shared" si="15"/>
        <v>0</v>
      </c>
    </row>
    <row r="132" spans="1:19">
      <c r="A132" s="491"/>
      <c r="B132" s="348"/>
      <c r="C132" s="313">
        <f t="shared" si="16"/>
        <v>1</v>
      </c>
      <c r="D132" s="1128"/>
      <c r="E132" s="313">
        <f t="shared" si="17"/>
        <v>0.05</v>
      </c>
      <c r="F132" s="1128"/>
      <c r="G132" s="313">
        <f t="shared" si="18"/>
        <v>0.1</v>
      </c>
      <c r="H132" s="1128"/>
      <c r="I132" s="313">
        <f t="shared" si="19"/>
        <v>1</v>
      </c>
      <c r="J132" s="1128"/>
      <c r="K132" s="313">
        <f t="shared" si="20"/>
        <v>1</v>
      </c>
      <c r="L132" s="1128"/>
      <c r="M132" s="313">
        <f t="shared" si="21"/>
        <v>1</v>
      </c>
      <c r="N132" s="1128"/>
      <c r="O132" s="313">
        <f t="shared" si="22"/>
        <v>1</v>
      </c>
      <c r="P132" s="1128"/>
      <c r="Q132" s="313">
        <f t="shared" si="23"/>
        <v>0.2</v>
      </c>
      <c r="R132" s="1124">
        <f t="shared" si="24"/>
        <v>0</v>
      </c>
      <c r="S132" s="698">
        <f t="shared" si="15"/>
        <v>0</v>
      </c>
    </row>
    <row r="133" spans="1:19">
      <c r="A133" s="491"/>
      <c r="B133" s="348"/>
      <c r="C133" s="313">
        <f t="shared" si="16"/>
        <v>1</v>
      </c>
      <c r="D133" s="1128"/>
      <c r="E133" s="313">
        <f t="shared" si="17"/>
        <v>0.05</v>
      </c>
      <c r="F133" s="1128"/>
      <c r="G133" s="313">
        <f t="shared" si="18"/>
        <v>0.1</v>
      </c>
      <c r="H133" s="1128"/>
      <c r="I133" s="313">
        <f t="shared" si="19"/>
        <v>1</v>
      </c>
      <c r="J133" s="1128"/>
      <c r="K133" s="313">
        <f t="shared" si="20"/>
        <v>1</v>
      </c>
      <c r="L133" s="1128"/>
      <c r="M133" s="313">
        <f t="shared" si="21"/>
        <v>1</v>
      </c>
      <c r="N133" s="1128"/>
      <c r="O133" s="313">
        <f t="shared" si="22"/>
        <v>1</v>
      </c>
      <c r="P133" s="1128"/>
      <c r="Q133" s="313">
        <f t="shared" si="23"/>
        <v>0.2</v>
      </c>
      <c r="R133" s="1124">
        <f t="shared" si="24"/>
        <v>0</v>
      </c>
      <c r="S133" s="698">
        <f t="shared" si="15"/>
        <v>0</v>
      </c>
    </row>
    <row r="134" spans="1:19">
      <c r="A134" s="491"/>
      <c r="B134" s="348"/>
      <c r="C134" s="313">
        <f t="shared" si="16"/>
        <v>1</v>
      </c>
      <c r="D134" s="1128"/>
      <c r="E134" s="313">
        <f t="shared" si="17"/>
        <v>0.05</v>
      </c>
      <c r="F134" s="1128"/>
      <c r="G134" s="313">
        <f t="shared" si="18"/>
        <v>0.1</v>
      </c>
      <c r="H134" s="1128"/>
      <c r="I134" s="313">
        <f t="shared" si="19"/>
        <v>1</v>
      </c>
      <c r="J134" s="1128"/>
      <c r="K134" s="313">
        <f t="shared" si="20"/>
        <v>1</v>
      </c>
      <c r="L134" s="1128"/>
      <c r="M134" s="313">
        <f t="shared" si="21"/>
        <v>1</v>
      </c>
      <c r="N134" s="1128"/>
      <c r="O134" s="313">
        <f t="shared" si="22"/>
        <v>1</v>
      </c>
      <c r="P134" s="1128"/>
      <c r="Q134" s="313">
        <f t="shared" si="23"/>
        <v>0.2</v>
      </c>
      <c r="R134" s="1124">
        <f t="shared" si="24"/>
        <v>0</v>
      </c>
      <c r="S134" s="698">
        <f t="shared" si="15"/>
        <v>0</v>
      </c>
    </row>
    <row r="135" spans="1:19">
      <c r="A135" s="491"/>
      <c r="B135" s="348"/>
      <c r="C135" s="313">
        <f t="shared" si="16"/>
        <v>1</v>
      </c>
      <c r="D135" s="1128"/>
      <c r="E135" s="313">
        <f t="shared" si="17"/>
        <v>0.05</v>
      </c>
      <c r="F135" s="1128"/>
      <c r="G135" s="313">
        <f t="shared" si="18"/>
        <v>0.1</v>
      </c>
      <c r="H135" s="1128"/>
      <c r="I135" s="313">
        <f t="shared" si="19"/>
        <v>1</v>
      </c>
      <c r="J135" s="1128"/>
      <c r="K135" s="313">
        <f t="shared" si="20"/>
        <v>1</v>
      </c>
      <c r="L135" s="1128"/>
      <c r="M135" s="313">
        <f t="shared" si="21"/>
        <v>1</v>
      </c>
      <c r="N135" s="1128"/>
      <c r="O135" s="313">
        <f t="shared" si="22"/>
        <v>1</v>
      </c>
      <c r="P135" s="1128"/>
      <c r="Q135" s="313">
        <f t="shared" si="23"/>
        <v>0.2</v>
      </c>
      <c r="R135" s="1124">
        <f t="shared" si="24"/>
        <v>0</v>
      </c>
      <c r="S135" s="698">
        <f t="shared" si="15"/>
        <v>0</v>
      </c>
    </row>
    <row r="136" spans="1:19">
      <c r="A136" s="491"/>
      <c r="B136" s="348"/>
      <c r="C136" s="313">
        <f t="shared" si="16"/>
        <v>1</v>
      </c>
      <c r="D136" s="1128"/>
      <c r="E136" s="313">
        <f t="shared" si="17"/>
        <v>0.05</v>
      </c>
      <c r="F136" s="1128"/>
      <c r="G136" s="313">
        <f t="shared" si="18"/>
        <v>0.1</v>
      </c>
      <c r="H136" s="1128"/>
      <c r="I136" s="313">
        <f t="shared" si="19"/>
        <v>1</v>
      </c>
      <c r="J136" s="1128"/>
      <c r="K136" s="313">
        <f t="shared" si="20"/>
        <v>1</v>
      </c>
      <c r="L136" s="1128"/>
      <c r="M136" s="313">
        <f t="shared" si="21"/>
        <v>1</v>
      </c>
      <c r="N136" s="1128"/>
      <c r="O136" s="313">
        <f t="shared" si="22"/>
        <v>1</v>
      </c>
      <c r="P136" s="1128"/>
      <c r="Q136" s="313">
        <f t="shared" si="23"/>
        <v>0.2</v>
      </c>
      <c r="R136" s="1124">
        <f t="shared" si="24"/>
        <v>0</v>
      </c>
      <c r="S136" s="698">
        <f t="shared" si="15"/>
        <v>0</v>
      </c>
    </row>
    <row r="137" spans="1:19">
      <c r="A137" s="491"/>
      <c r="B137" s="348"/>
      <c r="C137" s="313">
        <f t="shared" si="16"/>
        <v>1</v>
      </c>
      <c r="D137" s="1128"/>
      <c r="E137" s="313">
        <f t="shared" si="17"/>
        <v>0.05</v>
      </c>
      <c r="F137" s="1128"/>
      <c r="G137" s="313">
        <f t="shared" si="18"/>
        <v>0.1</v>
      </c>
      <c r="H137" s="1128"/>
      <c r="I137" s="313">
        <f t="shared" si="19"/>
        <v>1</v>
      </c>
      <c r="J137" s="1128"/>
      <c r="K137" s="313">
        <f t="shared" si="20"/>
        <v>1</v>
      </c>
      <c r="L137" s="1128"/>
      <c r="M137" s="313">
        <f t="shared" si="21"/>
        <v>1</v>
      </c>
      <c r="N137" s="1128"/>
      <c r="O137" s="313">
        <f t="shared" si="22"/>
        <v>1</v>
      </c>
      <c r="P137" s="1128"/>
      <c r="Q137" s="313">
        <f t="shared" si="23"/>
        <v>0.2</v>
      </c>
      <c r="R137" s="1124">
        <f t="shared" si="24"/>
        <v>0</v>
      </c>
      <c r="S137" s="698">
        <f t="shared" si="15"/>
        <v>0</v>
      </c>
    </row>
    <row r="138" spans="1:19">
      <c r="A138" s="491"/>
      <c r="B138" s="348"/>
      <c r="C138" s="313">
        <f t="shared" si="16"/>
        <v>1</v>
      </c>
      <c r="D138" s="1128"/>
      <c r="E138" s="313">
        <f t="shared" si="17"/>
        <v>0.05</v>
      </c>
      <c r="F138" s="1128"/>
      <c r="G138" s="313">
        <f t="shared" si="18"/>
        <v>0.1</v>
      </c>
      <c r="H138" s="1128"/>
      <c r="I138" s="313">
        <f t="shared" si="19"/>
        <v>1</v>
      </c>
      <c r="J138" s="1128"/>
      <c r="K138" s="313">
        <f t="shared" si="20"/>
        <v>1</v>
      </c>
      <c r="L138" s="1128"/>
      <c r="M138" s="313">
        <f t="shared" si="21"/>
        <v>1</v>
      </c>
      <c r="N138" s="1128"/>
      <c r="O138" s="313">
        <f t="shared" si="22"/>
        <v>1</v>
      </c>
      <c r="P138" s="1128"/>
      <c r="Q138" s="313">
        <f t="shared" si="23"/>
        <v>0.2</v>
      </c>
      <c r="R138" s="1124">
        <f t="shared" si="24"/>
        <v>0</v>
      </c>
      <c r="S138" s="698">
        <f t="shared" si="15"/>
        <v>0</v>
      </c>
    </row>
    <row r="139" spans="1:19">
      <c r="A139" s="491"/>
      <c r="B139" s="348"/>
      <c r="C139" s="313">
        <f t="shared" si="16"/>
        <v>1</v>
      </c>
      <c r="D139" s="1128"/>
      <c r="E139" s="313">
        <f t="shared" si="17"/>
        <v>0.05</v>
      </c>
      <c r="F139" s="1128"/>
      <c r="G139" s="313">
        <f t="shared" si="18"/>
        <v>0.1</v>
      </c>
      <c r="H139" s="1128"/>
      <c r="I139" s="313">
        <f t="shared" si="19"/>
        <v>1</v>
      </c>
      <c r="J139" s="1128"/>
      <c r="K139" s="313">
        <f t="shared" si="20"/>
        <v>1</v>
      </c>
      <c r="L139" s="1128"/>
      <c r="M139" s="313">
        <f t="shared" si="21"/>
        <v>1</v>
      </c>
      <c r="N139" s="1128"/>
      <c r="O139" s="313">
        <f t="shared" si="22"/>
        <v>1</v>
      </c>
      <c r="P139" s="1128"/>
      <c r="Q139" s="313">
        <f t="shared" si="23"/>
        <v>0.2</v>
      </c>
      <c r="R139" s="1124">
        <f t="shared" si="24"/>
        <v>0</v>
      </c>
      <c r="S139" s="698">
        <f t="shared" si="15"/>
        <v>0</v>
      </c>
    </row>
    <row r="140" spans="1:19">
      <c r="A140" s="491"/>
      <c r="B140" s="348"/>
      <c r="C140" s="313">
        <f t="shared" si="16"/>
        <v>1</v>
      </c>
      <c r="D140" s="1128"/>
      <c r="E140" s="313">
        <f t="shared" si="17"/>
        <v>0.05</v>
      </c>
      <c r="F140" s="1128"/>
      <c r="G140" s="313">
        <f t="shared" si="18"/>
        <v>0.1</v>
      </c>
      <c r="H140" s="1128"/>
      <c r="I140" s="313">
        <f t="shared" si="19"/>
        <v>1</v>
      </c>
      <c r="J140" s="1128"/>
      <c r="K140" s="313">
        <f t="shared" si="20"/>
        <v>1</v>
      </c>
      <c r="L140" s="1128"/>
      <c r="M140" s="313">
        <f t="shared" si="21"/>
        <v>1</v>
      </c>
      <c r="N140" s="1128"/>
      <c r="O140" s="313">
        <f t="shared" si="22"/>
        <v>1</v>
      </c>
      <c r="P140" s="1128"/>
      <c r="Q140" s="313">
        <f t="shared" si="23"/>
        <v>0.2</v>
      </c>
      <c r="R140" s="1124">
        <f t="shared" si="24"/>
        <v>0</v>
      </c>
      <c r="S140" s="698">
        <f t="shared" si="15"/>
        <v>0</v>
      </c>
    </row>
    <row r="141" spans="1:19">
      <c r="A141" s="491"/>
      <c r="B141" s="348"/>
      <c r="C141" s="313">
        <f t="shared" si="16"/>
        <v>1</v>
      </c>
      <c r="D141" s="1128"/>
      <c r="E141" s="313">
        <f t="shared" si="17"/>
        <v>0.05</v>
      </c>
      <c r="F141" s="1128"/>
      <c r="G141" s="313">
        <f t="shared" si="18"/>
        <v>0.1</v>
      </c>
      <c r="H141" s="1128"/>
      <c r="I141" s="313">
        <f t="shared" si="19"/>
        <v>1</v>
      </c>
      <c r="J141" s="1128"/>
      <c r="K141" s="313">
        <f t="shared" si="20"/>
        <v>1</v>
      </c>
      <c r="L141" s="1128"/>
      <c r="M141" s="313">
        <f t="shared" si="21"/>
        <v>1</v>
      </c>
      <c r="N141" s="1128"/>
      <c r="O141" s="313">
        <f t="shared" si="22"/>
        <v>1</v>
      </c>
      <c r="P141" s="1128"/>
      <c r="Q141" s="313">
        <f t="shared" si="23"/>
        <v>0.2</v>
      </c>
      <c r="R141" s="1124">
        <f t="shared" si="24"/>
        <v>0</v>
      </c>
      <c r="S141" s="698">
        <f t="shared" si="15"/>
        <v>0</v>
      </c>
    </row>
    <row r="142" spans="1:19">
      <c r="A142" s="491"/>
      <c r="B142" s="348"/>
      <c r="C142" s="313">
        <f t="shared" si="16"/>
        <v>1</v>
      </c>
      <c r="D142" s="1128"/>
      <c r="E142" s="313">
        <f t="shared" si="17"/>
        <v>0.05</v>
      </c>
      <c r="F142" s="1128"/>
      <c r="G142" s="313">
        <f t="shared" si="18"/>
        <v>0.1</v>
      </c>
      <c r="H142" s="1128"/>
      <c r="I142" s="313">
        <f t="shared" si="19"/>
        <v>1</v>
      </c>
      <c r="J142" s="1128"/>
      <c r="K142" s="313">
        <f t="shared" si="20"/>
        <v>1</v>
      </c>
      <c r="L142" s="1128"/>
      <c r="M142" s="313">
        <f t="shared" si="21"/>
        <v>1</v>
      </c>
      <c r="N142" s="1128"/>
      <c r="O142" s="313">
        <f t="shared" si="22"/>
        <v>1</v>
      </c>
      <c r="P142" s="1128"/>
      <c r="Q142" s="313">
        <f t="shared" si="23"/>
        <v>0.2</v>
      </c>
      <c r="R142" s="1124">
        <f t="shared" si="24"/>
        <v>0</v>
      </c>
      <c r="S142" s="698">
        <f t="shared" si="15"/>
        <v>0</v>
      </c>
    </row>
    <row r="143" spans="1:19">
      <c r="A143" s="491"/>
      <c r="B143" s="348"/>
      <c r="C143" s="313">
        <f t="shared" si="16"/>
        <v>1</v>
      </c>
      <c r="D143" s="1128"/>
      <c r="E143" s="313">
        <f t="shared" si="17"/>
        <v>0.05</v>
      </c>
      <c r="F143" s="1128"/>
      <c r="G143" s="313">
        <f t="shared" si="18"/>
        <v>0.1</v>
      </c>
      <c r="H143" s="1128"/>
      <c r="I143" s="313">
        <f t="shared" si="19"/>
        <v>1</v>
      </c>
      <c r="J143" s="1128"/>
      <c r="K143" s="313">
        <f t="shared" si="20"/>
        <v>1</v>
      </c>
      <c r="L143" s="1128"/>
      <c r="M143" s="313">
        <f t="shared" si="21"/>
        <v>1</v>
      </c>
      <c r="N143" s="1128"/>
      <c r="O143" s="313">
        <f t="shared" si="22"/>
        <v>1</v>
      </c>
      <c r="P143" s="1128"/>
      <c r="Q143" s="313">
        <f t="shared" si="23"/>
        <v>0.2</v>
      </c>
      <c r="R143" s="1124">
        <f t="shared" si="24"/>
        <v>0</v>
      </c>
      <c r="S143" s="698">
        <f t="shared" si="15"/>
        <v>0</v>
      </c>
    </row>
    <row r="144" spans="1:19">
      <c r="A144" s="491"/>
      <c r="B144" s="348"/>
      <c r="C144" s="313">
        <f t="shared" si="16"/>
        <v>1</v>
      </c>
      <c r="D144" s="1128"/>
      <c r="E144" s="313">
        <f t="shared" si="17"/>
        <v>0.05</v>
      </c>
      <c r="F144" s="1128"/>
      <c r="G144" s="313">
        <f t="shared" si="18"/>
        <v>0.1</v>
      </c>
      <c r="H144" s="1128"/>
      <c r="I144" s="313">
        <f t="shared" si="19"/>
        <v>1</v>
      </c>
      <c r="J144" s="1128"/>
      <c r="K144" s="313">
        <f t="shared" si="20"/>
        <v>1</v>
      </c>
      <c r="L144" s="1128"/>
      <c r="M144" s="313">
        <f t="shared" si="21"/>
        <v>1</v>
      </c>
      <c r="N144" s="1128"/>
      <c r="O144" s="313">
        <f t="shared" si="22"/>
        <v>1</v>
      </c>
      <c r="P144" s="1128"/>
      <c r="Q144" s="313">
        <f t="shared" si="23"/>
        <v>0.2</v>
      </c>
      <c r="R144" s="1124">
        <f t="shared" si="24"/>
        <v>0</v>
      </c>
      <c r="S144" s="698">
        <f t="shared" si="15"/>
        <v>0</v>
      </c>
    </row>
    <row r="145" spans="1:19">
      <c r="A145" s="491"/>
      <c r="B145" s="348"/>
      <c r="C145" s="313">
        <f t="shared" si="16"/>
        <v>1</v>
      </c>
      <c r="D145" s="1128"/>
      <c r="E145" s="313">
        <f t="shared" si="17"/>
        <v>0.05</v>
      </c>
      <c r="F145" s="1128"/>
      <c r="G145" s="313">
        <f t="shared" si="18"/>
        <v>0.1</v>
      </c>
      <c r="H145" s="1128"/>
      <c r="I145" s="313">
        <f t="shared" si="19"/>
        <v>1</v>
      </c>
      <c r="J145" s="1128"/>
      <c r="K145" s="313">
        <f t="shared" si="20"/>
        <v>1</v>
      </c>
      <c r="L145" s="1128"/>
      <c r="M145" s="313">
        <f t="shared" si="21"/>
        <v>1</v>
      </c>
      <c r="N145" s="1128"/>
      <c r="O145" s="313">
        <f t="shared" si="22"/>
        <v>1</v>
      </c>
      <c r="P145" s="1128"/>
      <c r="Q145" s="313">
        <f t="shared" si="23"/>
        <v>0.2</v>
      </c>
      <c r="R145" s="1124">
        <f t="shared" si="24"/>
        <v>0</v>
      </c>
      <c r="S145" s="698">
        <f t="shared" si="15"/>
        <v>0</v>
      </c>
    </row>
    <row r="146" spans="1:19">
      <c r="A146" s="491"/>
      <c r="B146" s="348"/>
      <c r="C146" s="313">
        <f t="shared" si="16"/>
        <v>1</v>
      </c>
      <c r="D146" s="1128"/>
      <c r="E146" s="313">
        <f t="shared" si="17"/>
        <v>0.05</v>
      </c>
      <c r="F146" s="1128"/>
      <c r="G146" s="313">
        <f t="shared" si="18"/>
        <v>0.1</v>
      </c>
      <c r="H146" s="1128"/>
      <c r="I146" s="313">
        <f t="shared" si="19"/>
        <v>1</v>
      </c>
      <c r="J146" s="1128"/>
      <c r="K146" s="313">
        <f t="shared" si="20"/>
        <v>1</v>
      </c>
      <c r="L146" s="1128"/>
      <c r="M146" s="313">
        <f t="shared" si="21"/>
        <v>1</v>
      </c>
      <c r="N146" s="1128"/>
      <c r="O146" s="313">
        <f t="shared" si="22"/>
        <v>1</v>
      </c>
      <c r="P146" s="1128"/>
      <c r="Q146" s="313">
        <f t="shared" si="23"/>
        <v>0.2</v>
      </c>
      <c r="R146" s="1124">
        <f t="shared" si="24"/>
        <v>0</v>
      </c>
      <c r="S146" s="698">
        <f t="shared" si="15"/>
        <v>0</v>
      </c>
    </row>
    <row r="147" spans="1:19">
      <c r="A147" s="491"/>
      <c r="B147" s="348"/>
      <c r="C147" s="313">
        <f t="shared" si="16"/>
        <v>1</v>
      </c>
      <c r="D147" s="1128"/>
      <c r="E147" s="313">
        <f t="shared" si="17"/>
        <v>0.05</v>
      </c>
      <c r="F147" s="1128"/>
      <c r="G147" s="313">
        <f t="shared" si="18"/>
        <v>0.1</v>
      </c>
      <c r="H147" s="1128"/>
      <c r="I147" s="313">
        <f t="shared" si="19"/>
        <v>1</v>
      </c>
      <c r="J147" s="1128"/>
      <c r="K147" s="313">
        <f t="shared" si="20"/>
        <v>1</v>
      </c>
      <c r="L147" s="1128"/>
      <c r="M147" s="313">
        <f t="shared" si="21"/>
        <v>1</v>
      </c>
      <c r="N147" s="1128"/>
      <c r="O147" s="313">
        <f t="shared" si="22"/>
        <v>1</v>
      </c>
      <c r="P147" s="1128"/>
      <c r="Q147" s="313">
        <f t="shared" si="23"/>
        <v>0.2</v>
      </c>
      <c r="R147" s="1124">
        <f t="shared" si="24"/>
        <v>0</v>
      </c>
      <c r="S147" s="698">
        <f t="shared" si="15"/>
        <v>0</v>
      </c>
    </row>
    <row r="148" spans="1:19">
      <c r="A148" s="491"/>
      <c r="B148" s="348"/>
      <c r="C148" s="313">
        <f t="shared" si="16"/>
        <v>1</v>
      </c>
      <c r="D148" s="1128"/>
      <c r="E148" s="313">
        <f t="shared" si="17"/>
        <v>0.05</v>
      </c>
      <c r="F148" s="1128"/>
      <c r="G148" s="313">
        <f t="shared" si="18"/>
        <v>0.1</v>
      </c>
      <c r="H148" s="1128"/>
      <c r="I148" s="313">
        <f t="shared" si="19"/>
        <v>1</v>
      </c>
      <c r="J148" s="1128"/>
      <c r="K148" s="313">
        <f t="shared" si="20"/>
        <v>1</v>
      </c>
      <c r="L148" s="1128"/>
      <c r="M148" s="313">
        <f t="shared" si="21"/>
        <v>1</v>
      </c>
      <c r="N148" s="1128"/>
      <c r="O148" s="313">
        <f t="shared" si="22"/>
        <v>1</v>
      </c>
      <c r="P148" s="1128"/>
      <c r="Q148" s="313">
        <f t="shared" si="23"/>
        <v>0.2</v>
      </c>
      <c r="R148" s="1124">
        <f t="shared" si="24"/>
        <v>0</v>
      </c>
      <c r="S148" s="698">
        <f t="shared" si="15"/>
        <v>0</v>
      </c>
    </row>
    <row r="149" spans="1:19">
      <c r="A149" s="491"/>
      <c r="B149" s="348"/>
      <c r="C149" s="313">
        <f t="shared" si="16"/>
        <v>1</v>
      </c>
      <c r="D149" s="1128"/>
      <c r="E149" s="313">
        <f t="shared" si="17"/>
        <v>0.05</v>
      </c>
      <c r="F149" s="1128"/>
      <c r="G149" s="313">
        <f t="shared" si="18"/>
        <v>0.1</v>
      </c>
      <c r="H149" s="1128"/>
      <c r="I149" s="313">
        <f t="shared" si="19"/>
        <v>1</v>
      </c>
      <c r="J149" s="1128"/>
      <c r="K149" s="313">
        <f t="shared" si="20"/>
        <v>1</v>
      </c>
      <c r="L149" s="1128"/>
      <c r="M149" s="313">
        <f t="shared" si="21"/>
        <v>1</v>
      </c>
      <c r="N149" s="1128"/>
      <c r="O149" s="313">
        <f t="shared" si="22"/>
        <v>1</v>
      </c>
      <c r="P149" s="1128"/>
      <c r="Q149" s="313">
        <f t="shared" si="23"/>
        <v>0.2</v>
      </c>
      <c r="R149" s="1124">
        <f t="shared" si="24"/>
        <v>0</v>
      </c>
      <c r="S149" s="698">
        <f t="shared" si="15"/>
        <v>0</v>
      </c>
    </row>
    <row r="150" spans="1:19">
      <c r="A150" s="491"/>
      <c r="B150" s="348"/>
      <c r="C150" s="313">
        <f t="shared" si="16"/>
        <v>1</v>
      </c>
      <c r="D150" s="1128"/>
      <c r="E150" s="313">
        <f t="shared" si="17"/>
        <v>0.05</v>
      </c>
      <c r="F150" s="1128"/>
      <c r="G150" s="313">
        <f t="shared" si="18"/>
        <v>0.1</v>
      </c>
      <c r="H150" s="1128"/>
      <c r="I150" s="313">
        <f t="shared" si="19"/>
        <v>1</v>
      </c>
      <c r="J150" s="1128"/>
      <c r="K150" s="313">
        <f t="shared" si="20"/>
        <v>1</v>
      </c>
      <c r="L150" s="1128"/>
      <c r="M150" s="313">
        <f t="shared" si="21"/>
        <v>1</v>
      </c>
      <c r="N150" s="1128"/>
      <c r="O150" s="313">
        <f t="shared" si="22"/>
        <v>1</v>
      </c>
      <c r="P150" s="1128"/>
      <c r="Q150" s="313">
        <f t="shared" si="23"/>
        <v>0.2</v>
      </c>
      <c r="R150" s="1124">
        <f t="shared" si="24"/>
        <v>0</v>
      </c>
      <c r="S150" s="698">
        <f t="shared" si="15"/>
        <v>0</v>
      </c>
    </row>
    <row r="151" spans="1:19">
      <c r="A151" s="491"/>
      <c r="B151" s="348"/>
      <c r="C151" s="313">
        <f t="shared" si="16"/>
        <v>1</v>
      </c>
      <c r="D151" s="1128"/>
      <c r="E151" s="313">
        <f t="shared" si="17"/>
        <v>0.05</v>
      </c>
      <c r="F151" s="1128"/>
      <c r="G151" s="313">
        <f t="shared" si="18"/>
        <v>0.1</v>
      </c>
      <c r="H151" s="1128"/>
      <c r="I151" s="313">
        <f t="shared" si="19"/>
        <v>1</v>
      </c>
      <c r="J151" s="1128"/>
      <c r="K151" s="313">
        <f t="shared" si="20"/>
        <v>1</v>
      </c>
      <c r="L151" s="1128"/>
      <c r="M151" s="313">
        <f t="shared" si="21"/>
        <v>1</v>
      </c>
      <c r="N151" s="1128"/>
      <c r="O151" s="313">
        <f t="shared" si="22"/>
        <v>1</v>
      </c>
      <c r="P151" s="1128"/>
      <c r="Q151" s="313">
        <f t="shared" si="23"/>
        <v>0.2</v>
      </c>
      <c r="R151" s="1124">
        <f t="shared" si="24"/>
        <v>0</v>
      </c>
      <c r="S151" s="698">
        <f t="shared" si="15"/>
        <v>0</v>
      </c>
    </row>
    <row r="152" spans="1:19">
      <c r="A152" s="491"/>
      <c r="B152" s="348"/>
      <c r="C152" s="313">
        <f t="shared" si="16"/>
        <v>1</v>
      </c>
      <c r="D152" s="1128"/>
      <c r="E152" s="313">
        <f t="shared" si="17"/>
        <v>0.05</v>
      </c>
      <c r="F152" s="1128"/>
      <c r="G152" s="313">
        <f t="shared" si="18"/>
        <v>0.1</v>
      </c>
      <c r="H152" s="1128"/>
      <c r="I152" s="313">
        <f t="shared" si="19"/>
        <v>1</v>
      </c>
      <c r="J152" s="1128"/>
      <c r="K152" s="313">
        <f t="shared" si="20"/>
        <v>1</v>
      </c>
      <c r="L152" s="1128"/>
      <c r="M152" s="313">
        <f t="shared" si="21"/>
        <v>1</v>
      </c>
      <c r="N152" s="1128"/>
      <c r="O152" s="313">
        <f t="shared" si="22"/>
        <v>1</v>
      </c>
      <c r="P152" s="1128"/>
      <c r="Q152" s="313">
        <f t="shared" si="23"/>
        <v>0.2</v>
      </c>
      <c r="R152" s="1124">
        <f t="shared" si="24"/>
        <v>0</v>
      </c>
      <c r="S152" s="698">
        <f t="shared" ref="S152:S215" si="25">ROUND(R152*B152/10000,0)</f>
        <v>0</v>
      </c>
    </row>
    <row r="153" spans="1:19">
      <c r="A153" s="491"/>
      <c r="B153" s="348"/>
      <c r="C153" s="313">
        <f t="shared" si="16"/>
        <v>1</v>
      </c>
      <c r="D153" s="1128"/>
      <c r="E153" s="313">
        <f t="shared" si="17"/>
        <v>0.05</v>
      </c>
      <c r="F153" s="1128"/>
      <c r="G153" s="313">
        <f t="shared" si="18"/>
        <v>0.1</v>
      </c>
      <c r="H153" s="1128"/>
      <c r="I153" s="313">
        <f t="shared" si="19"/>
        <v>1</v>
      </c>
      <c r="J153" s="1128"/>
      <c r="K153" s="313">
        <f t="shared" si="20"/>
        <v>1</v>
      </c>
      <c r="L153" s="1128"/>
      <c r="M153" s="313">
        <f t="shared" si="21"/>
        <v>1</v>
      </c>
      <c r="N153" s="1128"/>
      <c r="O153" s="313">
        <f t="shared" si="22"/>
        <v>1</v>
      </c>
      <c r="P153" s="1128"/>
      <c r="Q153" s="313">
        <f t="shared" si="23"/>
        <v>0.2</v>
      </c>
      <c r="R153" s="1124">
        <f t="shared" si="24"/>
        <v>0</v>
      </c>
      <c r="S153" s="698">
        <f t="shared" si="25"/>
        <v>0</v>
      </c>
    </row>
    <row r="154" spans="1:19">
      <c r="A154" s="491"/>
      <c r="B154" s="348"/>
      <c r="C154" s="313">
        <f t="shared" ref="C154:C217" si="26">IF(B154="",1,(LOOKUP(B154,$3:$3,$4:$4)-LOOKUP($B$24,$3:$3,$4:$4)+100)/100)</f>
        <v>1</v>
      </c>
      <c r="D154" s="1128"/>
      <c r="E154" s="313">
        <f t="shared" ref="E154:E217" si="27">(SUMIF($5:$5,D154,$6:$6)-SUMIF($5:$5,$D$24,$6:$6)+100)/100</f>
        <v>0.05</v>
      </c>
      <c r="F154" s="1128"/>
      <c r="G154" s="313">
        <f t="shared" ref="G154:G217" si="28">(SUMIF($7:$7,F154,$8:$8)-SUMIF($7:$7,$F$24,$8:$8)+100)/100</f>
        <v>0.1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0.2</v>
      </c>
      <c r="R154" s="1124">
        <f t="shared" ref="R154:R217" si="34">IF(B154="",0,ROUND($R$24*C154*E154*G154*I154*K154*M154*O154*Q154,0))</f>
        <v>0</v>
      </c>
      <c r="S154" s="698">
        <f t="shared" si="25"/>
        <v>0</v>
      </c>
    </row>
    <row r="155" spans="1:19">
      <c r="A155" s="491"/>
      <c r="B155" s="348"/>
      <c r="C155" s="313">
        <f t="shared" si="26"/>
        <v>1</v>
      </c>
      <c r="D155" s="1128"/>
      <c r="E155" s="313">
        <f t="shared" si="27"/>
        <v>0.05</v>
      </c>
      <c r="F155" s="1128"/>
      <c r="G155" s="313">
        <f t="shared" si="28"/>
        <v>0.1</v>
      </c>
      <c r="H155" s="1128"/>
      <c r="I155" s="313">
        <f t="shared" si="29"/>
        <v>1</v>
      </c>
      <c r="J155" s="1128"/>
      <c r="K155" s="313">
        <f t="shared" si="30"/>
        <v>1</v>
      </c>
      <c r="L155" s="1128"/>
      <c r="M155" s="313">
        <f t="shared" si="31"/>
        <v>1</v>
      </c>
      <c r="N155" s="1128"/>
      <c r="O155" s="313">
        <f t="shared" si="32"/>
        <v>1</v>
      </c>
      <c r="P155" s="1128"/>
      <c r="Q155" s="313">
        <f t="shared" si="33"/>
        <v>0.2</v>
      </c>
      <c r="R155" s="1124">
        <f t="shared" si="34"/>
        <v>0</v>
      </c>
      <c r="S155" s="698">
        <f t="shared" si="25"/>
        <v>0</v>
      </c>
    </row>
    <row r="156" spans="1:19">
      <c r="A156" s="491"/>
      <c r="B156" s="348"/>
      <c r="C156" s="313">
        <f t="shared" si="26"/>
        <v>1</v>
      </c>
      <c r="D156" s="1128"/>
      <c r="E156" s="313">
        <f t="shared" si="27"/>
        <v>0.05</v>
      </c>
      <c r="F156" s="1128"/>
      <c r="G156" s="313">
        <f t="shared" si="28"/>
        <v>0.1</v>
      </c>
      <c r="H156" s="1128"/>
      <c r="I156" s="313">
        <f t="shared" si="29"/>
        <v>1</v>
      </c>
      <c r="J156" s="1128"/>
      <c r="K156" s="313">
        <f t="shared" si="30"/>
        <v>1</v>
      </c>
      <c r="L156" s="1128"/>
      <c r="M156" s="313">
        <f t="shared" si="31"/>
        <v>1</v>
      </c>
      <c r="N156" s="1128"/>
      <c r="O156" s="313">
        <f t="shared" si="32"/>
        <v>1</v>
      </c>
      <c r="P156" s="1128"/>
      <c r="Q156" s="313">
        <f t="shared" si="33"/>
        <v>0.2</v>
      </c>
      <c r="R156" s="1124">
        <f t="shared" si="34"/>
        <v>0</v>
      </c>
      <c r="S156" s="698">
        <f t="shared" si="25"/>
        <v>0</v>
      </c>
    </row>
    <row r="157" spans="1:19">
      <c r="A157" s="491"/>
      <c r="B157" s="348"/>
      <c r="C157" s="313">
        <f t="shared" si="26"/>
        <v>1</v>
      </c>
      <c r="D157" s="1128"/>
      <c r="E157" s="313">
        <f t="shared" si="27"/>
        <v>0.05</v>
      </c>
      <c r="F157" s="1128"/>
      <c r="G157" s="313">
        <f t="shared" si="28"/>
        <v>0.1</v>
      </c>
      <c r="H157" s="1128"/>
      <c r="I157" s="313">
        <f t="shared" si="29"/>
        <v>1</v>
      </c>
      <c r="J157" s="1128"/>
      <c r="K157" s="313">
        <f t="shared" si="30"/>
        <v>1</v>
      </c>
      <c r="L157" s="1128"/>
      <c r="M157" s="313">
        <f t="shared" si="31"/>
        <v>1</v>
      </c>
      <c r="N157" s="1128"/>
      <c r="O157" s="313">
        <f t="shared" si="32"/>
        <v>1</v>
      </c>
      <c r="P157" s="1128"/>
      <c r="Q157" s="313">
        <f t="shared" si="33"/>
        <v>0.2</v>
      </c>
      <c r="R157" s="1124">
        <f t="shared" si="34"/>
        <v>0</v>
      </c>
      <c r="S157" s="698">
        <f t="shared" si="25"/>
        <v>0</v>
      </c>
    </row>
    <row r="158" spans="1:19">
      <c r="A158" s="491"/>
      <c r="B158" s="348"/>
      <c r="C158" s="313">
        <f t="shared" si="26"/>
        <v>1</v>
      </c>
      <c r="D158" s="1128"/>
      <c r="E158" s="313">
        <f t="shared" si="27"/>
        <v>0.05</v>
      </c>
      <c r="F158" s="1128"/>
      <c r="G158" s="313">
        <f t="shared" si="28"/>
        <v>0.1</v>
      </c>
      <c r="H158" s="1128"/>
      <c r="I158" s="313">
        <f t="shared" si="29"/>
        <v>1</v>
      </c>
      <c r="J158" s="1128"/>
      <c r="K158" s="313">
        <f t="shared" si="30"/>
        <v>1</v>
      </c>
      <c r="L158" s="1128"/>
      <c r="M158" s="313">
        <f t="shared" si="31"/>
        <v>1</v>
      </c>
      <c r="N158" s="1128"/>
      <c r="O158" s="313">
        <f t="shared" si="32"/>
        <v>1</v>
      </c>
      <c r="P158" s="1128"/>
      <c r="Q158" s="313">
        <f t="shared" si="33"/>
        <v>0.2</v>
      </c>
      <c r="R158" s="1124">
        <f t="shared" si="34"/>
        <v>0</v>
      </c>
      <c r="S158" s="698">
        <f t="shared" si="25"/>
        <v>0</v>
      </c>
    </row>
    <row r="159" spans="1:19">
      <c r="A159" s="491"/>
      <c r="B159" s="348"/>
      <c r="C159" s="313">
        <f t="shared" si="26"/>
        <v>1</v>
      </c>
      <c r="D159" s="1128"/>
      <c r="E159" s="313">
        <f t="shared" si="27"/>
        <v>0.05</v>
      </c>
      <c r="F159" s="1128"/>
      <c r="G159" s="313">
        <f t="shared" si="28"/>
        <v>0.1</v>
      </c>
      <c r="H159" s="1128"/>
      <c r="I159" s="313">
        <f t="shared" si="29"/>
        <v>1</v>
      </c>
      <c r="J159" s="1128"/>
      <c r="K159" s="313">
        <f t="shared" si="30"/>
        <v>1</v>
      </c>
      <c r="L159" s="1128"/>
      <c r="M159" s="313">
        <f t="shared" si="31"/>
        <v>1</v>
      </c>
      <c r="N159" s="1128"/>
      <c r="O159" s="313">
        <f t="shared" si="32"/>
        <v>1</v>
      </c>
      <c r="P159" s="1128"/>
      <c r="Q159" s="313">
        <f t="shared" si="33"/>
        <v>0.2</v>
      </c>
      <c r="R159" s="1124">
        <f t="shared" si="34"/>
        <v>0</v>
      </c>
      <c r="S159" s="698">
        <f t="shared" si="25"/>
        <v>0</v>
      </c>
    </row>
    <row r="160" spans="1:19">
      <c r="A160" s="491"/>
      <c r="B160" s="348"/>
      <c r="C160" s="313">
        <f t="shared" si="26"/>
        <v>1</v>
      </c>
      <c r="D160" s="1128"/>
      <c r="E160" s="313">
        <f t="shared" si="27"/>
        <v>0.05</v>
      </c>
      <c r="F160" s="1128"/>
      <c r="G160" s="313">
        <f t="shared" si="28"/>
        <v>0.1</v>
      </c>
      <c r="H160" s="1128"/>
      <c r="I160" s="313">
        <f t="shared" si="29"/>
        <v>1</v>
      </c>
      <c r="J160" s="1128"/>
      <c r="K160" s="313">
        <f t="shared" si="30"/>
        <v>1</v>
      </c>
      <c r="L160" s="1128"/>
      <c r="M160" s="313">
        <f t="shared" si="31"/>
        <v>1</v>
      </c>
      <c r="N160" s="1128"/>
      <c r="O160" s="313">
        <f t="shared" si="32"/>
        <v>1</v>
      </c>
      <c r="P160" s="1128"/>
      <c r="Q160" s="313">
        <f t="shared" si="33"/>
        <v>0.2</v>
      </c>
      <c r="R160" s="1124">
        <f t="shared" si="34"/>
        <v>0</v>
      </c>
      <c r="S160" s="698">
        <f t="shared" si="25"/>
        <v>0</v>
      </c>
    </row>
    <row r="161" spans="1:19">
      <c r="A161" s="491"/>
      <c r="B161" s="348"/>
      <c r="C161" s="313">
        <f t="shared" si="26"/>
        <v>1</v>
      </c>
      <c r="D161" s="1128"/>
      <c r="E161" s="313">
        <f t="shared" si="27"/>
        <v>0.05</v>
      </c>
      <c r="F161" s="1128"/>
      <c r="G161" s="313">
        <f t="shared" si="28"/>
        <v>0.1</v>
      </c>
      <c r="H161" s="1128"/>
      <c r="I161" s="313">
        <f t="shared" si="29"/>
        <v>1</v>
      </c>
      <c r="J161" s="1128"/>
      <c r="K161" s="313">
        <f t="shared" si="30"/>
        <v>1</v>
      </c>
      <c r="L161" s="1128"/>
      <c r="M161" s="313">
        <f t="shared" si="31"/>
        <v>1</v>
      </c>
      <c r="N161" s="1128"/>
      <c r="O161" s="313">
        <f t="shared" si="32"/>
        <v>1</v>
      </c>
      <c r="P161" s="1128"/>
      <c r="Q161" s="313">
        <f t="shared" si="33"/>
        <v>0.2</v>
      </c>
      <c r="R161" s="1124">
        <f t="shared" si="34"/>
        <v>0</v>
      </c>
      <c r="S161" s="698">
        <f t="shared" si="25"/>
        <v>0</v>
      </c>
    </row>
    <row r="162" spans="1:19">
      <c r="A162" s="491"/>
      <c r="B162" s="348"/>
      <c r="C162" s="313">
        <f t="shared" si="26"/>
        <v>1</v>
      </c>
      <c r="D162" s="1128"/>
      <c r="E162" s="313">
        <f t="shared" si="27"/>
        <v>0.05</v>
      </c>
      <c r="F162" s="1128"/>
      <c r="G162" s="313">
        <f t="shared" si="28"/>
        <v>0.1</v>
      </c>
      <c r="H162" s="1128"/>
      <c r="I162" s="313">
        <f t="shared" si="29"/>
        <v>1</v>
      </c>
      <c r="J162" s="1128"/>
      <c r="K162" s="313">
        <f t="shared" si="30"/>
        <v>1</v>
      </c>
      <c r="L162" s="1128"/>
      <c r="M162" s="313">
        <f t="shared" si="31"/>
        <v>1</v>
      </c>
      <c r="N162" s="1128"/>
      <c r="O162" s="313">
        <f t="shared" si="32"/>
        <v>1</v>
      </c>
      <c r="P162" s="1128"/>
      <c r="Q162" s="313">
        <f t="shared" si="33"/>
        <v>0.2</v>
      </c>
      <c r="R162" s="1124">
        <f t="shared" si="34"/>
        <v>0</v>
      </c>
      <c r="S162" s="698">
        <f t="shared" si="25"/>
        <v>0</v>
      </c>
    </row>
    <row r="163" spans="1:19">
      <c r="A163" s="491"/>
      <c r="B163" s="348"/>
      <c r="C163" s="313">
        <f t="shared" si="26"/>
        <v>1</v>
      </c>
      <c r="D163" s="1128"/>
      <c r="E163" s="313">
        <f t="shared" si="27"/>
        <v>0.05</v>
      </c>
      <c r="F163" s="1128"/>
      <c r="G163" s="313">
        <f t="shared" si="28"/>
        <v>0.1</v>
      </c>
      <c r="H163" s="1128"/>
      <c r="I163" s="313">
        <f t="shared" si="29"/>
        <v>1</v>
      </c>
      <c r="J163" s="1128"/>
      <c r="K163" s="313">
        <f t="shared" si="30"/>
        <v>1</v>
      </c>
      <c r="L163" s="1128"/>
      <c r="M163" s="313">
        <f t="shared" si="31"/>
        <v>1</v>
      </c>
      <c r="N163" s="1128"/>
      <c r="O163" s="313">
        <f t="shared" si="32"/>
        <v>1</v>
      </c>
      <c r="P163" s="1128"/>
      <c r="Q163" s="313">
        <f t="shared" si="33"/>
        <v>0.2</v>
      </c>
      <c r="R163" s="1124">
        <f t="shared" si="34"/>
        <v>0</v>
      </c>
      <c r="S163" s="698">
        <f t="shared" si="25"/>
        <v>0</v>
      </c>
    </row>
    <row r="164" spans="1:19">
      <c r="A164" s="491"/>
      <c r="B164" s="348"/>
      <c r="C164" s="313">
        <f t="shared" si="26"/>
        <v>1</v>
      </c>
      <c r="D164" s="1128"/>
      <c r="E164" s="313">
        <f t="shared" si="27"/>
        <v>0.05</v>
      </c>
      <c r="F164" s="1128"/>
      <c r="G164" s="313">
        <f t="shared" si="28"/>
        <v>0.1</v>
      </c>
      <c r="H164" s="1128"/>
      <c r="I164" s="313">
        <f t="shared" si="29"/>
        <v>1</v>
      </c>
      <c r="J164" s="1128"/>
      <c r="K164" s="313">
        <f t="shared" si="30"/>
        <v>1</v>
      </c>
      <c r="L164" s="1128"/>
      <c r="M164" s="313">
        <f t="shared" si="31"/>
        <v>1</v>
      </c>
      <c r="N164" s="1128"/>
      <c r="O164" s="313">
        <f t="shared" si="32"/>
        <v>1</v>
      </c>
      <c r="P164" s="1128"/>
      <c r="Q164" s="313">
        <f t="shared" si="33"/>
        <v>0.2</v>
      </c>
      <c r="R164" s="1124">
        <f t="shared" si="34"/>
        <v>0</v>
      </c>
      <c r="S164" s="698">
        <f t="shared" si="25"/>
        <v>0</v>
      </c>
    </row>
    <row r="165" spans="1:19">
      <c r="A165" s="491"/>
      <c r="B165" s="348"/>
      <c r="C165" s="313">
        <f t="shared" si="26"/>
        <v>1</v>
      </c>
      <c r="D165" s="1128"/>
      <c r="E165" s="313">
        <f t="shared" si="27"/>
        <v>0.05</v>
      </c>
      <c r="F165" s="1128"/>
      <c r="G165" s="313">
        <f t="shared" si="28"/>
        <v>0.1</v>
      </c>
      <c r="H165" s="1128"/>
      <c r="I165" s="313">
        <f t="shared" si="29"/>
        <v>1</v>
      </c>
      <c r="J165" s="1128"/>
      <c r="K165" s="313">
        <f t="shared" si="30"/>
        <v>1</v>
      </c>
      <c r="L165" s="1128"/>
      <c r="M165" s="313">
        <f t="shared" si="31"/>
        <v>1</v>
      </c>
      <c r="N165" s="1128"/>
      <c r="O165" s="313">
        <f t="shared" si="32"/>
        <v>1</v>
      </c>
      <c r="P165" s="1128"/>
      <c r="Q165" s="313">
        <f t="shared" si="33"/>
        <v>0.2</v>
      </c>
      <c r="R165" s="1124">
        <f t="shared" si="34"/>
        <v>0</v>
      </c>
      <c r="S165" s="698">
        <f t="shared" si="25"/>
        <v>0</v>
      </c>
    </row>
    <row r="166" spans="1:19">
      <c r="A166" s="491"/>
      <c r="B166" s="348"/>
      <c r="C166" s="313">
        <f t="shared" si="26"/>
        <v>1</v>
      </c>
      <c r="D166" s="1128"/>
      <c r="E166" s="313">
        <f t="shared" si="27"/>
        <v>0.05</v>
      </c>
      <c r="F166" s="1128"/>
      <c r="G166" s="313">
        <f t="shared" si="28"/>
        <v>0.1</v>
      </c>
      <c r="H166" s="1128"/>
      <c r="I166" s="313">
        <f t="shared" si="29"/>
        <v>1</v>
      </c>
      <c r="J166" s="1128"/>
      <c r="K166" s="313">
        <f t="shared" si="30"/>
        <v>1</v>
      </c>
      <c r="L166" s="1128"/>
      <c r="M166" s="313">
        <f t="shared" si="31"/>
        <v>1</v>
      </c>
      <c r="N166" s="1128"/>
      <c r="O166" s="313">
        <f t="shared" si="32"/>
        <v>1</v>
      </c>
      <c r="P166" s="1128"/>
      <c r="Q166" s="313">
        <f t="shared" si="33"/>
        <v>0.2</v>
      </c>
      <c r="R166" s="1124">
        <f t="shared" si="34"/>
        <v>0</v>
      </c>
      <c r="S166" s="698">
        <f t="shared" si="25"/>
        <v>0</v>
      </c>
    </row>
    <row r="167" spans="1:19">
      <c r="A167" s="491"/>
      <c r="B167" s="348"/>
      <c r="C167" s="313">
        <f t="shared" si="26"/>
        <v>1</v>
      </c>
      <c r="D167" s="1128"/>
      <c r="E167" s="313">
        <f t="shared" si="27"/>
        <v>0.05</v>
      </c>
      <c r="F167" s="1128"/>
      <c r="G167" s="313">
        <f t="shared" si="28"/>
        <v>0.1</v>
      </c>
      <c r="H167" s="1128"/>
      <c r="I167" s="313">
        <f t="shared" si="29"/>
        <v>1</v>
      </c>
      <c r="J167" s="1128"/>
      <c r="K167" s="313">
        <f t="shared" si="30"/>
        <v>1</v>
      </c>
      <c r="L167" s="1128"/>
      <c r="M167" s="313">
        <f t="shared" si="31"/>
        <v>1</v>
      </c>
      <c r="N167" s="1128"/>
      <c r="O167" s="313">
        <f t="shared" si="32"/>
        <v>1</v>
      </c>
      <c r="P167" s="1128"/>
      <c r="Q167" s="313">
        <f t="shared" si="33"/>
        <v>0.2</v>
      </c>
      <c r="R167" s="1124">
        <f t="shared" si="34"/>
        <v>0</v>
      </c>
      <c r="S167" s="698">
        <f t="shared" si="25"/>
        <v>0</v>
      </c>
    </row>
    <row r="168" spans="1:19">
      <c r="A168" s="491"/>
      <c r="B168" s="348"/>
      <c r="C168" s="313">
        <f t="shared" si="26"/>
        <v>1</v>
      </c>
      <c r="D168" s="1128"/>
      <c r="E168" s="313">
        <f t="shared" si="27"/>
        <v>0.05</v>
      </c>
      <c r="F168" s="1128"/>
      <c r="G168" s="313">
        <f t="shared" si="28"/>
        <v>0.1</v>
      </c>
      <c r="H168" s="1128"/>
      <c r="I168" s="313">
        <f t="shared" si="29"/>
        <v>1</v>
      </c>
      <c r="J168" s="1128"/>
      <c r="K168" s="313">
        <f t="shared" si="30"/>
        <v>1</v>
      </c>
      <c r="L168" s="1128"/>
      <c r="M168" s="313">
        <f t="shared" si="31"/>
        <v>1</v>
      </c>
      <c r="N168" s="1128"/>
      <c r="O168" s="313">
        <f t="shared" si="32"/>
        <v>1</v>
      </c>
      <c r="P168" s="1128"/>
      <c r="Q168" s="313">
        <f t="shared" si="33"/>
        <v>0.2</v>
      </c>
      <c r="R168" s="1124">
        <f t="shared" si="34"/>
        <v>0</v>
      </c>
      <c r="S168" s="698">
        <f t="shared" si="25"/>
        <v>0</v>
      </c>
    </row>
    <row r="169" spans="1:19">
      <c r="A169" s="491"/>
      <c r="B169" s="348"/>
      <c r="C169" s="313">
        <f t="shared" si="26"/>
        <v>1</v>
      </c>
      <c r="D169" s="1128"/>
      <c r="E169" s="313">
        <f t="shared" si="27"/>
        <v>0.05</v>
      </c>
      <c r="F169" s="1128"/>
      <c r="G169" s="313">
        <f t="shared" si="28"/>
        <v>0.1</v>
      </c>
      <c r="H169" s="1128"/>
      <c r="I169" s="313">
        <f t="shared" si="29"/>
        <v>1</v>
      </c>
      <c r="J169" s="1128"/>
      <c r="K169" s="313">
        <f t="shared" si="30"/>
        <v>1</v>
      </c>
      <c r="L169" s="1128"/>
      <c r="M169" s="313">
        <f t="shared" si="31"/>
        <v>1</v>
      </c>
      <c r="N169" s="1128"/>
      <c r="O169" s="313">
        <f t="shared" si="32"/>
        <v>1</v>
      </c>
      <c r="P169" s="1128"/>
      <c r="Q169" s="313">
        <f t="shared" si="33"/>
        <v>0.2</v>
      </c>
      <c r="R169" s="1124">
        <f t="shared" si="34"/>
        <v>0</v>
      </c>
      <c r="S169" s="698">
        <f t="shared" si="25"/>
        <v>0</v>
      </c>
    </row>
    <row r="170" spans="1:19">
      <c r="A170" s="491"/>
      <c r="B170" s="348"/>
      <c r="C170" s="313">
        <f t="shared" si="26"/>
        <v>1</v>
      </c>
      <c r="D170" s="1128"/>
      <c r="E170" s="313">
        <f t="shared" si="27"/>
        <v>0.05</v>
      </c>
      <c r="F170" s="1128"/>
      <c r="G170" s="313">
        <f t="shared" si="28"/>
        <v>0.1</v>
      </c>
      <c r="H170" s="1128"/>
      <c r="I170" s="313">
        <f t="shared" si="29"/>
        <v>1</v>
      </c>
      <c r="J170" s="1128"/>
      <c r="K170" s="313">
        <f t="shared" si="30"/>
        <v>1</v>
      </c>
      <c r="L170" s="1128"/>
      <c r="M170" s="313">
        <f t="shared" si="31"/>
        <v>1</v>
      </c>
      <c r="N170" s="1128"/>
      <c r="O170" s="313">
        <f t="shared" si="32"/>
        <v>1</v>
      </c>
      <c r="P170" s="1128"/>
      <c r="Q170" s="313">
        <f t="shared" si="33"/>
        <v>0.2</v>
      </c>
      <c r="R170" s="1124">
        <f t="shared" si="34"/>
        <v>0</v>
      </c>
      <c r="S170" s="698">
        <f t="shared" si="25"/>
        <v>0</v>
      </c>
    </row>
    <row r="171" spans="1:19">
      <c r="A171" s="491"/>
      <c r="B171" s="348"/>
      <c r="C171" s="313">
        <f t="shared" si="26"/>
        <v>1</v>
      </c>
      <c r="D171" s="1128"/>
      <c r="E171" s="313">
        <f t="shared" si="27"/>
        <v>0.05</v>
      </c>
      <c r="F171" s="1128"/>
      <c r="G171" s="313">
        <f t="shared" si="28"/>
        <v>0.1</v>
      </c>
      <c r="H171" s="1128"/>
      <c r="I171" s="313">
        <f t="shared" si="29"/>
        <v>1</v>
      </c>
      <c r="J171" s="1128"/>
      <c r="K171" s="313">
        <f t="shared" si="30"/>
        <v>1</v>
      </c>
      <c r="L171" s="1128"/>
      <c r="M171" s="313">
        <f t="shared" si="31"/>
        <v>1</v>
      </c>
      <c r="N171" s="1128"/>
      <c r="O171" s="313">
        <f t="shared" si="32"/>
        <v>1</v>
      </c>
      <c r="P171" s="1128"/>
      <c r="Q171" s="313">
        <f t="shared" si="33"/>
        <v>0.2</v>
      </c>
      <c r="R171" s="1124">
        <f t="shared" si="34"/>
        <v>0</v>
      </c>
      <c r="S171" s="698">
        <f t="shared" si="25"/>
        <v>0</v>
      </c>
    </row>
    <row r="172" spans="1:19">
      <c r="A172" s="491"/>
      <c r="B172" s="348"/>
      <c r="C172" s="313">
        <f t="shared" si="26"/>
        <v>1</v>
      </c>
      <c r="D172" s="1128"/>
      <c r="E172" s="313">
        <f t="shared" si="27"/>
        <v>0.05</v>
      </c>
      <c r="F172" s="1128"/>
      <c r="G172" s="313">
        <f t="shared" si="28"/>
        <v>0.1</v>
      </c>
      <c r="H172" s="1128"/>
      <c r="I172" s="313">
        <f t="shared" si="29"/>
        <v>1</v>
      </c>
      <c r="J172" s="1128"/>
      <c r="K172" s="313">
        <f t="shared" si="30"/>
        <v>1</v>
      </c>
      <c r="L172" s="1128"/>
      <c r="M172" s="313">
        <f t="shared" si="31"/>
        <v>1</v>
      </c>
      <c r="N172" s="1128"/>
      <c r="O172" s="313">
        <f t="shared" si="32"/>
        <v>1</v>
      </c>
      <c r="P172" s="1128"/>
      <c r="Q172" s="313">
        <f t="shared" si="33"/>
        <v>0.2</v>
      </c>
      <c r="R172" s="1124">
        <f t="shared" si="34"/>
        <v>0</v>
      </c>
      <c r="S172" s="698">
        <f t="shared" si="25"/>
        <v>0</v>
      </c>
    </row>
    <row r="173" spans="1:19">
      <c r="A173" s="491"/>
      <c r="B173" s="348"/>
      <c r="C173" s="313">
        <f t="shared" si="26"/>
        <v>1</v>
      </c>
      <c r="D173" s="1128"/>
      <c r="E173" s="313">
        <f t="shared" si="27"/>
        <v>0.05</v>
      </c>
      <c r="F173" s="1128"/>
      <c r="G173" s="313">
        <f t="shared" si="28"/>
        <v>0.1</v>
      </c>
      <c r="H173" s="1128"/>
      <c r="I173" s="313">
        <f t="shared" si="29"/>
        <v>1</v>
      </c>
      <c r="J173" s="1128"/>
      <c r="K173" s="313">
        <f t="shared" si="30"/>
        <v>1</v>
      </c>
      <c r="L173" s="1128"/>
      <c r="M173" s="313">
        <f t="shared" si="31"/>
        <v>1</v>
      </c>
      <c r="N173" s="1128"/>
      <c r="O173" s="313">
        <f t="shared" si="32"/>
        <v>1</v>
      </c>
      <c r="P173" s="1128"/>
      <c r="Q173" s="313">
        <f t="shared" si="33"/>
        <v>0.2</v>
      </c>
      <c r="R173" s="1124">
        <f t="shared" si="34"/>
        <v>0</v>
      </c>
      <c r="S173" s="698">
        <f t="shared" si="25"/>
        <v>0</v>
      </c>
    </row>
    <row r="174" spans="1:19">
      <c r="A174" s="491"/>
      <c r="B174" s="348"/>
      <c r="C174" s="313">
        <f t="shared" si="26"/>
        <v>1</v>
      </c>
      <c r="D174" s="1128"/>
      <c r="E174" s="313">
        <f t="shared" si="27"/>
        <v>0.05</v>
      </c>
      <c r="F174" s="1128"/>
      <c r="G174" s="313">
        <f t="shared" si="28"/>
        <v>0.1</v>
      </c>
      <c r="H174" s="1128"/>
      <c r="I174" s="313">
        <f t="shared" si="29"/>
        <v>1</v>
      </c>
      <c r="J174" s="1128"/>
      <c r="K174" s="313">
        <f t="shared" si="30"/>
        <v>1</v>
      </c>
      <c r="L174" s="1128"/>
      <c r="M174" s="313">
        <f t="shared" si="31"/>
        <v>1</v>
      </c>
      <c r="N174" s="1128"/>
      <c r="O174" s="313">
        <f t="shared" si="32"/>
        <v>1</v>
      </c>
      <c r="P174" s="1128"/>
      <c r="Q174" s="313">
        <f t="shared" si="33"/>
        <v>0.2</v>
      </c>
      <c r="R174" s="1124">
        <f t="shared" si="34"/>
        <v>0</v>
      </c>
      <c r="S174" s="698">
        <f t="shared" si="25"/>
        <v>0</v>
      </c>
    </row>
    <row r="175" spans="1:19">
      <c r="A175" s="491"/>
      <c r="B175" s="348"/>
      <c r="C175" s="313">
        <f t="shared" si="26"/>
        <v>1</v>
      </c>
      <c r="D175" s="1128"/>
      <c r="E175" s="313">
        <f t="shared" si="27"/>
        <v>0.05</v>
      </c>
      <c r="F175" s="1128"/>
      <c r="G175" s="313">
        <f t="shared" si="28"/>
        <v>0.1</v>
      </c>
      <c r="H175" s="1128"/>
      <c r="I175" s="313">
        <f t="shared" si="29"/>
        <v>1</v>
      </c>
      <c r="J175" s="1128"/>
      <c r="K175" s="313">
        <f t="shared" si="30"/>
        <v>1</v>
      </c>
      <c r="L175" s="1128"/>
      <c r="M175" s="313">
        <f t="shared" si="31"/>
        <v>1</v>
      </c>
      <c r="N175" s="1128"/>
      <c r="O175" s="313">
        <f t="shared" si="32"/>
        <v>1</v>
      </c>
      <c r="P175" s="1128"/>
      <c r="Q175" s="313">
        <f t="shared" si="33"/>
        <v>0.2</v>
      </c>
      <c r="R175" s="1124">
        <f t="shared" si="34"/>
        <v>0</v>
      </c>
      <c r="S175" s="698">
        <f t="shared" si="25"/>
        <v>0</v>
      </c>
    </row>
    <row r="176" spans="1:19">
      <c r="A176" s="491"/>
      <c r="B176" s="348"/>
      <c r="C176" s="313">
        <f t="shared" si="26"/>
        <v>1</v>
      </c>
      <c r="D176" s="1128"/>
      <c r="E176" s="313">
        <f t="shared" si="27"/>
        <v>0.05</v>
      </c>
      <c r="F176" s="1128"/>
      <c r="G176" s="313">
        <f t="shared" si="28"/>
        <v>0.1</v>
      </c>
      <c r="H176" s="1128"/>
      <c r="I176" s="313">
        <f t="shared" si="29"/>
        <v>1</v>
      </c>
      <c r="J176" s="1128"/>
      <c r="K176" s="313">
        <f t="shared" si="30"/>
        <v>1</v>
      </c>
      <c r="L176" s="1128"/>
      <c r="M176" s="313">
        <f t="shared" si="31"/>
        <v>1</v>
      </c>
      <c r="N176" s="1128"/>
      <c r="O176" s="313">
        <f t="shared" si="32"/>
        <v>1</v>
      </c>
      <c r="P176" s="1128"/>
      <c r="Q176" s="313">
        <f t="shared" si="33"/>
        <v>0.2</v>
      </c>
      <c r="R176" s="1124">
        <f t="shared" si="34"/>
        <v>0</v>
      </c>
      <c r="S176" s="698">
        <f t="shared" si="25"/>
        <v>0</v>
      </c>
    </row>
    <row r="177" spans="1:19">
      <c r="A177" s="491"/>
      <c r="B177" s="348"/>
      <c r="C177" s="313">
        <f t="shared" si="26"/>
        <v>1</v>
      </c>
      <c r="D177" s="1128"/>
      <c r="E177" s="313">
        <f t="shared" si="27"/>
        <v>0.05</v>
      </c>
      <c r="F177" s="1128"/>
      <c r="G177" s="313">
        <f t="shared" si="28"/>
        <v>0.1</v>
      </c>
      <c r="H177" s="1128"/>
      <c r="I177" s="313">
        <f t="shared" si="29"/>
        <v>1</v>
      </c>
      <c r="J177" s="1128"/>
      <c r="K177" s="313">
        <f t="shared" si="30"/>
        <v>1</v>
      </c>
      <c r="L177" s="1128"/>
      <c r="M177" s="313">
        <f t="shared" si="31"/>
        <v>1</v>
      </c>
      <c r="N177" s="1128"/>
      <c r="O177" s="313">
        <f t="shared" si="32"/>
        <v>1</v>
      </c>
      <c r="P177" s="1128"/>
      <c r="Q177" s="313">
        <f t="shared" si="33"/>
        <v>0.2</v>
      </c>
      <c r="R177" s="1124">
        <f t="shared" si="34"/>
        <v>0</v>
      </c>
      <c r="S177" s="698">
        <f t="shared" si="25"/>
        <v>0</v>
      </c>
    </row>
    <row r="178" spans="1:19">
      <c r="A178" s="491"/>
      <c r="B178" s="348"/>
      <c r="C178" s="313">
        <f t="shared" si="26"/>
        <v>1</v>
      </c>
      <c r="D178" s="1128"/>
      <c r="E178" s="313">
        <f t="shared" si="27"/>
        <v>0.05</v>
      </c>
      <c r="F178" s="1128"/>
      <c r="G178" s="313">
        <f t="shared" si="28"/>
        <v>0.1</v>
      </c>
      <c r="H178" s="1128"/>
      <c r="I178" s="313">
        <f t="shared" si="29"/>
        <v>1</v>
      </c>
      <c r="J178" s="1128"/>
      <c r="K178" s="313">
        <f t="shared" si="30"/>
        <v>1</v>
      </c>
      <c r="L178" s="1128"/>
      <c r="M178" s="313">
        <f t="shared" si="31"/>
        <v>1</v>
      </c>
      <c r="N178" s="1128"/>
      <c r="O178" s="313">
        <f t="shared" si="32"/>
        <v>1</v>
      </c>
      <c r="P178" s="1128"/>
      <c r="Q178" s="313">
        <f t="shared" si="33"/>
        <v>0.2</v>
      </c>
      <c r="R178" s="1124">
        <f t="shared" si="34"/>
        <v>0</v>
      </c>
      <c r="S178" s="698">
        <f t="shared" si="25"/>
        <v>0</v>
      </c>
    </row>
    <row r="179" spans="1:19">
      <c r="A179" s="491"/>
      <c r="B179" s="348"/>
      <c r="C179" s="313">
        <f t="shared" si="26"/>
        <v>1</v>
      </c>
      <c r="D179" s="1128"/>
      <c r="E179" s="313">
        <f t="shared" si="27"/>
        <v>0.05</v>
      </c>
      <c r="F179" s="1128"/>
      <c r="G179" s="313">
        <f t="shared" si="28"/>
        <v>0.1</v>
      </c>
      <c r="H179" s="1128"/>
      <c r="I179" s="313">
        <f t="shared" si="29"/>
        <v>1</v>
      </c>
      <c r="J179" s="1128"/>
      <c r="K179" s="313">
        <f t="shared" si="30"/>
        <v>1</v>
      </c>
      <c r="L179" s="1128"/>
      <c r="M179" s="313">
        <f t="shared" si="31"/>
        <v>1</v>
      </c>
      <c r="N179" s="1128"/>
      <c r="O179" s="313">
        <f t="shared" si="32"/>
        <v>1</v>
      </c>
      <c r="P179" s="1128"/>
      <c r="Q179" s="313">
        <f t="shared" si="33"/>
        <v>0.2</v>
      </c>
      <c r="R179" s="1124">
        <f t="shared" si="34"/>
        <v>0</v>
      </c>
      <c r="S179" s="698">
        <f t="shared" si="25"/>
        <v>0</v>
      </c>
    </row>
    <row r="180" spans="1:19">
      <c r="A180" s="491"/>
      <c r="B180" s="348"/>
      <c r="C180" s="313">
        <f t="shared" si="26"/>
        <v>1</v>
      </c>
      <c r="D180" s="1128"/>
      <c r="E180" s="313">
        <f t="shared" si="27"/>
        <v>0.05</v>
      </c>
      <c r="F180" s="1128"/>
      <c r="G180" s="313">
        <f t="shared" si="28"/>
        <v>0.1</v>
      </c>
      <c r="H180" s="1128"/>
      <c r="I180" s="313">
        <f t="shared" si="29"/>
        <v>1</v>
      </c>
      <c r="J180" s="1128"/>
      <c r="K180" s="313">
        <f t="shared" si="30"/>
        <v>1</v>
      </c>
      <c r="L180" s="1128"/>
      <c r="M180" s="313">
        <f t="shared" si="31"/>
        <v>1</v>
      </c>
      <c r="N180" s="1128"/>
      <c r="O180" s="313">
        <f t="shared" si="32"/>
        <v>1</v>
      </c>
      <c r="P180" s="1128"/>
      <c r="Q180" s="313">
        <f t="shared" si="33"/>
        <v>0.2</v>
      </c>
      <c r="R180" s="1124">
        <f t="shared" si="34"/>
        <v>0</v>
      </c>
      <c r="S180" s="698">
        <f t="shared" si="25"/>
        <v>0</v>
      </c>
    </row>
    <row r="181" spans="1:19">
      <c r="A181" s="491"/>
      <c r="B181" s="348"/>
      <c r="C181" s="313">
        <f t="shared" si="26"/>
        <v>1</v>
      </c>
      <c r="D181" s="1128"/>
      <c r="E181" s="313">
        <f t="shared" si="27"/>
        <v>0.05</v>
      </c>
      <c r="F181" s="1128"/>
      <c r="G181" s="313">
        <f t="shared" si="28"/>
        <v>0.1</v>
      </c>
      <c r="H181" s="1128"/>
      <c r="I181" s="313">
        <f t="shared" si="29"/>
        <v>1</v>
      </c>
      <c r="J181" s="1128"/>
      <c r="K181" s="313">
        <f t="shared" si="30"/>
        <v>1</v>
      </c>
      <c r="L181" s="1128"/>
      <c r="M181" s="313">
        <f t="shared" si="31"/>
        <v>1</v>
      </c>
      <c r="N181" s="1128"/>
      <c r="O181" s="313">
        <f t="shared" si="32"/>
        <v>1</v>
      </c>
      <c r="P181" s="1128"/>
      <c r="Q181" s="313">
        <f t="shared" si="33"/>
        <v>0.2</v>
      </c>
      <c r="R181" s="1124">
        <f t="shared" si="34"/>
        <v>0</v>
      </c>
      <c r="S181" s="698">
        <f t="shared" si="25"/>
        <v>0</v>
      </c>
    </row>
    <row r="182" spans="1:19">
      <c r="A182" s="491"/>
      <c r="B182" s="348"/>
      <c r="C182" s="313">
        <f t="shared" si="26"/>
        <v>1</v>
      </c>
      <c r="D182" s="1128"/>
      <c r="E182" s="313">
        <f t="shared" si="27"/>
        <v>0.05</v>
      </c>
      <c r="F182" s="1128"/>
      <c r="G182" s="313">
        <f t="shared" si="28"/>
        <v>0.1</v>
      </c>
      <c r="H182" s="1128"/>
      <c r="I182" s="313">
        <f t="shared" si="29"/>
        <v>1</v>
      </c>
      <c r="J182" s="1128"/>
      <c r="K182" s="313">
        <f t="shared" si="30"/>
        <v>1</v>
      </c>
      <c r="L182" s="1128"/>
      <c r="M182" s="313">
        <f t="shared" si="31"/>
        <v>1</v>
      </c>
      <c r="N182" s="1128"/>
      <c r="O182" s="313">
        <f t="shared" si="32"/>
        <v>1</v>
      </c>
      <c r="P182" s="1128"/>
      <c r="Q182" s="313">
        <f t="shared" si="33"/>
        <v>0.2</v>
      </c>
      <c r="R182" s="1124">
        <f t="shared" si="34"/>
        <v>0</v>
      </c>
      <c r="S182" s="698">
        <f t="shared" si="25"/>
        <v>0</v>
      </c>
    </row>
    <row r="183" spans="1:19">
      <c r="A183" s="491"/>
      <c r="B183" s="348"/>
      <c r="C183" s="313">
        <f t="shared" si="26"/>
        <v>1</v>
      </c>
      <c r="D183" s="1128"/>
      <c r="E183" s="313">
        <f t="shared" si="27"/>
        <v>0.05</v>
      </c>
      <c r="F183" s="1128"/>
      <c r="G183" s="313">
        <f t="shared" si="28"/>
        <v>0.1</v>
      </c>
      <c r="H183" s="1128"/>
      <c r="I183" s="313">
        <f t="shared" si="29"/>
        <v>1</v>
      </c>
      <c r="J183" s="1128"/>
      <c r="K183" s="313">
        <f t="shared" si="30"/>
        <v>1</v>
      </c>
      <c r="L183" s="1128"/>
      <c r="M183" s="313">
        <f t="shared" si="31"/>
        <v>1</v>
      </c>
      <c r="N183" s="1128"/>
      <c r="O183" s="313">
        <f t="shared" si="32"/>
        <v>1</v>
      </c>
      <c r="P183" s="1128"/>
      <c r="Q183" s="313">
        <f t="shared" si="33"/>
        <v>0.2</v>
      </c>
      <c r="R183" s="1124">
        <f t="shared" si="34"/>
        <v>0</v>
      </c>
      <c r="S183" s="698">
        <f t="shared" si="25"/>
        <v>0</v>
      </c>
    </row>
    <row r="184" spans="1:19">
      <c r="A184" s="491"/>
      <c r="B184" s="348"/>
      <c r="C184" s="313">
        <f t="shared" si="26"/>
        <v>1</v>
      </c>
      <c r="D184" s="1128"/>
      <c r="E184" s="313">
        <f t="shared" si="27"/>
        <v>0.05</v>
      </c>
      <c r="F184" s="1128"/>
      <c r="G184" s="313">
        <f t="shared" si="28"/>
        <v>0.1</v>
      </c>
      <c r="H184" s="1128"/>
      <c r="I184" s="313">
        <f t="shared" si="29"/>
        <v>1</v>
      </c>
      <c r="J184" s="1128"/>
      <c r="K184" s="313">
        <f t="shared" si="30"/>
        <v>1</v>
      </c>
      <c r="L184" s="1128"/>
      <c r="M184" s="313">
        <f t="shared" si="31"/>
        <v>1</v>
      </c>
      <c r="N184" s="1128"/>
      <c r="O184" s="313">
        <f t="shared" si="32"/>
        <v>1</v>
      </c>
      <c r="P184" s="1128"/>
      <c r="Q184" s="313">
        <f t="shared" si="33"/>
        <v>0.2</v>
      </c>
      <c r="R184" s="1124">
        <f t="shared" si="34"/>
        <v>0</v>
      </c>
      <c r="S184" s="698">
        <f t="shared" si="25"/>
        <v>0</v>
      </c>
    </row>
    <row r="185" spans="1:19">
      <c r="A185" s="491"/>
      <c r="B185" s="348"/>
      <c r="C185" s="313">
        <f t="shared" si="26"/>
        <v>1</v>
      </c>
      <c r="D185" s="1128"/>
      <c r="E185" s="313">
        <f t="shared" si="27"/>
        <v>0.05</v>
      </c>
      <c r="F185" s="1128"/>
      <c r="G185" s="313">
        <f t="shared" si="28"/>
        <v>0.1</v>
      </c>
      <c r="H185" s="1128"/>
      <c r="I185" s="313">
        <f t="shared" si="29"/>
        <v>1</v>
      </c>
      <c r="J185" s="1128"/>
      <c r="K185" s="313">
        <f t="shared" si="30"/>
        <v>1</v>
      </c>
      <c r="L185" s="1128"/>
      <c r="M185" s="313">
        <f t="shared" si="31"/>
        <v>1</v>
      </c>
      <c r="N185" s="1128"/>
      <c r="O185" s="313">
        <f t="shared" si="32"/>
        <v>1</v>
      </c>
      <c r="P185" s="1128"/>
      <c r="Q185" s="313">
        <f t="shared" si="33"/>
        <v>0.2</v>
      </c>
      <c r="R185" s="1124">
        <f t="shared" si="34"/>
        <v>0</v>
      </c>
      <c r="S185" s="698">
        <f t="shared" si="25"/>
        <v>0</v>
      </c>
    </row>
    <row r="186" spans="1:19">
      <c r="A186" s="491"/>
      <c r="B186" s="348"/>
      <c r="C186" s="313">
        <f t="shared" si="26"/>
        <v>1</v>
      </c>
      <c r="D186" s="1128"/>
      <c r="E186" s="313">
        <f t="shared" si="27"/>
        <v>0.05</v>
      </c>
      <c r="F186" s="1128"/>
      <c r="G186" s="313">
        <f t="shared" si="28"/>
        <v>0.1</v>
      </c>
      <c r="H186" s="1128"/>
      <c r="I186" s="313">
        <f t="shared" si="29"/>
        <v>1</v>
      </c>
      <c r="J186" s="1128"/>
      <c r="K186" s="313">
        <f t="shared" si="30"/>
        <v>1</v>
      </c>
      <c r="L186" s="1128"/>
      <c r="M186" s="313">
        <f t="shared" si="31"/>
        <v>1</v>
      </c>
      <c r="N186" s="1128"/>
      <c r="O186" s="313">
        <f t="shared" si="32"/>
        <v>1</v>
      </c>
      <c r="P186" s="1128"/>
      <c r="Q186" s="313">
        <f t="shared" si="33"/>
        <v>0.2</v>
      </c>
      <c r="R186" s="1124">
        <f t="shared" si="34"/>
        <v>0</v>
      </c>
      <c r="S186" s="698">
        <f t="shared" si="25"/>
        <v>0</v>
      </c>
    </row>
    <row r="187" spans="1:19">
      <c r="A187" s="491"/>
      <c r="B187" s="348"/>
      <c r="C187" s="313">
        <f t="shared" si="26"/>
        <v>1</v>
      </c>
      <c r="D187" s="1128"/>
      <c r="E187" s="313">
        <f t="shared" si="27"/>
        <v>0.05</v>
      </c>
      <c r="F187" s="1128"/>
      <c r="G187" s="313">
        <f t="shared" si="28"/>
        <v>0.1</v>
      </c>
      <c r="H187" s="1128"/>
      <c r="I187" s="313">
        <f t="shared" si="29"/>
        <v>1</v>
      </c>
      <c r="J187" s="1128"/>
      <c r="K187" s="313">
        <f t="shared" si="30"/>
        <v>1</v>
      </c>
      <c r="L187" s="1128"/>
      <c r="M187" s="313">
        <f t="shared" si="31"/>
        <v>1</v>
      </c>
      <c r="N187" s="1128"/>
      <c r="O187" s="313">
        <f t="shared" si="32"/>
        <v>1</v>
      </c>
      <c r="P187" s="1128"/>
      <c r="Q187" s="313">
        <f t="shared" si="33"/>
        <v>0.2</v>
      </c>
      <c r="R187" s="1124">
        <f t="shared" si="34"/>
        <v>0</v>
      </c>
      <c r="S187" s="698">
        <f t="shared" si="25"/>
        <v>0</v>
      </c>
    </row>
    <row r="188" spans="1:19">
      <c r="A188" s="491"/>
      <c r="B188" s="348"/>
      <c r="C188" s="313">
        <f t="shared" si="26"/>
        <v>1</v>
      </c>
      <c r="D188" s="1128"/>
      <c r="E188" s="313">
        <f t="shared" si="27"/>
        <v>0.05</v>
      </c>
      <c r="F188" s="1128"/>
      <c r="G188" s="313">
        <f t="shared" si="28"/>
        <v>0.1</v>
      </c>
      <c r="H188" s="1128"/>
      <c r="I188" s="313">
        <f t="shared" si="29"/>
        <v>1</v>
      </c>
      <c r="J188" s="1128"/>
      <c r="K188" s="313">
        <f t="shared" si="30"/>
        <v>1</v>
      </c>
      <c r="L188" s="1128"/>
      <c r="M188" s="313">
        <f t="shared" si="31"/>
        <v>1</v>
      </c>
      <c r="N188" s="1128"/>
      <c r="O188" s="313">
        <f t="shared" si="32"/>
        <v>1</v>
      </c>
      <c r="P188" s="1128"/>
      <c r="Q188" s="313">
        <f t="shared" si="33"/>
        <v>0.2</v>
      </c>
      <c r="R188" s="1124">
        <f t="shared" si="34"/>
        <v>0</v>
      </c>
      <c r="S188" s="698">
        <f t="shared" si="25"/>
        <v>0</v>
      </c>
    </row>
    <row r="189" spans="1:19">
      <c r="A189" s="491"/>
      <c r="B189" s="348"/>
      <c r="C189" s="313">
        <f t="shared" si="26"/>
        <v>1</v>
      </c>
      <c r="D189" s="1128"/>
      <c r="E189" s="313">
        <f t="shared" si="27"/>
        <v>0.05</v>
      </c>
      <c r="F189" s="1128"/>
      <c r="G189" s="313">
        <f t="shared" si="28"/>
        <v>0.1</v>
      </c>
      <c r="H189" s="1128"/>
      <c r="I189" s="313">
        <f t="shared" si="29"/>
        <v>1</v>
      </c>
      <c r="J189" s="1128"/>
      <c r="K189" s="313">
        <f t="shared" si="30"/>
        <v>1</v>
      </c>
      <c r="L189" s="1128"/>
      <c r="M189" s="313">
        <f t="shared" si="31"/>
        <v>1</v>
      </c>
      <c r="N189" s="1128"/>
      <c r="O189" s="313">
        <f t="shared" si="32"/>
        <v>1</v>
      </c>
      <c r="P189" s="1128"/>
      <c r="Q189" s="313">
        <f t="shared" si="33"/>
        <v>0.2</v>
      </c>
      <c r="R189" s="1124">
        <f t="shared" si="34"/>
        <v>0</v>
      </c>
      <c r="S189" s="698">
        <f t="shared" si="25"/>
        <v>0</v>
      </c>
    </row>
    <row r="190" spans="1:19">
      <c r="A190" s="491"/>
      <c r="B190" s="348"/>
      <c r="C190" s="313">
        <f t="shared" si="26"/>
        <v>1</v>
      </c>
      <c r="D190" s="1128"/>
      <c r="E190" s="313">
        <f t="shared" si="27"/>
        <v>0.05</v>
      </c>
      <c r="F190" s="1128"/>
      <c r="G190" s="313">
        <f t="shared" si="28"/>
        <v>0.1</v>
      </c>
      <c r="H190" s="1128"/>
      <c r="I190" s="313">
        <f t="shared" si="29"/>
        <v>1</v>
      </c>
      <c r="J190" s="1128"/>
      <c r="K190" s="313">
        <f t="shared" si="30"/>
        <v>1</v>
      </c>
      <c r="L190" s="1128"/>
      <c r="M190" s="313">
        <f t="shared" si="31"/>
        <v>1</v>
      </c>
      <c r="N190" s="1128"/>
      <c r="O190" s="313">
        <f t="shared" si="32"/>
        <v>1</v>
      </c>
      <c r="P190" s="1128"/>
      <c r="Q190" s="313">
        <f t="shared" si="33"/>
        <v>0.2</v>
      </c>
      <c r="R190" s="1124">
        <f t="shared" si="34"/>
        <v>0</v>
      </c>
      <c r="S190" s="698">
        <f t="shared" si="25"/>
        <v>0</v>
      </c>
    </row>
    <row r="191" spans="1:19">
      <c r="A191" s="491"/>
      <c r="B191" s="348"/>
      <c r="C191" s="313">
        <f t="shared" si="26"/>
        <v>1</v>
      </c>
      <c r="D191" s="1128"/>
      <c r="E191" s="313">
        <f t="shared" si="27"/>
        <v>0.05</v>
      </c>
      <c r="F191" s="1128"/>
      <c r="G191" s="313">
        <f t="shared" si="28"/>
        <v>0.1</v>
      </c>
      <c r="H191" s="1128"/>
      <c r="I191" s="313">
        <f t="shared" si="29"/>
        <v>1</v>
      </c>
      <c r="J191" s="1128"/>
      <c r="K191" s="313">
        <f t="shared" si="30"/>
        <v>1</v>
      </c>
      <c r="L191" s="1128"/>
      <c r="M191" s="313">
        <f t="shared" si="31"/>
        <v>1</v>
      </c>
      <c r="N191" s="1128"/>
      <c r="O191" s="313">
        <f t="shared" si="32"/>
        <v>1</v>
      </c>
      <c r="P191" s="1128"/>
      <c r="Q191" s="313">
        <f t="shared" si="33"/>
        <v>0.2</v>
      </c>
      <c r="R191" s="1124">
        <f t="shared" si="34"/>
        <v>0</v>
      </c>
      <c r="S191" s="698">
        <f t="shared" si="25"/>
        <v>0</v>
      </c>
    </row>
    <row r="192" spans="1:19">
      <c r="A192" s="491"/>
      <c r="B192" s="348"/>
      <c r="C192" s="313">
        <f t="shared" si="26"/>
        <v>1</v>
      </c>
      <c r="D192" s="1128"/>
      <c r="E192" s="313">
        <f t="shared" si="27"/>
        <v>0.05</v>
      </c>
      <c r="F192" s="1128"/>
      <c r="G192" s="313">
        <f t="shared" si="28"/>
        <v>0.1</v>
      </c>
      <c r="H192" s="1128"/>
      <c r="I192" s="313">
        <f t="shared" si="29"/>
        <v>1</v>
      </c>
      <c r="J192" s="1128"/>
      <c r="K192" s="313">
        <f t="shared" si="30"/>
        <v>1</v>
      </c>
      <c r="L192" s="1128"/>
      <c r="M192" s="313">
        <f t="shared" si="31"/>
        <v>1</v>
      </c>
      <c r="N192" s="1128"/>
      <c r="O192" s="313">
        <f t="shared" si="32"/>
        <v>1</v>
      </c>
      <c r="P192" s="1128"/>
      <c r="Q192" s="313">
        <f t="shared" si="33"/>
        <v>0.2</v>
      </c>
      <c r="R192" s="1124">
        <f t="shared" si="34"/>
        <v>0</v>
      </c>
      <c r="S192" s="698">
        <f t="shared" si="25"/>
        <v>0</v>
      </c>
    </row>
    <row r="193" spans="1:19">
      <c r="A193" s="491"/>
      <c r="B193" s="348"/>
      <c r="C193" s="313">
        <f t="shared" si="26"/>
        <v>1</v>
      </c>
      <c r="D193" s="1128"/>
      <c r="E193" s="313">
        <f t="shared" si="27"/>
        <v>0.05</v>
      </c>
      <c r="F193" s="1128"/>
      <c r="G193" s="313">
        <f t="shared" si="28"/>
        <v>0.1</v>
      </c>
      <c r="H193" s="1128"/>
      <c r="I193" s="313">
        <f t="shared" si="29"/>
        <v>1</v>
      </c>
      <c r="J193" s="1128"/>
      <c r="K193" s="313">
        <f t="shared" si="30"/>
        <v>1</v>
      </c>
      <c r="L193" s="1128"/>
      <c r="M193" s="313">
        <f t="shared" si="31"/>
        <v>1</v>
      </c>
      <c r="N193" s="1128"/>
      <c r="O193" s="313">
        <f t="shared" si="32"/>
        <v>1</v>
      </c>
      <c r="P193" s="1128"/>
      <c r="Q193" s="313">
        <f t="shared" si="33"/>
        <v>0.2</v>
      </c>
      <c r="R193" s="1124">
        <f t="shared" si="34"/>
        <v>0</v>
      </c>
      <c r="S193" s="698">
        <f t="shared" si="25"/>
        <v>0</v>
      </c>
    </row>
    <row r="194" spans="1:19">
      <c r="A194" s="491"/>
      <c r="B194" s="348"/>
      <c r="C194" s="313">
        <f t="shared" si="26"/>
        <v>1</v>
      </c>
      <c r="D194" s="1128"/>
      <c r="E194" s="313">
        <f t="shared" si="27"/>
        <v>0.05</v>
      </c>
      <c r="F194" s="1128"/>
      <c r="G194" s="313">
        <f t="shared" si="28"/>
        <v>0.1</v>
      </c>
      <c r="H194" s="1128"/>
      <c r="I194" s="313">
        <f t="shared" si="29"/>
        <v>1</v>
      </c>
      <c r="J194" s="1128"/>
      <c r="K194" s="313">
        <f t="shared" si="30"/>
        <v>1</v>
      </c>
      <c r="L194" s="1128"/>
      <c r="M194" s="313">
        <f t="shared" si="31"/>
        <v>1</v>
      </c>
      <c r="N194" s="1128"/>
      <c r="O194" s="313">
        <f t="shared" si="32"/>
        <v>1</v>
      </c>
      <c r="P194" s="1128"/>
      <c r="Q194" s="313">
        <f t="shared" si="33"/>
        <v>0.2</v>
      </c>
      <c r="R194" s="1124">
        <f t="shared" si="34"/>
        <v>0</v>
      </c>
      <c r="S194" s="698">
        <f t="shared" si="25"/>
        <v>0</v>
      </c>
    </row>
    <row r="195" spans="1:19">
      <c r="A195" s="491"/>
      <c r="B195" s="348"/>
      <c r="C195" s="313">
        <f t="shared" si="26"/>
        <v>1</v>
      </c>
      <c r="D195" s="1128"/>
      <c r="E195" s="313">
        <f t="shared" si="27"/>
        <v>0.05</v>
      </c>
      <c r="F195" s="1128"/>
      <c r="G195" s="313">
        <f t="shared" si="28"/>
        <v>0.1</v>
      </c>
      <c r="H195" s="1128"/>
      <c r="I195" s="313">
        <f t="shared" si="29"/>
        <v>1</v>
      </c>
      <c r="J195" s="1128"/>
      <c r="K195" s="313">
        <f t="shared" si="30"/>
        <v>1</v>
      </c>
      <c r="L195" s="1128"/>
      <c r="M195" s="313">
        <f t="shared" si="31"/>
        <v>1</v>
      </c>
      <c r="N195" s="1128"/>
      <c r="O195" s="313">
        <f t="shared" si="32"/>
        <v>1</v>
      </c>
      <c r="P195" s="1128"/>
      <c r="Q195" s="313">
        <f t="shared" si="33"/>
        <v>0.2</v>
      </c>
      <c r="R195" s="1124">
        <f t="shared" si="34"/>
        <v>0</v>
      </c>
      <c r="S195" s="698">
        <f t="shared" si="25"/>
        <v>0</v>
      </c>
    </row>
    <row r="196" spans="1:19">
      <c r="A196" s="491"/>
      <c r="B196" s="348"/>
      <c r="C196" s="313">
        <f t="shared" si="26"/>
        <v>1</v>
      </c>
      <c r="D196" s="1128"/>
      <c r="E196" s="313">
        <f t="shared" si="27"/>
        <v>0.05</v>
      </c>
      <c r="F196" s="1128"/>
      <c r="G196" s="313">
        <f t="shared" si="28"/>
        <v>0.1</v>
      </c>
      <c r="H196" s="1128"/>
      <c r="I196" s="313">
        <f t="shared" si="29"/>
        <v>1</v>
      </c>
      <c r="J196" s="1128"/>
      <c r="K196" s="313">
        <f t="shared" si="30"/>
        <v>1</v>
      </c>
      <c r="L196" s="1128"/>
      <c r="M196" s="313">
        <f t="shared" si="31"/>
        <v>1</v>
      </c>
      <c r="N196" s="1128"/>
      <c r="O196" s="313">
        <f t="shared" si="32"/>
        <v>1</v>
      </c>
      <c r="P196" s="1128"/>
      <c r="Q196" s="313">
        <f t="shared" si="33"/>
        <v>0.2</v>
      </c>
      <c r="R196" s="1124">
        <f t="shared" si="34"/>
        <v>0</v>
      </c>
      <c r="S196" s="698">
        <f t="shared" si="25"/>
        <v>0</v>
      </c>
    </row>
    <row r="197" spans="1:19">
      <c r="A197" s="491"/>
      <c r="B197" s="348"/>
      <c r="C197" s="313">
        <f t="shared" si="26"/>
        <v>1</v>
      </c>
      <c r="D197" s="1128"/>
      <c r="E197" s="313">
        <f t="shared" si="27"/>
        <v>0.05</v>
      </c>
      <c r="F197" s="1128"/>
      <c r="G197" s="313">
        <f t="shared" si="28"/>
        <v>0.1</v>
      </c>
      <c r="H197" s="1128"/>
      <c r="I197" s="313">
        <f t="shared" si="29"/>
        <v>1</v>
      </c>
      <c r="J197" s="1128"/>
      <c r="K197" s="313">
        <f t="shared" si="30"/>
        <v>1</v>
      </c>
      <c r="L197" s="1128"/>
      <c r="M197" s="313">
        <f t="shared" si="31"/>
        <v>1</v>
      </c>
      <c r="N197" s="1128"/>
      <c r="O197" s="313">
        <f t="shared" si="32"/>
        <v>1</v>
      </c>
      <c r="P197" s="1128"/>
      <c r="Q197" s="313">
        <f t="shared" si="33"/>
        <v>0.2</v>
      </c>
      <c r="R197" s="1124">
        <f t="shared" si="34"/>
        <v>0</v>
      </c>
      <c r="S197" s="698">
        <f t="shared" si="25"/>
        <v>0</v>
      </c>
    </row>
    <row r="198" spans="1:19">
      <c r="A198" s="491"/>
      <c r="B198" s="348"/>
      <c r="C198" s="313">
        <f t="shared" si="26"/>
        <v>1</v>
      </c>
      <c r="D198" s="1128"/>
      <c r="E198" s="313">
        <f t="shared" si="27"/>
        <v>0.05</v>
      </c>
      <c r="F198" s="1128"/>
      <c r="G198" s="313">
        <f t="shared" si="28"/>
        <v>0.1</v>
      </c>
      <c r="H198" s="1128"/>
      <c r="I198" s="313">
        <f t="shared" si="29"/>
        <v>1</v>
      </c>
      <c r="J198" s="1128"/>
      <c r="K198" s="313">
        <f t="shared" si="30"/>
        <v>1</v>
      </c>
      <c r="L198" s="1128"/>
      <c r="M198" s="313">
        <f t="shared" si="31"/>
        <v>1</v>
      </c>
      <c r="N198" s="1128"/>
      <c r="O198" s="313">
        <f t="shared" si="32"/>
        <v>1</v>
      </c>
      <c r="P198" s="1128"/>
      <c r="Q198" s="313">
        <f t="shared" si="33"/>
        <v>0.2</v>
      </c>
      <c r="R198" s="1124">
        <f t="shared" si="34"/>
        <v>0</v>
      </c>
      <c r="S198" s="698">
        <f t="shared" si="25"/>
        <v>0</v>
      </c>
    </row>
    <row r="199" spans="1:19">
      <c r="A199" s="491"/>
      <c r="B199" s="348"/>
      <c r="C199" s="313">
        <f t="shared" si="26"/>
        <v>1</v>
      </c>
      <c r="D199" s="1128"/>
      <c r="E199" s="313">
        <f t="shared" si="27"/>
        <v>0.05</v>
      </c>
      <c r="F199" s="1128"/>
      <c r="G199" s="313">
        <f t="shared" si="28"/>
        <v>0.1</v>
      </c>
      <c r="H199" s="1128"/>
      <c r="I199" s="313">
        <f t="shared" si="29"/>
        <v>1</v>
      </c>
      <c r="J199" s="1128"/>
      <c r="K199" s="313">
        <f t="shared" si="30"/>
        <v>1</v>
      </c>
      <c r="L199" s="1128"/>
      <c r="M199" s="313">
        <f t="shared" si="31"/>
        <v>1</v>
      </c>
      <c r="N199" s="1128"/>
      <c r="O199" s="313">
        <f t="shared" si="32"/>
        <v>1</v>
      </c>
      <c r="P199" s="1128"/>
      <c r="Q199" s="313">
        <f t="shared" si="33"/>
        <v>0.2</v>
      </c>
      <c r="R199" s="1124">
        <f t="shared" si="34"/>
        <v>0</v>
      </c>
      <c r="S199" s="698">
        <f t="shared" si="25"/>
        <v>0</v>
      </c>
    </row>
    <row r="200" spans="1:19">
      <c r="A200" s="491"/>
      <c r="B200" s="348"/>
      <c r="C200" s="313">
        <f t="shared" si="26"/>
        <v>1</v>
      </c>
      <c r="D200" s="1128"/>
      <c r="E200" s="313">
        <f t="shared" si="27"/>
        <v>0.05</v>
      </c>
      <c r="F200" s="1128"/>
      <c r="G200" s="313">
        <f t="shared" si="28"/>
        <v>0.1</v>
      </c>
      <c r="H200" s="1128"/>
      <c r="I200" s="313">
        <f t="shared" si="29"/>
        <v>1</v>
      </c>
      <c r="J200" s="1128"/>
      <c r="K200" s="313">
        <f t="shared" si="30"/>
        <v>1</v>
      </c>
      <c r="L200" s="1128"/>
      <c r="M200" s="313">
        <f t="shared" si="31"/>
        <v>1</v>
      </c>
      <c r="N200" s="1128"/>
      <c r="O200" s="313">
        <f t="shared" si="32"/>
        <v>1</v>
      </c>
      <c r="P200" s="1128"/>
      <c r="Q200" s="313">
        <f t="shared" si="33"/>
        <v>0.2</v>
      </c>
      <c r="R200" s="1124">
        <f t="shared" si="34"/>
        <v>0</v>
      </c>
      <c r="S200" s="698">
        <f t="shared" si="25"/>
        <v>0</v>
      </c>
    </row>
    <row r="201" spans="1:19">
      <c r="A201" s="491"/>
      <c r="B201" s="348"/>
      <c r="C201" s="313">
        <f t="shared" si="26"/>
        <v>1</v>
      </c>
      <c r="D201" s="1128"/>
      <c r="E201" s="313">
        <f t="shared" si="27"/>
        <v>0.05</v>
      </c>
      <c r="F201" s="1128"/>
      <c r="G201" s="313">
        <f t="shared" si="28"/>
        <v>0.1</v>
      </c>
      <c r="H201" s="1128"/>
      <c r="I201" s="313">
        <f t="shared" si="29"/>
        <v>1</v>
      </c>
      <c r="J201" s="1128"/>
      <c r="K201" s="313">
        <f t="shared" si="30"/>
        <v>1</v>
      </c>
      <c r="L201" s="1128"/>
      <c r="M201" s="313">
        <f t="shared" si="31"/>
        <v>1</v>
      </c>
      <c r="N201" s="1128"/>
      <c r="O201" s="313">
        <f t="shared" si="32"/>
        <v>1</v>
      </c>
      <c r="P201" s="1128"/>
      <c r="Q201" s="313">
        <f t="shared" si="33"/>
        <v>0.2</v>
      </c>
      <c r="R201" s="1124">
        <f t="shared" si="34"/>
        <v>0</v>
      </c>
      <c r="S201" s="698">
        <f t="shared" si="25"/>
        <v>0</v>
      </c>
    </row>
    <row r="202" spans="1:19">
      <c r="A202" s="491"/>
      <c r="B202" s="348"/>
      <c r="C202" s="313">
        <f t="shared" si="26"/>
        <v>1</v>
      </c>
      <c r="D202" s="1128"/>
      <c r="E202" s="313">
        <f t="shared" si="27"/>
        <v>0.05</v>
      </c>
      <c r="F202" s="1128"/>
      <c r="G202" s="313">
        <f t="shared" si="28"/>
        <v>0.1</v>
      </c>
      <c r="H202" s="1128"/>
      <c r="I202" s="313">
        <f t="shared" si="29"/>
        <v>1</v>
      </c>
      <c r="J202" s="1128"/>
      <c r="K202" s="313">
        <f t="shared" si="30"/>
        <v>1</v>
      </c>
      <c r="L202" s="1128"/>
      <c r="M202" s="313">
        <f t="shared" si="31"/>
        <v>1</v>
      </c>
      <c r="N202" s="1128"/>
      <c r="O202" s="313">
        <f t="shared" si="32"/>
        <v>1</v>
      </c>
      <c r="P202" s="1128"/>
      <c r="Q202" s="313">
        <f t="shared" si="33"/>
        <v>0.2</v>
      </c>
      <c r="R202" s="1124">
        <f t="shared" si="34"/>
        <v>0</v>
      </c>
      <c r="S202" s="698">
        <f t="shared" si="25"/>
        <v>0</v>
      </c>
    </row>
    <row r="203" spans="1:19">
      <c r="A203" s="491"/>
      <c r="B203" s="348"/>
      <c r="C203" s="313">
        <f t="shared" si="26"/>
        <v>1</v>
      </c>
      <c r="D203" s="1128"/>
      <c r="E203" s="313">
        <f t="shared" si="27"/>
        <v>0.05</v>
      </c>
      <c r="F203" s="1128"/>
      <c r="G203" s="313">
        <f t="shared" si="28"/>
        <v>0.1</v>
      </c>
      <c r="H203" s="1128"/>
      <c r="I203" s="313">
        <f t="shared" si="29"/>
        <v>1</v>
      </c>
      <c r="J203" s="1128"/>
      <c r="K203" s="313">
        <f t="shared" si="30"/>
        <v>1</v>
      </c>
      <c r="L203" s="1128"/>
      <c r="M203" s="313">
        <f t="shared" si="31"/>
        <v>1</v>
      </c>
      <c r="N203" s="1128"/>
      <c r="O203" s="313">
        <f t="shared" si="32"/>
        <v>1</v>
      </c>
      <c r="P203" s="1128"/>
      <c r="Q203" s="313">
        <f t="shared" si="33"/>
        <v>0.2</v>
      </c>
      <c r="R203" s="1124">
        <f t="shared" si="34"/>
        <v>0</v>
      </c>
      <c r="S203" s="698">
        <f t="shared" si="25"/>
        <v>0</v>
      </c>
    </row>
    <row r="204" spans="1:19">
      <c r="A204" s="491"/>
      <c r="B204" s="348"/>
      <c r="C204" s="313">
        <f t="shared" si="26"/>
        <v>1</v>
      </c>
      <c r="D204" s="1128"/>
      <c r="E204" s="313">
        <f t="shared" si="27"/>
        <v>0.05</v>
      </c>
      <c r="F204" s="1128"/>
      <c r="G204" s="313">
        <f t="shared" si="28"/>
        <v>0.1</v>
      </c>
      <c r="H204" s="1128"/>
      <c r="I204" s="313">
        <f t="shared" si="29"/>
        <v>1</v>
      </c>
      <c r="J204" s="1128"/>
      <c r="K204" s="313">
        <f t="shared" si="30"/>
        <v>1</v>
      </c>
      <c r="L204" s="1128"/>
      <c r="M204" s="313">
        <f t="shared" si="31"/>
        <v>1</v>
      </c>
      <c r="N204" s="1128"/>
      <c r="O204" s="313">
        <f t="shared" si="32"/>
        <v>1</v>
      </c>
      <c r="P204" s="1128"/>
      <c r="Q204" s="313">
        <f t="shared" si="33"/>
        <v>0.2</v>
      </c>
      <c r="R204" s="1124">
        <f t="shared" si="34"/>
        <v>0</v>
      </c>
      <c r="S204" s="698">
        <f t="shared" si="25"/>
        <v>0</v>
      </c>
    </row>
    <row r="205" spans="1:19">
      <c r="A205" s="491"/>
      <c r="B205" s="348"/>
      <c r="C205" s="313">
        <f t="shared" si="26"/>
        <v>1</v>
      </c>
      <c r="D205" s="1128"/>
      <c r="E205" s="313">
        <f t="shared" si="27"/>
        <v>0.05</v>
      </c>
      <c r="F205" s="1128"/>
      <c r="G205" s="313">
        <f t="shared" si="28"/>
        <v>0.1</v>
      </c>
      <c r="H205" s="1128"/>
      <c r="I205" s="313">
        <f t="shared" si="29"/>
        <v>1</v>
      </c>
      <c r="J205" s="1128"/>
      <c r="K205" s="313">
        <f t="shared" si="30"/>
        <v>1</v>
      </c>
      <c r="L205" s="1128"/>
      <c r="M205" s="313">
        <f t="shared" si="31"/>
        <v>1</v>
      </c>
      <c r="N205" s="1128"/>
      <c r="O205" s="313">
        <f t="shared" si="32"/>
        <v>1</v>
      </c>
      <c r="P205" s="1128"/>
      <c r="Q205" s="313">
        <f t="shared" si="33"/>
        <v>0.2</v>
      </c>
      <c r="R205" s="1124">
        <f t="shared" si="34"/>
        <v>0</v>
      </c>
      <c r="S205" s="698">
        <f t="shared" si="25"/>
        <v>0</v>
      </c>
    </row>
    <row r="206" spans="1:19">
      <c r="A206" s="491"/>
      <c r="B206" s="348"/>
      <c r="C206" s="313">
        <f t="shared" si="26"/>
        <v>1</v>
      </c>
      <c r="D206" s="1128"/>
      <c r="E206" s="313">
        <f t="shared" si="27"/>
        <v>0.05</v>
      </c>
      <c r="F206" s="1128"/>
      <c r="G206" s="313">
        <f t="shared" si="28"/>
        <v>0.1</v>
      </c>
      <c r="H206" s="1128"/>
      <c r="I206" s="313">
        <f t="shared" si="29"/>
        <v>1</v>
      </c>
      <c r="J206" s="1128"/>
      <c r="K206" s="313">
        <f t="shared" si="30"/>
        <v>1</v>
      </c>
      <c r="L206" s="1128"/>
      <c r="M206" s="313">
        <f t="shared" si="31"/>
        <v>1</v>
      </c>
      <c r="N206" s="1128"/>
      <c r="O206" s="313">
        <f t="shared" si="32"/>
        <v>1</v>
      </c>
      <c r="P206" s="1128"/>
      <c r="Q206" s="313">
        <f t="shared" si="33"/>
        <v>0.2</v>
      </c>
      <c r="R206" s="1124">
        <f t="shared" si="34"/>
        <v>0</v>
      </c>
      <c r="S206" s="698">
        <f t="shared" si="25"/>
        <v>0</v>
      </c>
    </row>
    <row r="207" spans="1:19">
      <c r="A207" s="491"/>
      <c r="B207" s="348"/>
      <c r="C207" s="313">
        <f t="shared" si="26"/>
        <v>1</v>
      </c>
      <c r="D207" s="1128"/>
      <c r="E207" s="313">
        <f t="shared" si="27"/>
        <v>0.05</v>
      </c>
      <c r="F207" s="1128"/>
      <c r="G207" s="313">
        <f t="shared" si="28"/>
        <v>0.1</v>
      </c>
      <c r="H207" s="1128"/>
      <c r="I207" s="313">
        <f t="shared" si="29"/>
        <v>1</v>
      </c>
      <c r="J207" s="1128"/>
      <c r="K207" s="313">
        <f t="shared" si="30"/>
        <v>1</v>
      </c>
      <c r="L207" s="1128"/>
      <c r="M207" s="313">
        <f t="shared" si="31"/>
        <v>1</v>
      </c>
      <c r="N207" s="1128"/>
      <c r="O207" s="313">
        <f t="shared" si="32"/>
        <v>1</v>
      </c>
      <c r="P207" s="1128"/>
      <c r="Q207" s="313">
        <f t="shared" si="33"/>
        <v>0.2</v>
      </c>
      <c r="R207" s="1124">
        <f t="shared" si="34"/>
        <v>0</v>
      </c>
      <c r="S207" s="698">
        <f t="shared" si="25"/>
        <v>0</v>
      </c>
    </row>
    <row r="208" spans="1:19">
      <c r="A208" s="491"/>
      <c r="B208" s="348"/>
      <c r="C208" s="313">
        <f t="shared" si="26"/>
        <v>1</v>
      </c>
      <c r="D208" s="1128"/>
      <c r="E208" s="313">
        <f t="shared" si="27"/>
        <v>0.05</v>
      </c>
      <c r="F208" s="1128"/>
      <c r="G208" s="313">
        <f t="shared" si="28"/>
        <v>0.1</v>
      </c>
      <c r="H208" s="1128"/>
      <c r="I208" s="313">
        <f t="shared" si="29"/>
        <v>1</v>
      </c>
      <c r="J208" s="1128"/>
      <c r="K208" s="313">
        <f t="shared" si="30"/>
        <v>1</v>
      </c>
      <c r="L208" s="1128"/>
      <c r="M208" s="313">
        <f t="shared" si="31"/>
        <v>1</v>
      </c>
      <c r="N208" s="1128"/>
      <c r="O208" s="313">
        <f t="shared" si="32"/>
        <v>1</v>
      </c>
      <c r="P208" s="1128"/>
      <c r="Q208" s="313">
        <f t="shared" si="33"/>
        <v>0.2</v>
      </c>
      <c r="R208" s="1124">
        <f t="shared" si="34"/>
        <v>0</v>
      </c>
      <c r="S208" s="698">
        <f t="shared" si="25"/>
        <v>0</v>
      </c>
    </row>
    <row r="209" spans="1:19">
      <c r="A209" s="491"/>
      <c r="B209" s="348"/>
      <c r="C209" s="313">
        <f t="shared" si="26"/>
        <v>1</v>
      </c>
      <c r="D209" s="1128"/>
      <c r="E209" s="313">
        <f t="shared" si="27"/>
        <v>0.05</v>
      </c>
      <c r="F209" s="1128"/>
      <c r="G209" s="313">
        <f t="shared" si="28"/>
        <v>0.1</v>
      </c>
      <c r="H209" s="1128"/>
      <c r="I209" s="313">
        <f t="shared" si="29"/>
        <v>1</v>
      </c>
      <c r="J209" s="1128"/>
      <c r="K209" s="313">
        <f t="shared" si="30"/>
        <v>1</v>
      </c>
      <c r="L209" s="1128"/>
      <c r="M209" s="313">
        <f t="shared" si="31"/>
        <v>1</v>
      </c>
      <c r="N209" s="1128"/>
      <c r="O209" s="313">
        <f t="shared" si="32"/>
        <v>1</v>
      </c>
      <c r="P209" s="1128"/>
      <c r="Q209" s="313">
        <f t="shared" si="33"/>
        <v>0.2</v>
      </c>
      <c r="R209" s="1124">
        <f t="shared" si="34"/>
        <v>0</v>
      </c>
      <c r="S209" s="698">
        <f t="shared" si="25"/>
        <v>0</v>
      </c>
    </row>
    <row r="210" spans="1:19">
      <c r="A210" s="491"/>
      <c r="B210" s="348"/>
      <c r="C210" s="313">
        <f t="shared" si="26"/>
        <v>1</v>
      </c>
      <c r="D210" s="1128"/>
      <c r="E210" s="313">
        <f t="shared" si="27"/>
        <v>0.05</v>
      </c>
      <c r="F210" s="1128"/>
      <c r="G210" s="313">
        <f t="shared" si="28"/>
        <v>0.1</v>
      </c>
      <c r="H210" s="1128"/>
      <c r="I210" s="313">
        <f t="shared" si="29"/>
        <v>1</v>
      </c>
      <c r="J210" s="1128"/>
      <c r="K210" s="313">
        <f t="shared" si="30"/>
        <v>1</v>
      </c>
      <c r="L210" s="1128"/>
      <c r="M210" s="313">
        <f t="shared" si="31"/>
        <v>1</v>
      </c>
      <c r="N210" s="1128"/>
      <c r="O210" s="313">
        <f t="shared" si="32"/>
        <v>1</v>
      </c>
      <c r="P210" s="1128"/>
      <c r="Q210" s="313">
        <f t="shared" si="33"/>
        <v>0.2</v>
      </c>
      <c r="R210" s="1124">
        <f t="shared" si="34"/>
        <v>0</v>
      </c>
      <c r="S210" s="698">
        <f t="shared" si="25"/>
        <v>0</v>
      </c>
    </row>
    <row r="211" spans="1:19">
      <c r="A211" s="491"/>
      <c r="B211" s="348"/>
      <c r="C211" s="313">
        <f t="shared" si="26"/>
        <v>1</v>
      </c>
      <c r="D211" s="1128"/>
      <c r="E211" s="313">
        <f t="shared" si="27"/>
        <v>0.05</v>
      </c>
      <c r="F211" s="1128"/>
      <c r="G211" s="313">
        <f t="shared" si="28"/>
        <v>0.1</v>
      </c>
      <c r="H211" s="1128"/>
      <c r="I211" s="313">
        <f t="shared" si="29"/>
        <v>1</v>
      </c>
      <c r="J211" s="1128"/>
      <c r="K211" s="313">
        <f t="shared" si="30"/>
        <v>1</v>
      </c>
      <c r="L211" s="1128"/>
      <c r="M211" s="313">
        <f t="shared" si="31"/>
        <v>1</v>
      </c>
      <c r="N211" s="1128"/>
      <c r="O211" s="313">
        <f t="shared" si="32"/>
        <v>1</v>
      </c>
      <c r="P211" s="1128"/>
      <c r="Q211" s="313">
        <f t="shared" si="33"/>
        <v>0.2</v>
      </c>
      <c r="R211" s="1124">
        <f t="shared" si="34"/>
        <v>0</v>
      </c>
      <c r="S211" s="698">
        <f t="shared" si="25"/>
        <v>0</v>
      </c>
    </row>
    <row r="212" spans="1:19">
      <c r="A212" s="491"/>
      <c r="B212" s="348"/>
      <c r="C212" s="313">
        <f t="shared" si="26"/>
        <v>1</v>
      </c>
      <c r="D212" s="1128"/>
      <c r="E212" s="313">
        <f t="shared" si="27"/>
        <v>0.05</v>
      </c>
      <c r="F212" s="1128"/>
      <c r="G212" s="313">
        <f t="shared" si="28"/>
        <v>0.1</v>
      </c>
      <c r="H212" s="1128"/>
      <c r="I212" s="313">
        <f t="shared" si="29"/>
        <v>1</v>
      </c>
      <c r="J212" s="1128"/>
      <c r="K212" s="313">
        <f t="shared" si="30"/>
        <v>1</v>
      </c>
      <c r="L212" s="1128"/>
      <c r="M212" s="313">
        <f t="shared" si="31"/>
        <v>1</v>
      </c>
      <c r="N212" s="1128"/>
      <c r="O212" s="313">
        <f t="shared" si="32"/>
        <v>1</v>
      </c>
      <c r="P212" s="1128"/>
      <c r="Q212" s="313">
        <f t="shared" si="33"/>
        <v>0.2</v>
      </c>
      <c r="R212" s="1124">
        <f t="shared" si="34"/>
        <v>0</v>
      </c>
      <c r="S212" s="698">
        <f t="shared" si="25"/>
        <v>0</v>
      </c>
    </row>
    <row r="213" spans="1:19">
      <c r="A213" s="491"/>
      <c r="B213" s="348"/>
      <c r="C213" s="313">
        <f t="shared" si="26"/>
        <v>1</v>
      </c>
      <c r="D213" s="1128"/>
      <c r="E213" s="313">
        <f t="shared" si="27"/>
        <v>0.05</v>
      </c>
      <c r="F213" s="1128"/>
      <c r="G213" s="313">
        <f t="shared" si="28"/>
        <v>0.1</v>
      </c>
      <c r="H213" s="1128"/>
      <c r="I213" s="313">
        <f t="shared" si="29"/>
        <v>1</v>
      </c>
      <c r="J213" s="1128"/>
      <c r="K213" s="313">
        <f t="shared" si="30"/>
        <v>1</v>
      </c>
      <c r="L213" s="1128"/>
      <c r="M213" s="313">
        <f t="shared" si="31"/>
        <v>1</v>
      </c>
      <c r="N213" s="1128"/>
      <c r="O213" s="313">
        <f t="shared" si="32"/>
        <v>1</v>
      </c>
      <c r="P213" s="1128"/>
      <c r="Q213" s="313">
        <f t="shared" si="33"/>
        <v>0.2</v>
      </c>
      <c r="R213" s="1124">
        <f t="shared" si="34"/>
        <v>0</v>
      </c>
      <c r="S213" s="698">
        <f t="shared" si="25"/>
        <v>0</v>
      </c>
    </row>
    <row r="214" spans="1:19">
      <c r="A214" s="491"/>
      <c r="B214" s="348"/>
      <c r="C214" s="313">
        <f t="shared" si="26"/>
        <v>1</v>
      </c>
      <c r="D214" s="1128"/>
      <c r="E214" s="313">
        <f t="shared" si="27"/>
        <v>0.05</v>
      </c>
      <c r="F214" s="1128"/>
      <c r="G214" s="313">
        <f t="shared" si="28"/>
        <v>0.1</v>
      </c>
      <c r="H214" s="1128"/>
      <c r="I214" s="313">
        <f t="shared" si="29"/>
        <v>1</v>
      </c>
      <c r="J214" s="1128"/>
      <c r="K214" s="313">
        <f t="shared" si="30"/>
        <v>1</v>
      </c>
      <c r="L214" s="1128"/>
      <c r="M214" s="313">
        <f t="shared" si="31"/>
        <v>1</v>
      </c>
      <c r="N214" s="1128"/>
      <c r="O214" s="313">
        <f t="shared" si="32"/>
        <v>1</v>
      </c>
      <c r="P214" s="1128"/>
      <c r="Q214" s="313">
        <f t="shared" si="33"/>
        <v>0.2</v>
      </c>
      <c r="R214" s="1124">
        <f t="shared" si="34"/>
        <v>0</v>
      </c>
      <c r="S214" s="698">
        <f t="shared" si="25"/>
        <v>0</v>
      </c>
    </row>
    <row r="215" spans="1:19">
      <c r="A215" s="491"/>
      <c r="B215" s="348"/>
      <c r="C215" s="313">
        <f t="shared" si="26"/>
        <v>1</v>
      </c>
      <c r="D215" s="1128"/>
      <c r="E215" s="313">
        <f t="shared" si="27"/>
        <v>0.05</v>
      </c>
      <c r="F215" s="1128"/>
      <c r="G215" s="313">
        <f t="shared" si="28"/>
        <v>0.1</v>
      </c>
      <c r="H215" s="1128"/>
      <c r="I215" s="313">
        <f t="shared" si="29"/>
        <v>1</v>
      </c>
      <c r="J215" s="1128"/>
      <c r="K215" s="313">
        <f t="shared" si="30"/>
        <v>1</v>
      </c>
      <c r="L215" s="1128"/>
      <c r="M215" s="313">
        <f t="shared" si="31"/>
        <v>1</v>
      </c>
      <c r="N215" s="1128"/>
      <c r="O215" s="313">
        <f t="shared" si="32"/>
        <v>1</v>
      </c>
      <c r="P215" s="1128"/>
      <c r="Q215" s="313">
        <f t="shared" si="33"/>
        <v>0.2</v>
      </c>
      <c r="R215" s="1124">
        <f t="shared" si="34"/>
        <v>0</v>
      </c>
      <c r="S215" s="698">
        <f t="shared" si="25"/>
        <v>0</v>
      </c>
    </row>
    <row r="216" spans="1:19">
      <c r="A216" s="491"/>
      <c r="B216" s="348"/>
      <c r="C216" s="313">
        <f t="shared" si="26"/>
        <v>1</v>
      </c>
      <c r="D216" s="1128"/>
      <c r="E216" s="313">
        <f t="shared" si="27"/>
        <v>0.05</v>
      </c>
      <c r="F216" s="1128"/>
      <c r="G216" s="313">
        <f t="shared" si="28"/>
        <v>0.1</v>
      </c>
      <c r="H216" s="1128"/>
      <c r="I216" s="313">
        <f t="shared" si="29"/>
        <v>1</v>
      </c>
      <c r="J216" s="1128"/>
      <c r="K216" s="313">
        <f t="shared" si="30"/>
        <v>1</v>
      </c>
      <c r="L216" s="1128"/>
      <c r="M216" s="313">
        <f t="shared" si="31"/>
        <v>1</v>
      </c>
      <c r="N216" s="1128"/>
      <c r="O216" s="313">
        <f t="shared" si="32"/>
        <v>1</v>
      </c>
      <c r="P216" s="1128"/>
      <c r="Q216" s="313">
        <f t="shared" si="33"/>
        <v>0.2</v>
      </c>
      <c r="R216" s="1124">
        <f t="shared" si="34"/>
        <v>0</v>
      </c>
      <c r="S216" s="698">
        <f t="shared" ref="S216:S279" si="35">ROUND(R216*B216/10000,0)</f>
        <v>0</v>
      </c>
    </row>
    <row r="217" spans="1:19">
      <c r="A217" s="491"/>
      <c r="B217" s="348"/>
      <c r="C217" s="313">
        <f t="shared" si="26"/>
        <v>1</v>
      </c>
      <c r="D217" s="1128"/>
      <c r="E217" s="313">
        <f t="shared" si="27"/>
        <v>0.05</v>
      </c>
      <c r="F217" s="1128"/>
      <c r="G217" s="313">
        <f t="shared" si="28"/>
        <v>0.1</v>
      </c>
      <c r="H217" s="1128"/>
      <c r="I217" s="313">
        <f t="shared" si="29"/>
        <v>1</v>
      </c>
      <c r="J217" s="1128"/>
      <c r="K217" s="313">
        <f t="shared" si="30"/>
        <v>1</v>
      </c>
      <c r="L217" s="1128"/>
      <c r="M217" s="313">
        <f t="shared" si="31"/>
        <v>1</v>
      </c>
      <c r="N217" s="1128"/>
      <c r="O217" s="313">
        <f t="shared" si="32"/>
        <v>1</v>
      </c>
      <c r="P217" s="1128"/>
      <c r="Q217" s="313">
        <f t="shared" si="33"/>
        <v>0.2</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0.05</v>
      </c>
      <c r="F218" s="1128"/>
      <c r="G218" s="313">
        <f t="shared" ref="G218:G281" si="38">(SUMIF($7:$7,F218,$8:$8)-SUMIF($7:$7,$F$24,$8:$8)+100)/100</f>
        <v>0.1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0.2</v>
      </c>
      <c r="R218" s="1124">
        <f t="shared" ref="R218:R281" si="44">IF(B218="",0,ROUND($R$24*C218*E218*G218*I218*K218*M218*O218*Q218,0))</f>
        <v>0</v>
      </c>
      <c r="S218" s="698">
        <f t="shared" si="35"/>
        <v>0</v>
      </c>
    </row>
    <row r="219" spans="1:19">
      <c r="A219" s="491"/>
      <c r="B219" s="348"/>
      <c r="C219" s="313">
        <f t="shared" si="36"/>
        <v>1</v>
      </c>
      <c r="D219" s="1128"/>
      <c r="E219" s="313">
        <f t="shared" si="37"/>
        <v>0.05</v>
      </c>
      <c r="F219" s="1128"/>
      <c r="G219" s="313">
        <f t="shared" si="38"/>
        <v>0.1</v>
      </c>
      <c r="H219" s="1128"/>
      <c r="I219" s="313">
        <f t="shared" si="39"/>
        <v>1</v>
      </c>
      <c r="J219" s="1128"/>
      <c r="K219" s="313">
        <f t="shared" si="40"/>
        <v>1</v>
      </c>
      <c r="L219" s="1128"/>
      <c r="M219" s="313">
        <f t="shared" si="41"/>
        <v>1</v>
      </c>
      <c r="N219" s="1128"/>
      <c r="O219" s="313">
        <f t="shared" si="42"/>
        <v>1</v>
      </c>
      <c r="P219" s="1128"/>
      <c r="Q219" s="313">
        <f t="shared" si="43"/>
        <v>0.2</v>
      </c>
      <c r="R219" s="1124">
        <f t="shared" si="44"/>
        <v>0</v>
      </c>
      <c r="S219" s="698">
        <f t="shared" si="35"/>
        <v>0</v>
      </c>
    </row>
    <row r="220" spans="1:19">
      <c r="A220" s="491"/>
      <c r="B220" s="348"/>
      <c r="C220" s="313">
        <f t="shared" si="36"/>
        <v>1</v>
      </c>
      <c r="D220" s="1128"/>
      <c r="E220" s="313">
        <f t="shared" si="37"/>
        <v>0.05</v>
      </c>
      <c r="F220" s="1128"/>
      <c r="G220" s="313">
        <f t="shared" si="38"/>
        <v>0.1</v>
      </c>
      <c r="H220" s="1128"/>
      <c r="I220" s="313">
        <f t="shared" si="39"/>
        <v>1</v>
      </c>
      <c r="J220" s="1128"/>
      <c r="K220" s="313">
        <f t="shared" si="40"/>
        <v>1</v>
      </c>
      <c r="L220" s="1128"/>
      <c r="M220" s="313">
        <f t="shared" si="41"/>
        <v>1</v>
      </c>
      <c r="N220" s="1128"/>
      <c r="O220" s="313">
        <f t="shared" si="42"/>
        <v>1</v>
      </c>
      <c r="P220" s="1128"/>
      <c r="Q220" s="313">
        <f t="shared" si="43"/>
        <v>0.2</v>
      </c>
      <c r="R220" s="1124">
        <f t="shared" si="44"/>
        <v>0</v>
      </c>
      <c r="S220" s="698">
        <f t="shared" si="35"/>
        <v>0</v>
      </c>
    </row>
    <row r="221" spans="1:19">
      <c r="A221" s="491"/>
      <c r="B221" s="348"/>
      <c r="C221" s="313">
        <f t="shared" si="36"/>
        <v>1</v>
      </c>
      <c r="D221" s="1128"/>
      <c r="E221" s="313">
        <f t="shared" si="37"/>
        <v>0.05</v>
      </c>
      <c r="F221" s="1128"/>
      <c r="G221" s="313">
        <f t="shared" si="38"/>
        <v>0.1</v>
      </c>
      <c r="H221" s="1128"/>
      <c r="I221" s="313">
        <f t="shared" si="39"/>
        <v>1</v>
      </c>
      <c r="J221" s="1128"/>
      <c r="K221" s="313">
        <f t="shared" si="40"/>
        <v>1</v>
      </c>
      <c r="L221" s="1128"/>
      <c r="M221" s="313">
        <f t="shared" si="41"/>
        <v>1</v>
      </c>
      <c r="N221" s="1128"/>
      <c r="O221" s="313">
        <f t="shared" si="42"/>
        <v>1</v>
      </c>
      <c r="P221" s="1128"/>
      <c r="Q221" s="313">
        <f t="shared" si="43"/>
        <v>0.2</v>
      </c>
      <c r="R221" s="1124">
        <f t="shared" si="44"/>
        <v>0</v>
      </c>
      <c r="S221" s="698">
        <f t="shared" si="35"/>
        <v>0</v>
      </c>
    </row>
    <row r="222" spans="1:19">
      <c r="A222" s="491"/>
      <c r="B222" s="348"/>
      <c r="C222" s="313">
        <f t="shared" si="36"/>
        <v>1</v>
      </c>
      <c r="D222" s="1128"/>
      <c r="E222" s="313">
        <f t="shared" si="37"/>
        <v>0.05</v>
      </c>
      <c r="F222" s="1128"/>
      <c r="G222" s="313">
        <f t="shared" si="38"/>
        <v>0.1</v>
      </c>
      <c r="H222" s="1128"/>
      <c r="I222" s="313">
        <f t="shared" si="39"/>
        <v>1</v>
      </c>
      <c r="J222" s="1128"/>
      <c r="K222" s="313">
        <f t="shared" si="40"/>
        <v>1</v>
      </c>
      <c r="L222" s="1128"/>
      <c r="M222" s="313">
        <f t="shared" si="41"/>
        <v>1</v>
      </c>
      <c r="N222" s="1128"/>
      <c r="O222" s="313">
        <f t="shared" si="42"/>
        <v>1</v>
      </c>
      <c r="P222" s="1128"/>
      <c r="Q222" s="313">
        <f t="shared" si="43"/>
        <v>0.2</v>
      </c>
      <c r="R222" s="1124">
        <f t="shared" si="44"/>
        <v>0</v>
      </c>
      <c r="S222" s="698">
        <f t="shared" si="35"/>
        <v>0</v>
      </c>
    </row>
    <row r="223" spans="1:19">
      <c r="A223" s="491"/>
      <c r="B223" s="348"/>
      <c r="C223" s="313">
        <f t="shared" si="36"/>
        <v>1</v>
      </c>
      <c r="D223" s="1128"/>
      <c r="E223" s="313">
        <f t="shared" si="37"/>
        <v>0.05</v>
      </c>
      <c r="F223" s="1128"/>
      <c r="G223" s="313">
        <f t="shared" si="38"/>
        <v>0.1</v>
      </c>
      <c r="H223" s="1128"/>
      <c r="I223" s="313">
        <f t="shared" si="39"/>
        <v>1</v>
      </c>
      <c r="J223" s="1128"/>
      <c r="K223" s="313">
        <f t="shared" si="40"/>
        <v>1</v>
      </c>
      <c r="L223" s="1128"/>
      <c r="M223" s="313">
        <f t="shared" si="41"/>
        <v>1</v>
      </c>
      <c r="N223" s="1128"/>
      <c r="O223" s="313">
        <f t="shared" si="42"/>
        <v>1</v>
      </c>
      <c r="P223" s="1128"/>
      <c r="Q223" s="313">
        <f t="shared" si="43"/>
        <v>0.2</v>
      </c>
      <c r="R223" s="1124">
        <f t="shared" si="44"/>
        <v>0</v>
      </c>
      <c r="S223" s="698">
        <f t="shared" si="35"/>
        <v>0</v>
      </c>
    </row>
    <row r="224" spans="1:19">
      <c r="A224" s="491"/>
      <c r="B224" s="348"/>
      <c r="C224" s="313">
        <f t="shared" si="36"/>
        <v>1</v>
      </c>
      <c r="D224" s="1128"/>
      <c r="E224" s="313">
        <f t="shared" si="37"/>
        <v>0.05</v>
      </c>
      <c r="F224" s="1128"/>
      <c r="G224" s="313">
        <f t="shared" si="38"/>
        <v>0.1</v>
      </c>
      <c r="H224" s="1128"/>
      <c r="I224" s="313">
        <f t="shared" si="39"/>
        <v>1</v>
      </c>
      <c r="J224" s="1128"/>
      <c r="K224" s="313">
        <f t="shared" si="40"/>
        <v>1</v>
      </c>
      <c r="L224" s="1128"/>
      <c r="M224" s="313">
        <f t="shared" si="41"/>
        <v>1</v>
      </c>
      <c r="N224" s="1128"/>
      <c r="O224" s="313">
        <f t="shared" si="42"/>
        <v>1</v>
      </c>
      <c r="P224" s="1128"/>
      <c r="Q224" s="313">
        <f t="shared" si="43"/>
        <v>0.2</v>
      </c>
      <c r="R224" s="1124">
        <f t="shared" si="44"/>
        <v>0</v>
      </c>
      <c r="S224" s="698">
        <f t="shared" si="35"/>
        <v>0</v>
      </c>
    </row>
    <row r="225" spans="1:19">
      <c r="A225" s="491"/>
      <c r="B225" s="348"/>
      <c r="C225" s="313">
        <f t="shared" si="36"/>
        <v>1</v>
      </c>
      <c r="D225" s="1128"/>
      <c r="E225" s="313">
        <f t="shared" si="37"/>
        <v>0.05</v>
      </c>
      <c r="F225" s="1128"/>
      <c r="G225" s="313">
        <f t="shared" si="38"/>
        <v>0.1</v>
      </c>
      <c r="H225" s="1128"/>
      <c r="I225" s="313">
        <f t="shared" si="39"/>
        <v>1</v>
      </c>
      <c r="J225" s="1128"/>
      <c r="K225" s="313">
        <f t="shared" si="40"/>
        <v>1</v>
      </c>
      <c r="L225" s="1128"/>
      <c r="M225" s="313">
        <f t="shared" si="41"/>
        <v>1</v>
      </c>
      <c r="N225" s="1128"/>
      <c r="O225" s="313">
        <f t="shared" si="42"/>
        <v>1</v>
      </c>
      <c r="P225" s="1128"/>
      <c r="Q225" s="313">
        <f t="shared" si="43"/>
        <v>0.2</v>
      </c>
      <c r="R225" s="1124">
        <f t="shared" si="44"/>
        <v>0</v>
      </c>
      <c r="S225" s="698">
        <f t="shared" si="35"/>
        <v>0</v>
      </c>
    </row>
    <row r="226" spans="1:19">
      <c r="A226" s="491"/>
      <c r="B226" s="348"/>
      <c r="C226" s="313">
        <f t="shared" si="36"/>
        <v>1</v>
      </c>
      <c r="D226" s="1128"/>
      <c r="E226" s="313">
        <f t="shared" si="37"/>
        <v>0.05</v>
      </c>
      <c r="F226" s="1128"/>
      <c r="G226" s="313">
        <f t="shared" si="38"/>
        <v>0.1</v>
      </c>
      <c r="H226" s="1128"/>
      <c r="I226" s="313">
        <f t="shared" si="39"/>
        <v>1</v>
      </c>
      <c r="J226" s="1128"/>
      <c r="K226" s="313">
        <f t="shared" si="40"/>
        <v>1</v>
      </c>
      <c r="L226" s="1128"/>
      <c r="M226" s="313">
        <f t="shared" si="41"/>
        <v>1</v>
      </c>
      <c r="N226" s="1128"/>
      <c r="O226" s="313">
        <f t="shared" si="42"/>
        <v>1</v>
      </c>
      <c r="P226" s="1128"/>
      <c r="Q226" s="313">
        <f t="shared" si="43"/>
        <v>0.2</v>
      </c>
      <c r="R226" s="1124">
        <f t="shared" si="44"/>
        <v>0</v>
      </c>
      <c r="S226" s="698">
        <f t="shared" si="35"/>
        <v>0</v>
      </c>
    </row>
    <row r="227" spans="1:19">
      <c r="A227" s="491"/>
      <c r="B227" s="348"/>
      <c r="C227" s="313">
        <f t="shared" si="36"/>
        <v>1</v>
      </c>
      <c r="D227" s="1128"/>
      <c r="E227" s="313">
        <f t="shared" si="37"/>
        <v>0.05</v>
      </c>
      <c r="F227" s="1128"/>
      <c r="G227" s="313">
        <f t="shared" si="38"/>
        <v>0.1</v>
      </c>
      <c r="H227" s="1128"/>
      <c r="I227" s="313">
        <f t="shared" si="39"/>
        <v>1</v>
      </c>
      <c r="J227" s="1128"/>
      <c r="K227" s="313">
        <f t="shared" si="40"/>
        <v>1</v>
      </c>
      <c r="L227" s="1128"/>
      <c r="M227" s="313">
        <f t="shared" si="41"/>
        <v>1</v>
      </c>
      <c r="N227" s="1128"/>
      <c r="O227" s="313">
        <f t="shared" si="42"/>
        <v>1</v>
      </c>
      <c r="P227" s="1128"/>
      <c r="Q227" s="313">
        <f t="shared" si="43"/>
        <v>0.2</v>
      </c>
      <c r="R227" s="1124">
        <f t="shared" si="44"/>
        <v>0</v>
      </c>
      <c r="S227" s="698">
        <f t="shared" si="35"/>
        <v>0</v>
      </c>
    </row>
    <row r="228" spans="1:19">
      <c r="A228" s="491"/>
      <c r="B228" s="348"/>
      <c r="C228" s="313">
        <f t="shared" si="36"/>
        <v>1</v>
      </c>
      <c r="D228" s="1128"/>
      <c r="E228" s="313">
        <f t="shared" si="37"/>
        <v>0.05</v>
      </c>
      <c r="F228" s="1128"/>
      <c r="G228" s="313">
        <f t="shared" si="38"/>
        <v>0.1</v>
      </c>
      <c r="H228" s="1128"/>
      <c r="I228" s="313">
        <f t="shared" si="39"/>
        <v>1</v>
      </c>
      <c r="J228" s="1128"/>
      <c r="K228" s="313">
        <f t="shared" si="40"/>
        <v>1</v>
      </c>
      <c r="L228" s="1128"/>
      <c r="M228" s="313">
        <f t="shared" si="41"/>
        <v>1</v>
      </c>
      <c r="N228" s="1128"/>
      <c r="O228" s="313">
        <f t="shared" si="42"/>
        <v>1</v>
      </c>
      <c r="P228" s="1128"/>
      <c r="Q228" s="313">
        <f t="shared" si="43"/>
        <v>0.2</v>
      </c>
      <c r="R228" s="1124">
        <f t="shared" si="44"/>
        <v>0</v>
      </c>
      <c r="S228" s="698">
        <f t="shared" si="35"/>
        <v>0</v>
      </c>
    </row>
    <row r="229" spans="1:19">
      <c r="A229" s="491"/>
      <c r="B229" s="348"/>
      <c r="C229" s="313">
        <f t="shared" si="36"/>
        <v>1</v>
      </c>
      <c r="D229" s="1128"/>
      <c r="E229" s="313">
        <f t="shared" si="37"/>
        <v>0.05</v>
      </c>
      <c r="F229" s="1128"/>
      <c r="G229" s="313">
        <f t="shared" si="38"/>
        <v>0.1</v>
      </c>
      <c r="H229" s="1128"/>
      <c r="I229" s="313">
        <f t="shared" si="39"/>
        <v>1</v>
      </c>
      <c r="J229" s="1128"/>
      <c r="K229" s="313">
        <f t="shared" si="40"/>
        <v>1</v>
      </c>
      <c r="L229" s="1128"/>
      <c r="M229" s="313">
        <f t="shared" si="41"/>
        <v>1</v>
      </c>
      <c r="N229" s="1128"/>
      <c r="O229" s="313">
        <f t="shared" si="42"/>
        <v>1</v>
      </c>
      <c r="P229" s="1128"/>
      <c r="Q229" s="313">
        <f t="shared" si="43"/>
        <v>0.2</v>
      </c>
      <c r="R229" s="1124">
        <f t="shared" si="44"/>
        <v>0</v>
      </c>
      <c r="S229" s="698">
        <f t="shared" si="35"/>
        <v>0</v>
      </c>
    </row>
    <row r="230" spans="1:19">
      <c r="A230" s="491"/>
      <c r="B230" s="348"/>
      <c r="C230" s="313">
        <f t="shared" si="36"/>
        <v>1</v>
      </c>
      <c r="D230" s="1128"/>
      <c r="E230" s="313">
        <f t="shared" si="37"/>
        <v>0.05</v>
      </c>
      <c r="F230" s="1128"/>
      <c r="G230" s="313">
        <f t="shared" si="38"/>
        <v>0.1</v>
      </c>
      <c r="H230" s="1128"/>
      <c r="I230" s="313">
        <f t="shared" si="39"/>
        <v>1</v>
      </c>
      <c r="J230" s="1128"/>
      <c r="K230" s="313">
        <f t="shared" si="40"/>
        <v>1</v>
      </c>
      <c r="L230" s="1128"/>
      <c r="M230" s="313">
        <f t="shared" si="41"/>
        <v>1</v>
      </c>
      <c r="N230" s="1128"/>
      <c r="O230" s="313">
        <f t="shared" si="42"/>
        <v>1</v>
      </c>
      <c r="P230" s="1128"/>
      <c r="Q230" s="313">
        <f t="shared" si="43"/>
        <v>0.2</v>
      </c>
      <c r="R230" s="1124">
        <f t="shared" si="44"/>
        <v>0</v>
      </c>
      <c r="S230" s="698">
        <f t="shared" si="35"/>
        <v>0</v>
      </c>
    </row>
    <row r="231" spans="1:19">
      <c r="A231" s="491"/>
      <c r="B231" s="348"/>
      <c r="C231" s="313">
        <f t="shared" si="36"/>
        <v>1</v>
      </c>
      <c r="D231" s="1128"/>
      <c r="E231" s="313">
        <f t="shared" si="37"/>
        <v>0.05</v>
      </c>
      <c r="F231" s="1128"/>
      <c r="G231" s="313">
        <f t="shared" si="38"/>
        <v>0.1</v>
      </c>
      <c r="H231" s="1128"/>
      <c r="I231" s="313">
        <f t="shared" si="39"/>
        <v>1</v>
      </c>
      <c r="J231" s="1128"/>
      <c r="K231" s="313">
        <f t="shared" si="40"/>
        <v>1</v>
      </c>
      <c r="L231" s="1128"/>
      <c r="M231" s="313">
        <f t="shared" si="41"/>
        <v>1</v>
      </c>
      <c r="N231" s="1128"/>
      <c r="O231" s="313">
        <f t="shared" si="42"/>
        <v>1</v>
      </c>
      <c r="P231" s="1128"/>
      <c r="Q231" s="313">
        <f t="shared" si="43"/>
        <v>0.2</v>
      </c>
      <c r="R231" s="1124">
        <f t="shared" si="44"/>
        <v>0</v>
      </c>
      <c r="S231" s="698">
        <f t="shared" si="35"/>
        <v>0</v>
      </c>
    </row>
    <row r="232" spans="1:19">
      <c r="A232" s="491"/>
      <c r="B232" s="348"/>
      <c r="C232" s="313">
        <f t="shared" si="36"/>
        <v>1</v>
      </c>
      <c r="D232" s="1128"/>
      <c r="E232" s="313">
        <f t="shared" si="37"/>
        <v>0.05</v>
      </c>
      <c r="F232" s="1128"/>
      <c r="G232" s="313">
        <f t="shared" si="38"/>
        <v>0.1</v>
      </c>
      <c r="H232" s="1128"/>
      <c r="I232" s="313">
        <f t="shared" si="39"/>
        <v>1</v>
      </c>
      <c r="J232" s="1128"/>
      <c r="K232" s="313">
        <f t="shared" si="40"/>
        <v>1</v>
      </c>
      <c r="L232" s="1128"/>
      <c r="M232" s="313">
        <f t="shared" si="41"/>
        <v>1</v>
      </c>
      <c r="N232" s="1128"/>
      <c r="O232" s="313">
        <f t="shared" si="42"/>
        <v>1</v>
      </c>
      <c r="P232" s="1128"/>
      <c r="Q232" s="313">
        <f t="shared" si="43"/>
        <v>0.2</v>
      </c>
      <c r="R232" s="1124">
        <f t="shared" si="44"/>
        <v>0</v>
      </c>
      <c r="S232" s="698">
        <f t="shared" si="35"/>
        <v>0</v>
      </c>
    </row>
    <row r="233" spans="1:19">
      <c r="A233" s="491"/>
      <c r="B233" s="348"/>
      <c r="C233" s="313">
        <f t="shared" si="36"/>
        <v>1</v>
      </c>
      <c r="D233" s="1128"/>
      <c r="E233" s="313">
        <f t="shared" si="37"/>
        <v>0.05</v>
      </c>
      <c r="F233" s="1128"/>
      <c r="G233" s="313">
        <f t="shared" si="38"/>
        <v>0.1</v>
      </c>
      <c r="H233" s="1128"/>
      <c r="I233" s="313">
        <f t="shared" si="39"/>
        <v>1</v>
      </c>
      <c r="J233" s="1128"/>
      <c r="K233" s="313">
        <f t="shared" si="40"/>
        <v>1</v>
      </c>
      <c r="L233" s="1128"/>
      <c r="M233" s="313">
        <f t="shared" si="41"/>
        <v>1</v>
      </c>
      <c r="N233" s="1128"/>
      <c r="O233" s="313">
        <f t="shared" si="42"/>
        <v>1</v>
      </c>
      <c r="P233" s="1128"/>
      <c r="Q233" s="313">
        <f t="shared" si="43"/>
        <v>0.2</v>
      </c>
      <c r="R233" s="1124">
        <f t="shared" si="44"/>
        <v>0</v>
      </c>
      <c r="S233" s="698">
        <f t="shared" si="35"/>
        <v>0</v>
      </c>
    </row>
    <row r="234" spans="1:19">
      <c r="A234" s="491"/>
      <c r="B234" s="348"/>
      <c r="C234" s="313">
        <f t="shared" si="36"/>
        <v>1</v>
      </c>
      <c r="D234" s="1128"/>
      <c r="E234" s="313">
        <f t="shared" si="37"/>
        <v>0.05</v>
      </c>
      <c r="F234" s="1128"/>
      <c r="G234" s="313">
        <f t="shared" si="38"/>
        <v>0.1</v>
      </c>
      <c r="H234" s="1128"/>
      <c r="I234" s="313">
        <f t="shared" si="39"/>
        <v>1</v>
      </c>
      <c r="J234" s="1128"/>
      <c r="K234" s="313">
        <f t="shared" si="40"/>
        <v>1</v>
      </c>
      <c r="L234" s="1128"/>
      <c r="M234" s="313">
        <f t="shared" si="41"/>
        <v>1</v>
      </c>
      <c r="N234" s="1128"/>
      <c r="O234" s="313">
        <f t="shared" si="42"/>
        <v>1</v>
      </c>
      <c r="P234" s="1128"/>
      <c r="Q234" s="313">
        <f t="shared" si="43"/>
        <v>0.2</v>
      </c>
      <c r="R234" s="1124">
        <f t="shared" si="44"/>
        <v>0</v>
      </c>
      <c r="S234" s="698">
        <f t="shared" si="35"/>
        <v>0</v>
      </c>
    </row>
    <row r="235" spans="1:19">
      <c r="A235" s="491"/>
      <c r="B235" s="348"/>
      <c r="C235" s="313">
        <f t="shared" si="36"/>
        <v>1</v>
      </c>
      <c r="D235" s="1128"/>
      <c r="E235" s="313">
        <f t="shared" si="37"/>
        <v>0.05</v>
      </c>
      <c r="F235" s="1128"/>
      <c r="G235" s="313">
        <f t="shared" si="38"/>
        <v>0.1</v>
      </c>
      <c r="H235" s="1128"/>
      <c r="I235" s="313">
        <f t="shared" si="39"/>
        <v>1</v>
      </c>
      <c r="J235" s="1128"/>
      <c r="K235" s="313">
        <f t="shared" si="40"/>
        <v>1</v>
      </c>
      <c r="L235" s="1128"/>
      <c r="M235" s="313">
        <f t="shared" si="41"/>
        <v>1</v>
      </c>
      <c r="N235" s="1128"/>
      <c r="O235" s="313">
        <f t="shared" si="42"/>
        <v>1</v>
      </c>
      <c r="P235" s="1128"/>
      <c r="Q235" s="313">
        <f t="shared" si="43"/>
        <v>0.2</v>
      </c>
      <c r="R235" s="1124">
        <f t="shared" si="44"/>
        <v>0</v>
      </c>
      <c r="S235" s="698">
        <f t="shared" si="35"/>
        <v>0</v>
      </c>
    </row>
    <row r="236" spans="1:19">
      <c r="A236" s="491"/>
      <c r="B236" s="348"/>
      <c r="C236" s="313">
        <f t="shared" si="36"/>
        <v>1</v>
      </c>
      <c r="D236" s="1128"/>
      <c r="E236" s="313">
        <f t="shared" si="37"/>
        <v>0.05</v>
      </c>
      <c r="F236" s="1128"/>
      <c r="G236" s="313">
        <f t="shared" si="38"/>
        <v>0.1</v>
      </c>
      <c r="H236" s="1128"/>
      <c r="I236" s="313">
        <f t="shared" si="39"/>
        <v>1</v>
      </c>
      <c r="J236" s="1128"/>
      <c r="K236" s="313">
        <f t="shared" si="40"/>
        <v>1</v>
      </c>
      <c r="L236" s="1128"/>
      <c r="M236" s="313">
        <f t="shared" si="41"/>
        <v>1</v>
      </c>
      <c r="N236" s="1128"/>
      <c r="O236" s="313">
        <f t="shared" si="42"/>
        <v>1</v>
      </c>
      <c r="P236" s="1128"/>
      <c r="Q236" s="313">
        <f t="shared" si="43"/>
        <v>0.2</v>
      </c>
      <c r="R236" s="1124">
        <f t="shared" si="44"/>
        <v>0</v>
      </c>
      <c r="S236" s="698">
        <f t="shared" si="35"/>
        <v>0</v>
      </c>
    </row>
    <row r="237" spans="1:19">
      <c r="A237" s="491"/>
      <c r="B237" s="348"/>
      <c r="C237" s="313">
        <f t="shared" si="36"/>
        <v>1</v>
      </c>
      <c r="D237" s="1128"/>
      <c r="E237" s="313">
        <f t="shared" si="37"/>
        <v>0.05</v>
      </c>
      <c r="F237" s="1128"/>
      <c r="G237" s="313">
        <f t="shared" si="38"/>
        <v>0.1</v>
      </c>
      <c r="H237" s="1128"/>
      <c r="I237" s="313">
        <f t="shared" si="39"/>
        <v>1</v>
      </c>
      <c r="J237" s="1128"/>
      <c r="K237" s="313">
        <f t="shared" si="40"/>
        <v>1</v>
      </c>
      <c r="L237" s="1128"/>
      <c r="M237" s="313">
        <f t="shared" si="41"/>
        <v>1</v>
      </c>
      <c r="N237" s="1128"/>
      <c r="O237" s="313">
        <f t="shared" si="42"/>
        <v>1</v>
      </c>
      <c r="P237" s="1128"/>
      <c r="Q237" s="313">
        <f t="shared" si="43"/>
        <v>0.2</v>
      </c>
      <c r="R237" s="1124">
        <f t="shared" si="44"/>
        <v>0</v>
      </c>
      <c r="S237" s="698">
        <f t="shared" si="35"/>
        <v>0</v>
      </c>
    </row>
    <row r="238" spans="1:19">
      <c r="A238" s="491"/>
      <c r="B238" s="348"/>
      <c r="C238" s="313">
        <f t="shared" si="36"/>
        <v>1</v>
      </c>
      <c r="D238" s="1128"/>
      <c r="E238" s="313">
        <f t="shared" si="37"/>
        <v>0.05</v>
      </c>
      <c r="F238" s="1128"/>
      <c r="G238" s="313">
        <f t="shared" si="38"/>
        <v>0.1</v>
      </c>
      <c r="H238" s="1128"/>
      <c r="I238" s="313">
        <f t="shared" si="39"/>
        <v>1</v>
      </c>
      <c r="J238" s="1128"/>
      <c r="K238" s="313">
        <f t="shared" si="40"/>
        <v>1</v>
      </c>
      <c r="L238" s="1128"/>
      <c r="M238" s="313">
        <f t="shared" si="41"/>
        <v>1</v>
      </c>
      <c r="N238" s="1128"/>
      <c r="O238" s="313">
        <f t="shared" si="42"/>
        <v>1</v>
      </c>
      <c r="P238" s="1128"/>
      <c r="Q238" s="313">
        <f t="shared" si="43"/>
        <v>0.2</v>
      </c>
      <c r="R238" s="1124">
        <f t="shared" si="44"/>
        <v>0</v>
      </c>
      <c r="S238" s="698">
        <f t="shared" si="35"/>
        <v>0</v>
      </c>
    </row>
    <row r="239" spans="1:19">
      <c r="A239" s="491"/>
      <c r="B239" s="348"/>
      <c r="C239" s="313">
        <f t="shared" si="36"/>
        <v>1</v>
      </c>
      <c r="D239" s="1128"/>
      <c r="E239" s="313">
        <f t="shared" si="37"/>
        <v>0.05</v>
      </c>
      <c r="F239" s="1128"/>
      <c r="G239" s="313">
        <f t="shared" si="38"/>
        <v>0.1</v>
      </c>
      <c r="H239" s="1128"/>
      <c r="I239" s="313">
        <f t="shared" si="39"/>
        <v>1</v>
      </c>
      <c r="J239" s="1128"/>
      <c r="K239" s="313">
        <f t="shared" si="40"/>
        <v>1</v>
      </c>
      <c r="L239" s="1128"/>
      <c r="M239" s="313">
        <f t="shared" si="41"/>
        <v>1</v>
      </c>
      <c r="N239" s="1128"/>
      <c r="O239" s="313">
        <f t="shared" si="42"/>
        <v>1</v>
      </c>
      <c r="P239" s="1128"/>
      <c r="Q239" s="313">
        <f t="shared" si="43"/>
        <v>0.2</v>
      </c>
      <c r="R239" s="1124">
        <f t="shared" si="44"/>
        <v>0</v>
      </c>
      <c r="S239" s="698">
        <f t="shared" si="35"/>
        <v>0</v>
      </c>
    </row>
    <row r="240" spans="1:19">
      <c r="A240" s="491"/>
      <c r="B240" s="348"/>
      <c r="C240" s="313">
        <f t="shared" si="36"/>
        <v>1</v>
      </c>
      <c r="D240" s="1128"/>
      <c r="E240" s="313">
        <f t="shared" si="37"/>
        <v>0.05</v>
      </c>
      <c r="F240" s="1128"/>
      <c r="G240" s="313">
        <f t="shared" si="38"/>
        <v>0.1</v>
      </c>
      <c r="H240" s="1128"/>
      <c r="I240" s="313">
        <f t="shared" si="39"/>
        <v>1</v>
      </c>
      <c r="J240" s="1128"/>
      <c r="K240" s="313">
        <f t="shared" si="40"/>
        <v>1</v>
      </c>
      <c r="L240" s="1128"/>
      <c r="M240" s="313">
        <f t="shared" si="41"/>
        <v>1</v>
      </c>
      <c r="N240" s="1128"/>
      <c r="O240" s="313">
        <f t="shared" si="42"/>
        <v>1</v>
      </c>
      <c r="P240" s="1128"/>
      <c r="Q240" s="313">
        <f t="shared" si="43"/>
        <v>0.2</v>
      </c>
      <c r="R240" s="1124">
        <f t="shared" si="44"/>
        <v>0</v>
      </c>
      <c r="S240" s="698">
        <f t="shared" si="35"/>
        <v>0</v>
      </c>
    </row>
    <row r="241" spans="1:19">
      <c r="A241" s="491"/>
      <c r="B241" s="348"/>
      <c r="C241" s="313">
        <f t="shared" si="36"/>
        <v>1</v>
      </c>
      <c r="D241" s="1128"/>
      <c r="E241" s="313">
        <f t="shared" si="37"/>
        <v>0.05</v>
      </c>
      <c r="F241" s="1128"/>
      <c r="G241" s="313">
        <f t="shared" si="38"/>
        <v>0.1</v>
      </c>
      <c r="H241" s="1128"/>
      <c r="I241" s="313">
        <f t="shared" si="39"/>
        <v>1</v>
      </c>
      <c r="J241" s="1128"/>
      <c r="K241" s="313">
        <f t="shared" si="40"/>
        <v>1</v>
      </c>
      <c r="L241" s="1128"/>
      <c r="M241" s="313">
        <f t="shared" si="41"/>
        <v>1</v>
      </c>
      <c r="N241" s="1128"/>
      <c r="O241" s="313">
        <f t="shared" si="42"/>
        <v>1</v>
      </c>
      <c r="P241" s="1128"/>
      <c r="Q241" s="313">
        <f t="shared" si="43"/>
        <v>0.2</v>
      </c>
      <c r="R241" s="1124">
        <f t="shared" si="44"/>
        <v>0</v>
      </c>
      <c r="S241" s="698">
        <f t="shared" si="35"/>
        <v>0</v>
      </c>
    </row>
    <row r="242" spans="1:19">
      <c r="A242" s="491"/>
      <c r="B242" s="348"/>
      <c r="C242" s="313">
        <f t="shared" si="36"/>
        <v>1</v>
      </c>
      <c r="D242" s="1128"/>
      <c r="E242" s="313">
        <f t="shared" si="37"/>
        <v>0.05</v>
      </c>
      <c r="F242" s="1128"/>
      <c r="G242" s="313">
        <f t="shared" si="38"/>
        <v>0.1</v>
      </c>
      <c r="H242" s="1128"/>
      <c r="I242" s="313">
        <f t="shared" si="39"/>
        <v>1</v>
      </c>
      <c r="J242" s="1128"/>
      <c r="K242" s="313">
        <f t="shared" si="40"/>
        <v>1</v>
      </c>
      <c r="L242" s="1128"/>
      <c r="M242" s="313">
        <f t="shared" si="41"/>
        <v>1</v>
      </c>
      <c r="N242" s="1128"/>
      <c r="O242" s="313">
        <f t="shared" si="42"/>
        <v>1</v>
      </c>
      <c r="P242" s="1128"/>
      <c r="Q242" s="313">
        <f t="shared" si="43"/>
        <v>0.2</v>
      </c>
      <c r="R242" s="1124">
        <f t="shared" si="44"/>
        <v>0</v>
      </c>
      <c r="S242" s="698">
        <f t="shared" si="35"/>
        <v>0</v>
      </c>
    </row>
    <row r="243" spans="1:19">
      <c r="A243" s="491"/>
      <c r="B243" s="348"/>
      <c r="C243" s="313">
        <f t="shared" si="36"/>
        <v>1</v>
      </c>
      <c r="D243" s="1128"/>
      <c r="E243" s="313">
        <f t="shared" si="37"/>
        <v>0.05</v>
      </c>
      <c r="F243" s="1128"/>
      <c r="G243" s="313">
        <f t="shared" si="38"/>
        <v>0.1</v>
      </c>
      <c r="H243" s="1128"/>
      <c r="I243" s="313">
        <f t="shared" si="39"/>
        <v>1</v>
      </c>
      <c r="J243" s="1128"/>
      <c r="K243" s="313">
        <f t="shared" si="40"/>
        <v>1</v>
      </c>
      <c r="L243" s="1128"/>
      <c r="M243" s="313">
        <f t="shared" si="41"/>
        <v>1</v>
      </c>
      <c r="N243" s="1128"/>
      <c r="O243" s="313">
        <f t="shared" si="42"/>
        <v>1</v>
      </c>
      <c r="P243" s="1128"/>
      <c r="Q243" s="313">
        <f t="shared" si="43"/>
        <v>0.2</v>
      </c>
      <c r="R243" s="1124">
        <f t="shared" si="44"/>
        <v>0</v>
      </c>
      <c r="S243" s="698">
        <f t="shared" si="35"/>
        <v>0</v>
      </c>
    </row>
    <row r="244" spans="1:19">
      <c r="A244" s="491"/>
      <c r="B244" s="348"/>
      <c r="C244" s="313">
        <f t="shared" si="36"/>
        <v>1</v>
      </c>
      <c r="D244" s="1128"/>
      <c r="E244" s="313">
        <f t="shared" si="37"/>
        <v>0.05</v>
      </c>
      <c r="F244" s="1128"/>
      <c r="G244" s="313">
        <f t="shared" si="38"/>
        <v>0.1</v>
      </c>
      <c r="H244" s="1128"/>
      <c r="I244" s="313">
        <f t="shared" si="39"/>
        <v>1</v>
      </c>
      <c r="J244" s="1128"/>
      <c r="K244" s="313">
        <f t="shared" si="40"/>
        <v>1</v>
      </c>
      <c r="L244" s="1128"/>
      <c r="M244" s="313">
        <f t="shared" si="41"/>
        <v>1</v>
      </c>
      <c r="N244" s="1128"/>
      <c r="O244" s="313">
        <f t="shared" si="42"/>
        <v>1</v>
      </c>
      <c r="P244" s="1128"/>
      <c r="Q244" s="313">
        <f t="shared" si="43"/>
        <v>0.2</v>
      </c>
      <c r="R244" s="1124">
        <f t="shared" si="44"/>
        <v>0</v>
      </c>
      <c r="S244" s="698">
        <f t="shared" si="35"/>
        <v>0</v>
      </c>
    </row>
    <row r="245" spans="1:19">
      <c r="A245" s="491"/>
      <c r="B245" s="348"/>
      <c r="C245" s="313">
        <f t="shared" si="36"/>
        <v>1</v>
      </c>
      <c r="D245" s="1128"/>
      <c r="E245" s="313">
        <f t="shared" si="37"/>
        <v>0.05</v>
      </c>
      <c r="F245" s="1128"/>
      <c r="G245" s="313">
        <f t="shared" si="38"/>
        <v>0.1</v>
      </c>
      <c r="H245" s="1128"/>
      <c r="I245" s="313">
        <f t="shared" si="39"/>
        <v>1</v>
      </c>
      <c r="J245" s="1128"/>
      <c r="K245" s="313">
        <f t="shared" si="40"/>
        <v>1</v>
      </c>
      <c r="L245" s="1128"/>
      <c r="M245" s="313">
        <f t="shared" si="41"/>
        <v>1</v>
      </c>
      <c r="N245" s="1128"/>
      <c r="O245" s="313">
        <f t="shared" si="42"/>
        <v>1</v>
      </c>
      <c r="P245" s="1128"/>
      <c r="Q245" s="313">
        <f t="shared" si="43"/>
        <v>0.2</v>
      </c>
      <c r="R245" s="1124">
        <f t="shared" si="44"/>
        <v>0</v>
      </c>
      <c r="S245" s="698">
        <f t="shared" si="35"/>
        <v>0</v>
      </c>
    </row>
    <row r="246" spans="1:19">
      <c r="A246" s="491"/>
      <c r="B246" s="348"/>
      <c r="C246" s="313">
        <f t="shared" si="36"/>
        <v>1</v>
      </c>
      <c r="D246" s="1128"/>
      <c r="E246" s="313">
        <f t="shared" si="37"/>
        <v>0.05</v>
      </c>
      <c r="F246" s="1128"/>
      <c r="G246" s="313">
        <f t="shared" si="38"/>
        <v>0.1</v>
      </c>
      <c r="H246" s="1128"/>
      <c r="I246" s="313">
        <f t="shared" si="39"/>
        <v>1</v>
      </c>
      <c r="J246" s="1128"/>
      <c r="K246" s="313">
        <f t="shared" si="40"/>
        <v>1</v>
      </c>
      <c r="L246" s="1128"/>
      <c r="M246" s="313">
        <f t="shared" si="41"/>
        <v>1</v>
      </c>
      <c r="N246" s="1128"/>
      <c r="O246" s="313">
        <f t="shared" si="42"/>
        <v>1</v>
      </c>
      <c r="P246" s="1128"/>
      <c r="Q246" s="313">
        <f t="shared" si="43"/>
        <v>0.2</v>
      </c>
      <c r="R246" s="1124">
        <f t="shared" si="44"/>
        <v>0</v>
      </c>
      <c r="S246" s="698">
        <f t="shared" si="35"/>
        <v>0</v>
      </c>
    </row>
    <row r="247" spans="1:19">
      <c r="A247" s="491"/>
      <c r="B247" s="348"/>
      <c r="C247" s="313">
        <f t="shared" si="36"/>
        <v>1</v>
      </c>
      <c r="D247" s="1128"/>
      <c r="E247" s="313">
        <f t="shared" si="37"/>
        <v>0.05</v>
      </c>
      <c r="F247" s="1128"/>
      <c r="G247" s="313">
        <f t="shared" si="38"/>
        <v>0.1</v>
      </c>
      <c r="H247" s="1128"/>
      <c r="I247" s="313">
        <f t="shared" si="39"/>
        <v>1</v>
      </c>
      <c r="J247" s="1128"/>
      <c r="K247" s="313">
        <f t="shared" si="40"/>
        <v>1</v>
      </c>
      <c r="L247" s="1128"/>
      <c r="M247" s="313">
        <f t="shared" si="41"/>
        <v>1</v>
      </c>
      <c r="N247" s="1128"/>
      <c r="O247" s="313">
        <f t="shared" si="42"/>
        <v>1</v>
      </c>
      <c r="P247" s="1128"/>
      <c r="Q247" s="313">
        <f t="shared" si="43"/>
        <v>0.2</v>
      </c>
      <c r="R247" s="1124">
        <f t="shared" si="44"/>
        <v>0</v>
      </c>
      <c r="S247" s="698">
        <f t="shared" si="35"/>
        <v>0</v>
      </c>
    </row>
    <row r="248" spans="1:19">
      <c r="A248" s="491"/>
      <c r="B248" s="348"/>
      <c r="C248" s="313">
        <f t="shared" si="36"/>
        <v>1</v>
      </c>
      <c r="D248" s="1128"/>
      <c r="E248" s="313">
        <f t="shared" si="37"/>
        <v>0.05</v>
      </c>
      <c r="F248" s="1128"/>
      <c r="G248" s="313">
        <f t="shared" si="38"/>
        <v>0.1</v>
      </c>
      <c r="H248" s="1128"/>
      <c r="I248" s="313">
        <f t="shared" si="39"/>
        <v>1</v>
      </c>
      <c r="J248" s="1128"/>
      <c r="K248" s="313">
        <f t="shared" si="40"/>
        <v>1</v>
      </c>
      <c r="L248" s="1128"/>
      <c r="M248" s="313">
        <f t="shared" si="41"/>
        <v>1</v>
      </c>
      <c r="N248" s="1128"/>
      <c r="O248" s="313">
        <f t="shared" si="42"/>
        <v>1</v>
      </c>
      <c r="P248" s="1128"/>
      <c r="Q248" s="313">
        <f t="shared" si="43"/>
        <v>0.2</v>
      </c>
      <c r="R248" s="1124">
        <f t="shared" si="44"/>
        <v>0</v>
      </c>
      <c r="S248" s="698">
        <f t="shared" si="35"/>
        <v>0</v>
      </c>
    </row>
    <row r="249" spans="1:19">
      <c r="A249" s="491"/>
      <c r="B249" s="348"/>
      <c r="C249" s="313">
        <f t="shared" si="36"/>
        <v>1</v>
      </c>
      <c r="D249" s="1128"/>
      <c r="E249" s="313">
        <f t="shared" si="37"/>
        <v>0.05</v>
      </c>
      <c r="F249" s="1128"/>
      <c r="G249" s="313">
        <f t="shared" si="38"/>
        <v>0.1</v>
      </c>
      <c r="H249" s="1128"/>
      <c r="I249" s="313">
        <f t="shared" si="39"/>
        <v>1</v>
      </c>
      <c r="J249" s="1128"/>
      <c r="K249" s="313">
        <f t="shared" si="40"/>
        <v>1</v>
      </c>
      <c r="L249" s="1128"/>
      <c r="M249" s="313">
        <f t="shared" si="41"/>
        <v>1</v>
      </c>
      <c r="N249" s="1128"/>
      <c r="O249" s="313">
        <f t="shared" si="42"/>
        <v>1</v>
      </c>
      <c r="P249" s="1128"/>
      <c r="Q249" s="313">
        <f t="shared" si="43"/>
        <v>0.2</v>
      </c>
      <c r="R249" s="1124">
        <f t="shared" si="44"/>
        <v>0</v>
      </c>
      <c r="S249" s="698">
        <f t="shared" si="35"/>
        <v>0</v>
      </c>
    </row>
    <row r="250" spans="1:19">
      <c r="A250" s="491"/>
      <c r="B250" s="348"/>
      <c r="C250" s="313">
        <f t="shared" si="36"/>
        <v>1</v>
      </c>
      <c r="D250" s="1128"/>
      <c r="E250" s="313">
        <f t="shared" si="37"/>
        <v>0.05</v>
      </c>
      <c r="F250" s="1128"/>
      <c r="G250" s="313">
        <f t="shared" si="38"/>
        <v>0.1</v>
      </c>
      <c r="H250" s="1128"/>
      <c r="I250" s="313">
        <f t="shared" si="39"/>
        <v>1</v>
      </c>
      <c r="J250" s="1128"/>
      <c r="K250" s="313">
        <f t="shared" si="40"/>
        <v>1</v>
      </c>
      <c r="L250" s="1128"/>
      <c r="M250" s="313">
        <f t="shared" si="41"/>
        <v>1</v>
      </c>
      <c r="N250" s="1128"/>
      <c r="O250" s="313">
        <f t="shared" si="42"/>
        <v>1</v>
      </c>
      <c r="P250" s="1128"/>
      <c r="Q250" s="313">
        <f t="shared" si="43"/>
        <v>0.2</v>
      </c>
      <c r="R250" s="1124">
        <f t="shared" si="44"/>
        <v>0</v>
      </c>
      <c r="S250" s="698">
        <f t="shared" si="35"/>
        <v>0</v>
      </c>
    </row>
    <row r="251" spans="1:19">
      <c r="A251" s="491"/>
      <c r="B251" s="348"/>
      <c r="C251" s="313">
        <f t="shared" si="36"/>
        <v>1</v>
      </c>
      <c r="D251" s="1128"/>
      <c r="E251" s="313">
        <f t="shared" si="37"/>
        <v>0.05</v>
      </c>
      <c r="F251" s="1128"/>
      <c r="G251" s="313">
        <f t="shared" si="38"/>
        <v>0.1</v>
      </c>
      <c r="H251" s="1128"/>
      <c r="I251" s="313">
        <f t="shared" si="39"/>
        <v>1</v>
      </c>
      <c r="J251" s="1128"/>
      <c r="K251" s="313">
        <f t="shared" si="40"/>
        <v>1</v>
      </c>
      <c r="L251" s="1128"/>
      <c r="M251" s="313">
        <f t="shared" si="41"/>
        <v>1</v>
      </c>
      <c r="N251" s="1128"/>
      <c r="O251" s="313">
        <f t="shared" si="42"/>
        <v>1</v>
      </c>
      <c r="P251" s="1128"/>
      <c r="Q251" s="313">
        <f t="shared" si="43"/>
        <v>0.2</v>
      </c>
      <c r="R251" s="1124">
        <f t="shared" si="44"/>
        <v>0</v>
      </c>
      <c r="S251" s="698">
        <f t="shared" si="35"/>
        <v>0</v>
      </c>
    </row>
    <row r="252" spans="1:19">
      <c r="A252" s="491"/>
      <c r="B252" s="348"/>
      <c r="C252" s="313">
        <f t="shared" si="36"/>
        <v>1</v>
      </c>
      <c r="D252" s="1128"/>
      <c r="E252" s="313">
        <f t="shared" si="37"/>
        <v>0.05</v>
      </c>
      <c r="F252" s="1128"/>
      <c r="G252" s="313">
        <f t="shared" si="38"/>
        <v>0.1</v>
      </c>
      <c r="H252" s="1128"/>
      <c r="I252" s="313">
        <f t="shared" si="39"/>
        <v>1</v>
      </c>
      <c r="J252" s="1128"/>
      <c r="K252" s="313">
        <f t="shared" si="40"/>
        <v>1</v>
      </c>
      <c r="L252" s="1128"/>
      <c r="M252" s="313">
        <f t="shared" si="41"/>
        <v>1</v>
      </c>
      <c r="N252" s="1128"/>
      <c r="O252" s="313">
        <f t="shared" si="42"/>
        <v>1</v>
      </c>
      <c r="P252" s="1128"/>
      <c r="Q252" s="313">
        <f t="shared" si="43"/>
        <v>0.2</v>
      </c>
      <c r="R252" s="1124">
        <f t="shared" si="44"/>
        <v>0</v>
      </c>
      <c r="S252" s="698">
        <f t="shared" si="35"/>
        <v>0</v>
      </c>
    </row>
    <row r="253" spans="1:19">
      <c r="A253" s="491"/>
      <c r="B253" s="348"/>
      <c r="C253" s="313">
        <f t="shared" si="36"/>
        <v>1</v>
      </c>
      <c r="D253" s="1128"/>
      <c r="E253" s="313">
        <f t="shared" si="37"/>
        <v>0.05</v>
      </c>
      <c r="F253" s="1128"/>
      <c r="G253" s="313">
        <f t="shared" si="38"/>
        <v>0.1</v>
      </c>
      <c r="H253" s="1128"/>
      <c r="I253" s="313">
        <f t="shared" si="39"/>
        <v>1</v>
      </c>
      <c r="J253" s="1128"/>
      <c r="K253" s="313">
        <f t="shared" si="40"/>
        <v>1</v>
      </c>
      <c r="L253" s="1128"/>
      <c r="M253" s="313">
        <f t="shared" si="41"/>
        <v>1</v>
      </c>
      <c r="N253" s="1128"/>
      <c r="O253" s="313">
        <f t="shared" si="42"/>
        <v>1</v>
      </c>
      <c r="P253" s="1128"/>
      <c r="Q253" s="313">
        <f t="shared" si="43"/>
        <v>0.2</v>
      </c>
      <c r="R253" s="1124">
        <f t="shared" si="44"/>
        <v>0</v>
      </c>
      <c r="S253" s="698">
        <f t="shared" si="35"/>
        <v>0</v>
      </c>
    </row>
    <row r="254" spans="1:19">
      <c r="A254" s="491"/>
      <c r="B254" s="348"/>
      <c r="C254" s="313">
        <f t="shared" si="36"/>
        <v>1</v>
      </c>
      <c r="D254" s="1128"/>
      <c r="E254" s="313">
        <f t="shared" si="37"/>
        <v>0.05</v>
      </c>
      <c r="F254" s="1128"/>
      <c r="G254" s="313">
        <f t="shared" si="38"/>
        <v>0.1</v>
      </c>
      <c r="H254" s="1128"/>
      <c r="I254" s="313">
        <f t="shared" si="39"/>
        <v>1</v>
      </c>
      <c r="J254" s="1128"/>
      <c r="K254" s="313">
        <f t="shared" si="40"/>
        <v>1</v>
      </c>
      <c r="L254" s="1128"/>
      <c r="M254" s="313">
        <f t="shared" si="41"/>
        <v>1</v>
      </c>
      <c r="N254" s="1128"/>
      <c r="O254" s="313">
        <f t="shared" si="42"/>
        <v>1</v>
      </c>
      <c r="P254" s="1128"/>
      <c r="Q254" s="313">
        <f t="shared" si="43"/>
        <v>0.2</v>
      </c>
      <c r="R254" s="1124">
        <f t="shared" si="44"/>
        <v>0</v>
      </c>
      <c r="S254" s="698">
        <f t="shared" si="35"/>
        <v>0</v>
      </c>
    </row>
    <row r="255" spans="1:19">
      <c r="A255" s="491"/>
      <c r="B255" s="348"/>
      <c r="C255" s="313">
        <f t="shared" si="36"/>
        <v>1</v>
      </c>
      <c r="D255" s="1128"/>
      <c r="E255" s="313">
        <f t="shared" si="37"/>
        <v>0.05</v>
      </c>
      <c r="F255" s="1128"/>
      <c r="G255" s="313">
        <f t="shared" si="38"/>
        <v>0.1</v>
      </c>
      <c r="H255" s="1128"/>
      <c r="I255" s="313">
        <f t="shared" si="39"/>
        <v>1</v>
      </c>
      <c r="J255" s="1128"/>
      <c r="K255" s="313">
        <f t="shared" si="40"/>
        <v>1</v>
      </c>
      <c r="L255" s="1128"/>
      <c r="M255" s="313">
        <f t="shared" si="41"/>
        <v>1</v>
      </c>
      <c r="N255" s="1128"/>
      <c r="O255" s="313">
        <f t="shared" si="42"/>
        <v>1</v>
      </c>
      <c r="P255" s="1128"/>
      <c r="Q255" s="313">
        <f t="shared" si="43"/>
        <v>0.2</v>
      </c>
      <c r="R255" s="1124">
        <f t="shared" si="44"/>
        <v>0</v>
      </c>
      <c r="S255" s="698">
        <f t="shared" si="35"/>
        <v>0</v>
      </c>
    </row>
    <row r="256" spans="1:19">
      <c r="A256" s="491"/>
      <c r="B256" s="348"/>
      <c r="C256" s="313">
        <f t="shared" si="36"/>
        <v>1</v>
      </c>
      <c r="D256" s="1128"/>
      <c r="E256" s="313">
        <f t="shared" si="37"/>
        <v>0.05</v>
      </c>
      <c r="F256" s="1128"/>
      <c r="G256" s="313">
        <f t="shared" si="38"/>
        <v>0.1</v>
      </c>
      <c r="H256" s="1128"/>
      <c r="I256" s="313">
        <f t="shared" si="39"/>
        <v>1</v>
      </c>
      <c r="J256" s="1128"/>
      <c r="K256" s="313">
        <f t="shared" si="40"/>
        <v>1</v>
      </c>
      <c r="L256" s="1128"/>
      <c r="M256" s="313">
        <f t="shared" si="41"/>
        <v>1</v>
      </c>
      <c r="N256" s="1128"/>
      <c r="O256" s="313">
        <f t="shared" si="42"/>
        <v>1</v>
      </c>
      <c r="P256" s="1128"/>
      <c r="Q256" s="313">
        <f t="shared" si="43"/>
        <v>0.2</v>
      </c>
      <c r="R256" s="1124">
        <f t="shared" si="44"/>
        <v>0</v>
      </c>
      <c r="S256" s="698">
        <f t="shared" si="35"/>
        <v>0</v>
      </c>
    </row>
    <row r="257" spans="1:19">
      <c r="A257" s="491"/>
      <c r="B257" s="348"/>
      <c r="C257" s="313">
        <f t="shared" si="36"/>
        <v>1</v>
      </c>
      <c r="D257" s="1128"/>
      <c r="E257" s="313">
        <f t="shared" si="37"/>
        <v>0.05</v>
      </c>
      <c r="F257" s="1128"/>
      <c r="G257" s="313">
        <f t="shared" si="38"/>
        <v>0.1</v>
      </c>
      <c r="H257" s="1128"/>
      <c r="I257" s="313">
        <f t="shared" si="39"/>
        <v>1</v>
      </c>
      <c r="J257" s="1128"/>
      <c r="K257" s="313">
        <f t="shared" si="40"/>
        <v>1</v>
      </c>
      <c r="L257" s="1128"/>
      <c r="M257" s="313">
        <f t="shared" si="41"/>
        <v>1</v>
      </c>
      <c r="N257" s="1128"/>
      <c r="O257" s="313">
        <f t="shared" si="42"/>
        <v>1</v>
      </c>
      <c r="P257" s="1128"/>
      <c r="Q257" s="313">
        <f t="shared" si="43"/>
        <v>0.2</v>
      </c>
      <c r="R257" s="1124">
        <f t="shared" si="44"/>
        <v>0</v>
      </c>
      <c r="S257" s="698">
        <f t="shared" si="35"/>
        <v>0</v>
      </c>
    </row>
    <row r="258" spans="1:19">
      <c r="A258" s="491"/>
      <c r="B258" s="348"/>
      <c r="C258" s="313">
        <f t="shared" si="36"/>
        <v>1</v>
      </c>
      <c r="D258" s="1128"/>
      <c r="E258" s="313">
        <f t="shared" si="37"/>
        <v>0.05</v>
      </c>
      <c r="F258" s="1128"/>
      <c r="G258" s="313">
        <f t="shared" si="38"/>
        <v>0.1</v>
      </c>
      <c r="H258" s="1128"/>
      <c r="I258" s="313">
        <f t="shared" si="39"/>
        <v>1</v>
      </c>
      <c r="J258" s="1128"/>
      <c r="K258" s="313">
        <f t="shared" si="40"/>
        <v>1</v>
      </c>
      <c r="L258" s="1128"/>
      <c r="M258" s="313">
        <f t="shared" si="41"/>
        <v>1</v>
      </c>
      <c r="N258" s="1128"/>
      <c r="O258" s="313">
        <f t="shared" si="42"/>
        <v>1</v>
      </c>
      <c r="P258" s="1128"/>
      <c r="Q258" s="313">
        <f t="shared" si="43"/>
        <v>0.2</v>
      </c>
      <c r="R258" s="1124">
        <f t="shared" si="44"/>
        <v>0</v>
      </c>
      <c r="S258" s="698">
        <f t="shared" si="35"/>
        <v>0</v>
      </c>
    </row>
    <row r="259" spans="1:19">
      <c r="A259" s="491"/>
      <c r="B259" s="348"/>
      <c r="C259" s="313">
        <f t="shared" si="36"/>
        <v>1</v>
      </c>
      <c r="D259" s="1128"/>
      <c r="E259" s="313">
        <f t="shared" si="37"/>
        <v>0.05</v>
      </c>
      <c r="F259" s="1128"/>
      <c r="G259" s="313">
        <f t="shared" si="38"/>
        <v>0.1</v>
      </c>
      <c r="H259" s="1128"/>
      <c r="I259" s="313">
        <f t="shared" si="39"/>
        <v>1</v>
      </c>
      <c r="J259" s="1128"/>
      <c r="K259" s="313">
        <f t="shared" si="40"/>
        <v>1</v>
      </c>
      <c r="L259" s="1128"/>
      <c r="M259" s="313">
        <f t="shared" si="41"/>
        <v>1</v>
      </c>
      <c r="N259" s="1128"/>
      <c r="O259" s="313">
        <f t="shared" si="42"/>
        <v>1</v>
      </c>
      <c r="P259" s="1128"/>
      <c r="Q259" s="313">
        <f t="shared" si="43"/>
        <v>0.2</v>
      </c>
      <c r="R259" s="1124">
        <f t="shared" si="44"/>
        <v>0</v>
      </c>
      <c r="S259" s="698">
        <f t="shared" si="35"/>
        <v>0</v>
      </c>
    </row>
    <row r="260" spans="1:19">
      <c r="A260" s="491"/>
      <c r="B260" s="348"/>
      <c r="C260" s="313">
        <f t="shared" si="36"/>
        <v>1</v>
      </c>
      <c r="D260" s="1128"/>
      <c r="E260" s="313">
        <f t="shared" si="37"/>
        <v>0.05</v>
      </c>
      <c r="F260" s="1128"/>
      <c r="G260" s="313">
        <f t="shared" si="38"/>
        <v>0.1</v>
      </c>
      <c r="H260" s="1128"/>
      <c r="I260" s="313">
        <f t="shared" si="39"/>
        <v>1</v>
      </c>
      <c r="J260" s="1128"/>
      <c r="K260" s="313">
        <f t="shared" si="40"/>
        <v>1</v>
      </c>
      <c r="L260" s="1128"/>
      <c r="M260" s="313">
        <f t="shared" si="41"/>
        <v>1</v>
      </c>
      <c r="N260" s="1128"/>
      <c r="O260" s="313">
        <f t="shared" si="42"/>
        <v>1</v>
      </c>
      <c r="P260" s="1128"/>
      <c r="Q260" s="313">
        <f t="shared" si="43"/>
        <v>0.2</v>
      </c>
      <c r="R260" s="1124">
        <f t="shared" si="44"/>
        <v>0</v>
      </c>
      <c r="S260" s="698">
        <f t="shared" si="35"/>
        <v>0</v>
      </c>
    </row>
    <row r="261" spans="1:19">
      <c r="A261" s="491"/>
      <c r="B261" s="348"/>
      <c r="C261" s="313">
        <f t="shared" si="36"/>
        <v>1</v>
      </c>
      <c r="D261" s="1128"/>
      <c r="E261" s="313">
        <f t="shared" si="37"/>
        <v>0.05</v>
      </c>
      <c r="F261" s="1128"/>
      <c r="G261" s="313">
        <f t="shared" si="38"/>
        <v>0.1</v>
      </c>
      <c r="H261" s="1128"/>
      <c r="I261" s="313">
        <f t="shared" si="39"/>
        <v>1</v>
      </c>
      <c r="J261" s="1128"/>
      <c r="K261" s="313">
        <f t="shared" si="40"/>
        <v>1</v>
      </c>
      <c r="L261" s="1128"/>
      <c r="M261" s="313">
        <f t="shared" si="41"/>
        <v>1</v>
      </c>
      <c r="N261" s="1128"/>
      <c r="O261" s="313">
        <f t="shared" si="42"/>
        <v>1</v>
      </c>
      <c r="P261" s="1128"/>
      <c r="Q261" s="313">
        <f t="shared" si="43"/>
        <v>0.2</v>
      </c>
      <c r="R261" s="1124">
        <f t="shared" si="44"/>
        <v>0</v>
      </c>
      <c r="S261" s="698">
        <f t="shared" si="35"/>
        <v>0</v>
      </c>
    </row>
    <row r="262" spans="1:19">
      <c r="A262" s="491"/>
      <c r="B262" s="348"/>
      <c r="C262" s="313">
        <f t="shared" si="36"/>
        <v>1</v>
      </c>
      <c r="D262" s="1128"/>
      <c r="E262" s="313">
        <f t="shared" si="37"/>
        <v>0.05</v>
      </c>
      <c r="F262" s="1128"/>
      <c r="G262" s="313">
        <f t="shared" si="38"/>
        <v>0.1</v>
      </c>
      <c r="H262" s="1128"/>
      <c r="I262" s="313">
        <f t="shared" si="39"/>
        <v>1</v>
      </c>
      <c r="J262" s="1128"/>
      <c r="K262" s="313">
        <f t="shared" si="40"/>
        <v>1</v>
      </c>
      <c r="L262" s="1128"/>
      <c r="M262" s="313">
        <f t="shared" si="41"/>
        <v>1</v>
      </c>
      <c r="N262" s="1128"/>
      <c r="O262" s="313">
        <f t="shared" si="42"/>
        <v>1</v>
      </c>
      <c r="P262" s="1128"/>
      <c r="Q262" s="313">
        <f t="shared" si="43"/>
        <v>0.2</v>
      </c>
      <c r="R262" s="1124">
        <f t="shared" si="44"/>
        <v>0</v>
      </c>
      <c r="S262" s="698">
        <f t="shared" si="35"/>
        <v>0</v>
      </c>
    </row>
    <row r="263" spans="1:19">
      <c r="A263" s="491"/>
      <c r="B263" s="348"/>
      <c r="C263" s="313">
        <f t="shared" si="36"/>
        <v>1</v>
      </c>
      <c r="D263" s="1128"/>
      <c r="E263" s="313">
        <f t="shared" si="37"/>
        <v>0.05</v>
      </c>
      <c r="F263" s="1128"/>
      <c r="G263" s="313">
        <f t="shared" si="38"/>
        <v>0.1</v>
      </c>
      <c r="H263" s="1128"/>
      <c r="I263" s="313">
        <f t="shared" si="39"/>
        <v>1</v>
      </c>
      <c r="J263" s="1128"/>
      <c r="K263" s="313">
        <f t="shared" si="40"/>
        <v>1</v>
      </c>
      <c r="L263" s="1128"/>
      <c r="M263" s="313">
        <f t="shared" si="41"/>
        <v>1</v>
      </c>
      <c r="N263" s="1128"/>
      <c r="O263" s="313">
        <f t="shared" si="42"/>
        <v>1</v>
      </c>
      <c r="P263" s="1128"/>
      <c r="Q263" s="313">
        <f t="shared" si="43"/>
        <v>0.2</v>
      </c>
      <c r="R263" s="1124">
        <f t="shared" si="44"/>
        <v>0</v>
      </c>
      <c r="S263" s="698">
        <f t="shared" si="35"/>
        <v>0</v>
      </c>
    </row>
    <row r="264" spans="1:19">
      <c r="A264" s="491"/>
      <c r="B264" s="348"/>
      <c r="C264" s="313">
        <f t="shared" si="36"/>
        <v>1</v>
      </c>
      <c r="D264" s="1128"/>
      <c r="E264" s="313">
        <f t="shared" si="37"/>
        <v>0.05</v>
      </c>
      <c r="F264" s="1128"/>
      <c r="G264" s="313">
        <f t="shared" si="38"/>
        <v>0.1</v>
      </c>
      <c r="H264" s="1128"/>
      <c r="I264" s="313">
        <f t="shared" si="39"/>
        <v>1</v>
      </c>
      <c r="J264" s="1128"/>
      <c r="K264" s="313">
        <f t="shared" si="40"/>
        <v>1</v>
      </c>
      <c r="L264" s="1128"/>
      <c r="M264" s="313">
        <f t="shared" si="41"/>
        <v>1</v>
      </c>
      <c r="N264" s="1128"/>
      <c r="O264" s="313">
        <f t="shared" si="42"/>
        <v>1</v>
      </c>
      <c r="P264" s="1128"/>
      <c r="Q264" s="313">
        <f t="shared" si="43"/>
        <v>0.2</v>
      </c>
      <c r="R264" s="1124">
        <f t="shared" si="44"/>
        <v>0</v>
      </c>
      <c r="S264" s="698">
        <f t="shared" si="35"/>
        <v>0</v>
      </c>
    </row>
    <row r="265" spans="1:19">
      <c r="A265" s="491"/>
      <c r="B265" s="348"/>
      <c r="C265" s="313">
        <f t="shared" si="36"/>
        <v>1</v>
      </c>
      <c r="D265" s="1128"/>
      <c r="E265" s="313">
        <f t="shared" si="37"/>
        <v>0.05</v>
      </c>
      <c r="F265" s="1128"/>
      <c r="G265" s="313">
        <f t="shared" si="38"/>
        <v>0.1</v>
      </c>
      <c r="H265" s="1128"/>
      <c r="I265" s="313">
        <f t="shared" si="39"/>
        <v>1</v>
      </c>
      <c r="J265" s="1128"/>
      <c r="K265" s="313">
        <f t="shared" si="40"/>
        <v>1</v>
      </c>
      <c r="L265" s="1128"/>
      <c r="M265" s="313">
        <f t="shared" si="41"/>
        <v>1</v>
      </c>
      <c r="N265" s="1128"/>
      <c r="O265" s="313">
        <f t="shared" si="42"/>
        <v>1</v>
      </c>
      <c r="P265" s="1128"/>
      <c r="Q265" s="313">
        <f t="shared" si="43"/>
        <v>0.2</v>
      </c>
      <c r="R265" s="1124">
        <f t="shared" si="44"/>
        <v>0</v>
      </c>
      <c r="S265" s="698">
        <f t="shared" si="35"/>
        <v>0</v>
      </c>
    </row>
    <row r="266" spans="1:19">
      <c r="A266" s="491"/>
      <c r="B266" s="348"/>
      <c r="C266" s="313">
        <f t="shared" si="36"/>
        <v>1</v>
      </c>
      <c r="D266" s="1128"/>
      <c r="E266" s="313">
        <f t="shared" si="37"/>
        <v>0.05</v>
      </c>
      <c r="F266" s="1128"/>
      <c r="G266" s="313">
        <f t="shared" si="38"/>
        <v>0.1</v>
      </c>
      <c r="H266" s="1128"/>
      <c r="I266" s="313">
        <f t="shared" si="39"/>
        <v>1</v>
      </c>
      <c r="J266" s="1128"/>
      <c r="K266" s="313">
        <f t="shared" si="40"/>
        <v>1</v>
      </c>
      <c r="L266" s="1128"/>
      <c r="M266" s="313">
        <f t="shared" si="41"/>
        <v>1</v>
      </c>
      <c r="N266" s="1128"/>
      <c r="O266" s="313">
        <f t="shared" si="42"/>
        <v>1</v>
      </c>
      <c r="P266" s="1128"/>
      <c r="Q266" s="313">
        <f t="shared" si="43"/>
        <v>0.2</v>
      </c>
      <c r="R266" s="1124">
        <f t="shared" si="44"/>
        <v>0</v>
      </c>
      <c r="S266" s="698">
        <f t="shared" si="35"/>
        <v>0</v>
      </c>
    </row>
    <row r="267" spans="1:19">
      <c r="A267" s="491"/>
      <c r="B267" s="348"/>
      <c r="C267" s="313">
        <f t="shared" si="36"/>
        <v>1</v>
      </c>
      <c r="D267" s="1128"/>
      <c r="E267" s="313">
        <f t="shared" si="37"/>
        <v>0.05</v>
      </c>
      <c r="F267" s="1128"/>
      <c r="G267" s="313">
        <f t="shared" si="38"/>
        <v>0.1</v>
      </c>
      <c r="H267" s="1128"/>
      <c r="I267" s="313">
        <f t="shared" si="39"/>
        <v>1</v>
      </c>
      <c r="J267" s="1128"/>
      <c r="K267" s="313">
        <f t="shared" si="40"/>
        <v>1</v>
      </c>
      <c r="L267" s="1128"/>
      <c r="M267" s="313">
        <f t="shared" si="41"/>
        <v>1</v>
      </c>
      <c r="N267" s="1128"/>
      <c r="O267" s="313">
        <f t="shared" si="42"/>
        <v>1</v>
      </c>
      <c r="P267" s="1128"/>
      <c r="Q267" s="313">
        <f t="shared" si="43"/>
        <v>0.2</v>
      </c>
      <c r="R267" s="1124">
        <f t="shared" si="44"/>
        <v>0</v>
      </c>
      <c r="S267" s="698">
        <f t="shared" si="35"/>
        <v>0</v>
      </c>
    </row>
    <row r="268" spans="1:19">
      <c r="A268" s="491"/>
      <c r="B268" s="348"/>
      <c r="C268" s="313">
        <f t="shared" si="36"/>
        <v>1</v>
      </c>
      <c r="D268" s="1128"/>
      <c r="E268" s="313">
        <f t="shared" si="37"/>
        <v>0.05</v>
      </c>
      <c r="F268" s="1128"/>
      <c r="G268" s="313">
        <f t="shared" si="38"/>
        <v>0.1</v>
      </c>
      <c r="H268" s="1128"/>
      <c r="I268" s="313">
        <f t="shared" si="39"/>
        <v>1</v>
      </c>
      <c r="J268" s="1128"/>
      <c r="K268" s="313">
        <f t="shared" si="40"/>
        <v>1</v>
      </c>
      <c r="L268" s="1128"/>
      <c r="M268" s="313">
        <f t="shared" si="41"/>
        <v>1</v>
      </c>
      <c r="N268" s="1128"/>
      <c r="O268" s="313">
        <f t="shared" si="42"/>
        <v>1</v>
      </c>
      <c r="P268" s="1128"/>
      <c r="Q268" s="313">
        <f t="shared" si="43"/>
        <v>0.2</v>
      </c>
      <c r="R268" s="1124">
        <f t="shared" si="44"/>
        <v>0</v>
      </c>
      <c r="S268" s="698">
        <f t="shared" si="35"/>
        <v>0</v>
      </c>
    </row>
    <row r="269" spans="1:19">
      <c r="A269" s="491"/>
      <c r="B269" s="348"/>
      <c r="C269" s="313">
        <f t="shared" si="36"/>
        <v>1</v>
      </c>
      <c r="D269" s="1128"/>
      <c r="E269" s="313">
        <f t="shared" si="37"/>
        <v>0.05</v>
      </c>
      <c r="F269" s="1128"/>
      <c r="G269" s="313">
        <f t="shared" si="38"/>
        <v>0.1</v>
      </c>
      <c r="H269" s="1128"/>
      <c r="I269" s="313">
        <f t="shared" si="39"/>
        <v>1</v>
      </c>
      <c r="J269" s="1128"/>
      <c r="K269" s="313">
        <f t="shared" si="40"/>
        <v>1</v>
      </c>
      <c r="L269" s="1128"/>
      <c r="M269" s="313">
        <f t="shared" si="41"/>
        <v>1</v>
      </c>
      <c r="N269" s="1128"/>
      <c r="O269" s="313">
        <f t="shared" si="42"/>
        <v>1</v>
      </c>
      <c r="P269" s="1128"/>
      <c r="Q269" s="313">
        <f t="shared" si="43"/>
        <v>0.2</v>
      </c>
      <c r="R269" s="1124">
        <f t="shared" si="44"/>
        <v>0</v>
      </c>
      <c r="S269" s="698">
        <f t="shared" si="35"/>
        <v>0</v>
      </c>
    </row>
    <row r="270" spans="1:19">
      <c r="A270" s="491"/>
      <c r="B270" s="348"/>
      <c r="C270" s="313">
        <f t="shared" si="36"/>
        <v>1</v>
      </c>
      <c r="D270" s="1128"/>
      <c r="E270" s="313">
        <f t="shared" si="37"/>
        <v>0.05</v>
      </c>
      <c r="F270" s="1128"/>
      <c r="G270" s="313">
        <f t="shared" si="38"/>
        <v>0.1</v>
      </c>
      <c r="H270" s="1128"/>
      <c r="I270" s="313">
        <f t="shared" si="39"/>
        <v>1</v>
      </c>
      <c r="J270" s="1128"/>
      <c r="K270" s="313">
        <f t="shared" si="40"/>
        <v>1</v>
      </c>
      <c r="L270" s="1128"/>
      <c r="M270" s="313">
        <f t="shared" si="41"/>
        <v>1</v>
      </c>
      <c r="N270" s="1128"/>
      <c r="O270" s="313">
        <f t="shared" si="42"/>
        <v>1</v>
      </c>
      <c r="P270" s="1128"/>
      <c r="Q270" s="313">
        <f t="shared" si="43"/>
        <v>0.2</v>
      </c>
      <c r="R270" s="1124">
        <f t="shared" si="44"/>
        <v>0</v>
      </c>
      <c r="S270" s="698">
        <f t="shared" si="35"/>
        <v>0</v>
      </c>
    </row>
    <row r="271" spans="1:19">
      <c r="A271" s="491"/>
      <c r="B271" s="348"/>
      <c r="C271" s="313">
        <f t="shared" si="36"/>
        <v>1</v>
      </c>
      <c r="D271" s="1128"/>
      <c r="E271" s="313">
        <f t="shared" si="37"/>
        <v>0.05</v>
      </c>
      <c r="F271" s="1128"/>
      <c r="G271" s="313">
        <f t="shared" si="38"/>
        <v>0.1</v>
      </c>
      <c r="H271" s="1128"/>
      <c r="I271" s="313">
        <f t="shared" si="39"/>
        <v>1</v>
      </c>
      <c r="J271" s="1128"/>
      <c r="K271" s="313">
        <f t="shared" si="40"/>
        <v>1</v>
      </c>
      <c r="L271" s="1128"/>
      <c r="M271" s="313">
        <f t="shared" si="41"/>
        <v>1</v>
      </c>
      <c r="N271" s="1128"/>
      <c r="O271" s="313">
        <f t="shared" si="42"/>
        <v>1</v>
      </c>
      <c r="P271" s="1128"/>
      <c r="Q271" s="313">
        <f t="shared" si="43"/>
        <v>0.2</v>
      </c>
      <c r="R271" s="1124">
        <f t="shared" si="44"/>
        <v>0</v>
      </c>
      <c r="S271" s="698">
        <f t="shared" si="35"/>
        <v>0</v>
      </c>
    </row>
    <row r="272" spans="1:19">
      <c r="A272" s="491"/>
      <c r="B272" s="348"/>
      <c r="C272" s="313">
        <f t="shared" si="36"/>
        <v>1</v>
      </c>
      <c r="D272" s="1128"/>
      <c r="E272" s="313">
        <f t="shared" si="37"/>
        <v>0.05</v>
      </c>
      <c r="F272" s="1128"/>
      <c r="G272" s="313">
        <f t="shared" si="38"/>
        <v>0.1</v>
      </c>
      <c r="H272" s="1128"/>
      <c r="I272" s="313">
        <f t="shared" si="39"/>
        <v>1</v>
      </c>
      <c r="J272" s="1128"/>
      <c r="K272" s="313">
        <f t="shared" si="40"/>
        <v>1</v>
      </c>
      <c r="L272" s="1128"/>
      <c r="M272" s="313">
        <f t="shared" si="41"/>
        <v>1</v>
      </c>
      <c r="N272" s="1128"/>
      <c r="O272" s="313">
        <f t="shared" si="42"/>
        <v>1</v>
      </c>
      <c r="P272" s="1128"/>
      <c r="Q272" s="313">
        <f t="shared" si="43"/>
        <v>0.2</v>
      </c>
      <c r="R272" s="1124">
        <f t="shared" si="44"/>
        <v>0</v>
      </c>
      <c r="S272" s="698">
        <f t="shared" si="35"/>
        <v>0</v>
      </c>
    </row>
    <row r="273" spans="1:19">
      <c r="A273" s="491"/>
      <c r="B273" s="348"/>
      <c r="C273" s="313">
        <f t="shared" si="36"/>
        <v>1</v>
      </c>
      <c r="D273" s="1128"/>
      <c r="E273" s="313">
        <f t="shared" si="37"/>
        <v>0.05</v>
      </c>
      <c r="F273" s="1128"/>
      <c r="G273" s="313">
        <f t="shared" si="38"/>
        <v>0.1</v>
      </c>
      <c r="H273" s="1128"/>
      <c r="I273" s="313">
        <f t="shared" si="39"/>
        <v>1</v>
      </c>
      <c r="J273" s="1128"/>
      <c r="K273" s="313">
        <f t="shared" si="40"/>
        <v>1</v>
      </c>
      <c r="L273" s="1128"/>
      <c r="M273" s="313">
        <f t="shared" si="41"/>
        <v>1</v>
      </c>
      <c r="N273" s="1128"/>
      <c r="O273" s="313">
        <f t="shared" si="42"/>
        <v>1</v>
      </c>
      <c r="P273" s="1128"/>
      <c r="Q273" s="313">
        <f t="shared" si="43"/>
        <v>0.2</v>
      </c>
      <c r="R273" s="1124">
        <f t="shared" si="44"/>
        <v>0</v>
      </c>
      <c r="S273" s="698">
        <f t="shared" si="35"/>
        <v>0</v>
      </c>
    </row>
    <row r="274" spans="1:19">
      <c r="A274" s="491"/>
      <c r="B274" s="348"/>
      <c r="C274" s="313">
        <f t="shared" si="36"/>
        <v>1</v>
      </c>
      <c r="D274" s="1128"/>
      <c r="E274" s="313">
        <f t="shared" si="37"/>
        <v>0.05</v>
      </c>
      <c r="F274" s="1128"/>
      <c r="G274" s="313">
        <f t="shared" si="38"/>
        <v>0.1</v>
      </c>
      <c r="H274" s="1128"/>
      <c r="I274" s="313">
        <f t="shared" si="39"/>
        <v>1</v>
      </c>
      <c r="J274" s="1128"/>
      <c r="K274" s="313">
        <f t="shared" si="40"/>
        <v>1</v>
      </c>
      <c r="L274" s="1128"/>
      <c r="M274" s="313">
        <f t="shared" si="41"/>
        <v>1</v>
      </c>
      <c r="N274" s="1128"/>
      <c r="O274" s="313">
        <f t="shared" si="42"/>
        <v>1</v>
      </c>
      <c r="P274" s="1128"/>
      <c r="Q274" s="313">
        <f t="shared" si="43"/>
        <v>0.2</v>
      </c>
      <c r="R274" s="1124">
        <f t="shared" si="44"/>
        <v>0</v>
      </c>
      <c r="S274" s="698">
        <f t="shared" si="35"/>
        <v>0</v>
      </c>
    </row>
    <row r="275" spans="1:19">
      <c r="A275" s="491"/>
      <c r="B275" s="348"/>
      <c r="C275" s="313">
        <f t="shared" si="36"/>
        <v>1</v>
      </c>
      <c r="D275" s="1128"/>
      <c r="E275" s="313">
        <f t="shared" si="37"/>
        <v>0.05</v>
      </c>
      <c r="F275" s="1128"/>
      <c r="G275" s="313">
        <f t="shared" si="38"/>
        <v>0.1</v>
      </c>
      <c r="H275" s="1128"/>
      <c r="I275" s="313">
        <f t="shared" si="39"/>
        <v>1</v>
      </c>
      <c r="J275" s="1128"/>
      <c r="K275" s="313">
        <f t="shared" si="40"/>
        <v>1</v>
      </c>
      <c r="L275" s="1128"/>
      <c r="M275" s="313">
        <f t="shared" si="41"/>
        <v>1</v>
      </c>
      <c r="N275" s="1128"/>
      <c r="O275" s="313">
        <f t="shared" si="42"/>
        <v>1</v>
      </c>
      <c r="P275" s="1128"/>
      <c r="Q275" s="313">
        <f t="shared" si="43"/>
        <v>0.2</v>
      </c>
      <c r="R275" s="1124">
        <f t="shared" si="44"/>
        <v>0</v>
      </c>
      <c r="S275" s="698">
        <f t="shared" si="35"/>
        <v>0</v>
      </c>
    </row>
    <row r="276" spans="1:19">
      <c r="A276" s="491"/>
      <c r="B276" s="348"/>
      <c r="C276" s="313">
        <f t="shared" si="36"/>
        <v>1</v>
      </c>
      <c r="D276" s="1128"/>
      <c r="E276" s="313">
        <f t="shared" si="37"/>
        <v>0.05</v>
      </c>
      <c r="F276" s="1128"/>
      <c r="G276" s="313">
        <f t="shared" si="38"/>
        <v>0.1</v>
      </c>
      <c r="H276" s="1128"/>
      <c r="I276" s="313">
        <f t="shared" si="39"/>
        <v>1</v>
      </c>
      <c r="J276" s="1128"/>
      <c r="K276" s="313">
        <f t="shared" si="40"/>
        <v>1</v>
      </c>
      <c r="L276" s="1128"/>
      <c r="M276" s="313">
        <f t="shared" si="41"/>
        <v>1</v>
      </c>
      <c r="N276" s="1128"/>
      <c r="O276" s="313">
        <f t="shared" si="42"/>
        <v>1</v>
      </c>
      <c r="P276" s="1128"/>
      <c r="Q276" s="313">
        <f t="shared" si="43"/>
        <v>0.2</v>
      </c>
      <c r="R276" s="1124">
        <f t="shared" si="44"/>
        <v>0</v>
      </c>
      <c r="S276" s="698">
        <f t="shared" si="35"/>
        <v>0</v>
      </c>
    </row>
    <row r="277" spans="1:19">
      <c r="A277" s="491"/>
      <c r="B277" s="348"/>
      <c r="C277" s="313">
        <f t="shared" si="36"/>
        <v>1</v>
      </c>
      <c r="D277" s="1128"/>
      <c r="E277" s="313">
        <f t="shared" si="37"/>
        <v>0.05</v>
      </c>
      <c r="F277" s="1128"/>
      <c r="G277" s="313">
        <f t="shared" si="38"/>
        <v>0.1</v>
      </c>
      <c r="H277" s="1128"/>
      <c r="I277" s="313">
        <f t="shared" si="39"/>
        <v>1</v>
      </c>
      <c r="J277" s="1128"/>
      <c r="K277" s="313">
        <f t="shared" si="40"/>
        <v>1</v>
      </c>
      <c r="L277" s="1128"/>
      <c r="M277" s="313">
        <f t="shared" si="41"/>
        <v>1</v>
      </c>
      <c r="N277" s="1128"/>
      <c r="O277" s="313">
        <f t="shared" si="42"/>
        <v>1</v>
      </c>
      <c r="P277" s="1128"/>
      <c r="Q277" s="313">
        <f t="shared" si="43"/>
        <v>0.2</v>
      </c>
      <c r="R277" s="1124">
        <f t="shared" si="44"/>
        <v>0</v>
      </c>
      <c r="S277" s="698">
        <f t="shared" si="35"/>
        <v>0</v>
      </c>
    </row>
    <row r="278" spans="1:19">
      <c r="A278" s="491"/>
      <c r="B278" s="348"/>
      <c r="C278" s="313">
        <f t="shared" si="36"/>
        <v>1</v>
      </c>
      <c r="D278" s="1128"/>
      <c r="E278" s="313">
        <f t="shared" si="37"/>
        <v>0.05</v>
      </c>
      <c r="F278" s="1128"/>
      <c r="G278" s="313">
        <f t="shared" si="38"/>
        <v>0.1</v>
      </c>
      <c r="H278" s="1128"/>
      <c r="I278" s="313">
        <f t="shared" si="39"/>
        <v>1</v>
      </c>
      <c r="J278" s="1128"/>
      <c r="K278" s="313">
        <f t="shared" si="40"/>
        <v>1</v>
      </c>
      <c r="L278" s="1128"/>
      <c r="M278" s="313">
        <f t="shared" si="41"/>
        <v>1</v>
      </c>
      <c r="N278" s="1128"/>
      <c r="O278" s="313">
        <f t="shared" si="42"/>
        <v>1</v>
      </c>
      <c r="P278" s="1128"/>
      <c r="Q278" s="313">
        <f t="shared" si="43"/>
        <v>0.2</v>
      </c>
      <c r="R278" s="1124">
        <f t="shared" si="44"/>
        <v>0</v>
      </c>
      <c r="S278" s="698">
        <f t="shared" si="35"/>
        <v>0</v>
      </c>
    </row>
    <row r="279" spans="1:19">
      <c r="A279" s="491"/>
      <c r="B279" s="348"/>
      <c r="C279" s="313">
        <f t="shared" si="36"/>
        <v>1</v>
      </c>
      <c r="D279" s="1128"/>
      <c r="E279" s="313">
        <f t="shared" si="37"/>
        <v>0.05</v>
      </c>
      <c r="F279" s="1128"/>
      <c r="G279" s="313">
        <f t="shared" si="38"/>
        <v>0.1</v>
      </c>
      <c r="H279" s="1128"/>
      <c r="I279" s="313">
        <f t="shared" si="39"/>
        <v>1</v>
      </c>
      <c r="J279" s="1128"/>
      <c r="K279" s="313">
        <f t="shared" si="40"/>
        <v>1</v>
      </c>
      <c r="L279" s="1128"/>
      <c r="M279" s="313">
        <f t="shared" si="41"/>
        <v>1</v>
      </c>
      <c r="N279" s="1128"/>
      <c r="O279" s="313">
        <f t="shared" si="42"/>
        <v>1</v>
      </c>
      <c r="P279" s="1128"/>
      <c r="Q279" s="313">
        <f t="shared" si="43"/>
        <v>0.2</v>
      </c>
      <c r="R279" s="1124">
        <f t="shared" si="44"/>
        <v>0</v>
      </c>
      <c r="S279" s="698">
        <f t="shared" si="35"/>
        <v>0</v>
      </c>
    </row>
    <row r="280" spans="1:19">
      <c r="A280" s="491"/>
      <c r="B280" s="348"/>
      <c r="C280" s="313">
        <f t="shared" si="36"/>
        <v>1</v>
      </c>
      <c r="D280" s="1128"/>
      <c r="E280" s="313">
        <f t="shared" si="37"/>
        <v>0.05</v>
      </c>
      <c r="F280" s="1128"/>
      <c r="G280" s="313">
        <f t="shared" si="38"/>
        <v>0.1</v>
      </c>
      <c r="H280" s="1128"/>
      <c r="I280" s="313">
        <f t="shared" si="39"/>
        <v>1</v>
      </c>
      <c r="J280" s="1128"/>
      <c r="K280" s="313">
        <f t="shared" si="40"/>
        <v>1</v>
      </c>
      <c r="L280" s="1128"/>
      <c r="M280" s="313">
        <f t="shared" si="41"/>
        <v>1</v>
      </c>
      <c r="N280" s="1128"/>
      <c r="O280" s="313">
        <f t="shared" si="42"/>
        <v>1</v>
      </c>
      <c r="P280" s="1128"/>
      <c r="Q280" s="313">
        <f t="shared" si="43"/>
        <v>0.2</v>
      </c>
      <c r="R280" s="1124">
        <f t="shared" si="44"/>
        <v>0</v>
      </c>
      <c r="S280" s="698">
        <f t="shared" ref="S280:S343" si="45">ROUND(R280*B280/10000,0)</f>
        <v>0</v>
      </c>
    </row>
    <row r="281" spans="1:19">
      <c r="A281" s="491"/>
      <c r="B281" s="348"/>
      <c r="C281" s="313">
        <f t="shared" si="36"/>
        <v>1</v>
      </c>
      <c r="D281" s="1128"/>
      <c r="E281" s="313">
        <f t="shared" si="37"/>
        <v>0.05</v>
      </c>
      <c r="F281" s="1128"/>
      <c r="G281" s="313">
        <f t="shared" si="38"/>
        <v>0.1</v>
      </c>
      <c r="H281" s="1128"/>
      <c r="I281" s="313">
        <f t="shared" si="39"/>
        <v>1</v>
      </c>
      <c r="J281" s="1128"/>
      <c r="K281" s="313">
        <f t="shared" si="40"/>
        <v>1</v>
      </c>
      <c r="L281" s="1128"/>
      <c r="M281" s="313">
        <f t="shared" si="41"/>
        <v>1</v>
      </c>
      <c r="N281" s="1128"/>
      <c r="O281" s="313">
        <f t="shared" si="42"/>
        <v>1</v>
      </c>
      <c r="P281" s="1128"/>
      <c r="Q281" s="313">
        <f t="shared" si="43"/>
        <v>0.2</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0.05</v>
      </c>
      <c r="F282" s="1128"/>
      <c r="G282" s="313">
        <f t="shared" ref="G282:G345" si="48">(SUMIF($7:$7,F282,$8:$8)-SUMIF($7:$7,$F$24,$8:$8)+100)/100</f>
        <v>0.1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0.2</v>
      </c>
      <c r="R282" s="1124">
        <f t="shared" ref="R282:R345" si="54">IF(B282="",0,ROUND($R$24*C282*E282*G282*I282*K282*M282*O282*Q282,0))</f>
        <v>0</v>
      </c>
      <c r="S282" s="698">
        <f t="shared" si="45"/>
        <v>0</v>
      </c>
    </row>
    <row r="283" spans="1:19">
      <c r="A283" s="491"/>
      <c r="B283" s="348"/>
      <c r="C283" s="313">
        <f t="shared" si="46"/>
        <v>1</v>
      </c>
      <c r="D283" s="1128"/>
      <c r="E283" s="313">
        <f t="shared" si="47"/>
        <v>0.05</v>
      </c>
      <c r="F283" s="1128"/>
      <c r="G283" s="313">
        <f t="shared" si="48"/>
        <v>0.1</v>
      </c>
      <c r="H283" s="1128"/>
      <c r="I283" s="313">
        <f t="shared" si="49"/>
        <v>1</v>
      </c>
      <c r="J283" s="1128"/>
      <c r="K283" s="313">
        <f t="shared" si="50"/>
        <v>1</v>
      </c>
      <c r="L283" s="1128"/>
      <c r="M283" s="313">
        <f t="shared" si="51"/>
        <v>1</v>
      </c>
      <c r="N283" s="1128"/>
      <c r="O283" s="313">
        <f t="shared" si="52"/>
        <v>1</v>
      </c>
      <c r="P283" s="1128"/>
      <c r="Q283" s="313">
        <f t="shared" si="53"/>
        <v>0.2</v>
      </c>
      <c r="R283" s="1124">
        <f t="shared" si="54"/>
        <v>0</v>
      </c>
      <c r="S283" s="698">
        <f t="shared" si="45"/>
        <v>0</v>
      </c>
    </row>
    <row r="284" spans="1:19">
      <c r="A284" s="491"/>
      <c r="B284" s="348"/>
      <c r="C284" s="313">
        <f t="shared" si="46"/>
        <v>1</v>
      </c>
      <c r="D284" s="1128"/>
      <c r="E284" s="313">
        <f t="shared" si="47"/>
        <v>0.05</v>
      </c>
      <c r="F284" s="1128"/>
      <c r="G284" s="313">
        <f t="shared" si="48"/>
        <v>0.1</v>
      </c>
      <c r="H284" s="1128"/>
      <c r="I284" s="313">
        <f t="shared" si="49"/>
        <v>1</v>
      </c>
      <c r="J284" s="1128"/>
      <c r="K284" s="313">
        <f t="shared" si="50"/>
        <v>1</v>
      </c>
      <c r="L284" s="1128"/>
      <c r="M284" s="313">
        <f t="shared" si="51"/>
        <v>1</v>
      </c>
      <c r="N284" s="1128"/>
      <c r="O284" s="313">
        <f t="shared" si="52"/>
        <v>1</v>
      </c>
      <c r="P284" s="1128"/>
      <c r="Q284" s="313">
        <f t="shared" si="53"/>
        <v>0.2</v>
      </c>
      <c r="R284" s="1124">
        <f t="shared" si="54"/>
        <v>0</v>
      </c>
      <c r="S284" s="698">
        <f t="shared" si="45"/>
        <v>0</v>
      </c>
    </row>
    <row r="285" spans="1:19">
      <c r="A285" s="491"/>
      <c r="B285" s="348"/>
      <c r="C285" s="313">
        <f t="shared" si="46"/>
        <v>1</v>
      </c>
      <c r="D285" s="1128"/>
      <c r="E285" s="313">
        <f t="shared" si="47"/>
        <v>0.05</v>
      </c>
      <c r="F285" s="1128"/>
      <c r="G285" s="313">
        <f t="shared" si="48"/>
        <v>0.1</v>
      </c>
      <c r="H285" s="1128"/>
      <c r="I285" s="313">
        <f t="shared" si="49"/>
        <v>1</v>
      </c>
      <c r="J285" s="1128"/>
      <c r="K285" s="313">
        <f t="shared" si="50"/>
        <v>1</v>
      </c>
      <c r="L285" s="1128"/>
      <c r="M285" s="313">
        <f t="shared" si="51"/>
        <v>1</v>
      </c>
      <c r="N285" s="1128"/>
      <c r="O285" s="313">
        <f t="shared" si="52"/>
        <v>1</v>
      </c>
      <c r="P285" s="1128"/>
      <c r="Q285" s="313">
        <f t="shared" si="53"/>
        <v>0.2</v>
      </c>
      <c r="R285" s="1124">
        <f t="shared" si="54"/>
        <v>0</v>
      </c>
      <c r="S285" s="698">
        <f t="shared" si="45"/>
        <v>0</v>
      </c>
    </row>
    <row r="286" spans="1:19">
      <c r="A286" s="491"/>
      <c r="B286" s="348"/>
      <c r="C286" s="313">
        <f t="shared" si="46"/>
        <v>1</v>
      </c>
      <c r="D286" s="1128"/>
      <c r="E286" s="313">
        <f t="shared" si="47"/>
        <v>0.05</v>
      </c>
      <c r="F286" s="1128"/>
      <c r="G286" s="313">
        <f t="shared" si="48"/>
        <v>0.1</v>
      </c>
      <c r="H286" s="1128"/>
      <c r="I286" s="313">
        <f t="shared" si="49"/>
        <v>1</v>
      </c>
      <c r="J286" s="1128"/>
      <c r="K286" s="313">
        <f t="shared" si="50"/>
        <v>1</v>
      </c>
      <c r="L286" s="1128"/>
      <c r="M286" s="313">
        <f t="shared" si="51"/>
        <v>1</v>
      </c>
      <c r="N286" s="1128"/>
      <c r="O286" s="313">
        <f t="shared" si="52"/>
        <v>1</v>
      </c>
      <c r="P286" s="1128"/>
      <c r="Q286" s="313">
        <f t="shared" si="53"/>
        <v>0.2</v>
      </c>
      <c r="R286" s="1124">
        <f t="shared" si="54"/>
        <v>0</v>
      </c>
      <c r="S286" s="698">
        <f t="shared" si="45"/>
        <v>0</v>
      </c>
    </row>
    <row r="287" spans="1:19">
      <c r="A287" s="491"/>
      <c r="B287" s="348"/>
      <c r="C287" s="313">
        <f t="shared" si="46"/>
        <v>1</v>
      </c>
      <c r="D287" s="1128"/>
      <c r="E287" s="313">
        <f t="shared" si="47"/>
        <v>0.05</v>
      </c>
      <c r="F287" s="1128"/>
      <c r="G287" s="313">
        <f t="shared" si="48"/>
        <v>0.1</v>
      </c>
      <c r="H287" s="1128"/>
      <c r="I287" s="313">
        <f t="shared" si="49"/>
        <v>1</v>
      </c>
      <c r="J287" s="1128"/>
      <c r="K287" s="313">
        <f t="shared" si="50"/>
        <v>1</v>
      </c>
      <c r="L287" s="1128"/>
      <c r="M287" s="313">
        <f t="shared" si="51"/>
        <v>1</v>
      </c>
      <c r="N287" s="1128"/>
      <c r="O287" s="313">
        <f t="shared" si="52"/>
        <v>1</v>
      </c>
      <c r="P287" s="1128"/>
      <c r="Q287" s="313">
        <f t="shared" si="53"/>
        <v>0.2</v>
      </c>
      <c r="R287" s="1124">
        <f t="shared" si="54"/>
        <v>0</v>
      </c>
      <c r="S287" s="698">
        <f t="shared" si="45"/>
        <v>0</v>
      </c>
    </row>
    <row r="288" spans="1:19">
      <c r="A288" s="491"/>
      <c r="B288" s="348"/>
      <c r="C288" s="313">
        <f t="shared" si="46"/>
        <v>1</v>
      </c>
      <c r="D288" s="1128"/>
      <c r="E288" s="313">
        <f t="shared" si="47"/>
        <v>0.05</v>
      </c>
      <c r="F288" s="1128"/>
      <c r="G288" s="313">
        <f t="shared" si="48"/>
        <v>0.1</v>
      </c>
      <c r="H288" s="1128"/>
      <c r="I288" s="313">
        <f t="shared" si="49"/>
        <v>1</v>
      </c>
      <c r="J288" s="1128"/>
      <c r="K288" s="313">
        <f t="shared" si="50"/>
        <v>1</v>
      </c>
      <c r="L288" s="1128"/>
      <c r="M288" s="313">
        <f t="shared" si="51"/>
        <v>1</v>
      </c>
      <c r="N288" s="1128"/>
      <c r="O288" s="313">
        <f t="shared" si="52"/>
        <v>1</v>
      </c>
      <c r="P288" s="1128"/>
      <c r="Q288" s="313">
        <f t="shared" si="53"/>
        <v>0.2</v>
      </c>
      <c r="R288" s="1124">
        <f t="shared" si="54"/>
        <v>0</v>
      </c>
      <c r="S288" s="698">
        <f t="shared" si="45"/>
        <v>0</v>
      </c>
    </row>
    <row r="289" spans="1:19">
      <c r="A289" s="491"/>
      <c r="B289" s="348"/>
      <c r="C289" s="313">
        <f t="shared" si="46"/>
        <v>1</v>
      </c>
      <c r="D289" s="1128"/>
      <c r="E289" s="313">
        <f t="shared" si="47"/>
        <v>0.05</v>
      </c>
      <c r="F289" s="1128"/>
      <c r="G289" s="313">
        <f t="shared" si="48"/>
        <v>0.1</v>
      </c>
      <c r="H289" s="1128"/>
      <c r="I289" s="313">
        <f t="shared" si="49"/>
        <v>1</v>
      </c>
      <c r="J289" s="1128"/>
      <c r="K289" s="313">
        <f t="shared" si="50"/>
        <v>1</v>
      </c>
      <c r="L289" s="1128"/>
      <c r="M289" s="313">
        <f t="shared" si="51"/>
        <v>1</v>
      </c>
      <c r="N289" s="1128"/>
      <c r="O289" s="313">
        <f t="shared" si="52"/>
        <v>1</v>
      </c>
      <c r="P289" s="1128"/>
      <c r="Q289" s="313">
        <f t="shared" si="53"/>
        <v>0.2</v>
      </c>
      <c r="R289" s="1124">
        <f t="shared" si="54"/>
        <v>0</v>
      </c>
      <c r="S289" s="698">
        <f t="shared" si="45"/>
        <v>0</v>
      </c>
    </row>
    <row r="290" spans="1:19">
      <c r="A290" s="491"/>
      <c r="B290" s="348"/>
      <c r="C290" s="313">
        <f t="shared" si="46"/>
        <v>1</v>
      </c>
      <c r="D290" s="1128"/>
      <c r="E290" s="313">
        <f t="shared" si="47"/>
        <v>0.05</v>
      </c>
      <c r="F290" s="1128"/>
      <c r="G290" s="313">
        <f t="shared" si="48"/>
        <v>0.1</v>
      </c>
      <c r="H290" s="1128"/>
      <c r="I290" s="313">
        <f t="shared" si="49"/>
        <v>1</v>
      </c>
      <c r="J290" s="1128"/>
      <c r="K290" s="313">
        <f t="shared" si="50"/>
        <v>1</v>
      </c>
      <c r="L290" s="1128"/>
      <c r="M290" s="313">
        <f t="shared" si="51"/>
        <v>1</v>
      </c>
      <c r="N290" s="1128"/>
      <c r="O290" s="313">
        <f t="shared" si="52"/>
        <v>1</v>
      </c>
      <c r="P290" s="1128"/>
      <c r="Q290" s="313">
        <f t="shared" si="53"/>
        <v>0.2</v>
      </c>
      <c r="R290" s="1124">
        <f t="shared" si="54"/>
        <v>0</v>
      </c>
      <c r="S290" s="698">
        <f t="shared" si="45"/>
        <v>0</v>
      </c>
    </row>
    <row r="291" spans="1:19">
      <c r="A291" s="491"/>
      <c r="B291" s="348"/>
      <c r="C291" s="313">
        <f t="shared" si="46"/>
        <v>1</v>
      </c>
      <c r="D291" s="1128"/>
      <c r="E291" s="313">
        <f t="shared" si="47"/>
        <v>0.05</v>
      </c>
      <c r="F291" s="1128"/>
      <c r="G291" s="313">
        <f t="shared" si="48"/>
        <v>0.1</v>
      </c>
      <c r="H291" s="1128"/>
      <c r="I291" s="313">
        <f t="shared" si="49"/>
        <v>1</v>
      </c>
      <c r="J291" s="1128"/>
      <c r="K291" s="313">
        <f t="shared" si="50"/>
        <v>1</v>
      </c>
      <c r="L291" s="1128"/>
      <c r="M291" s="313">
        <f t="shared" si="51"/>
        <v>1</v>
      </c>
      <c r="N291" s="1128"/>
      <c r="O291" s="313">
        <f t="shared" si="52"/>
        <v>1</v>
      </c>
      <c r="P291" s="1128"/>
      <c r="Q291" s="313">
        <f t="shared" si="53"/>
        <v>0.2</v>
      </c>
      <c r="R291" s="1124">
        <f t="shared" si="54"/>
        <v>0</v>
      </c>
      <c r="S291" s="698">
        <f t="shared" si="45"/>
        <v>0</v>
      </c>
    </row>
    <row r="292" spans="1:19">
      <c r="A292" s="491"/>
      <c r="B292" s="348"/>
      <c r="C292" s="313">
        <f t="shared" si="46"/>
        <v>1</v>
      </c>
      <c r="D292" s="1128"/>
      <c r="E292" s="313">
        <f t="shared" si="47"/>
        <v>0.05</v>
      </c>
      <c r="F292" s="1128"/>
      <c r="G292" s="313">
        <f t="shared" si="48"/>
        <v>0.1</v>
      </c>
      <c r="H292" s="1128"/>
      <c r="I292" s="313">
        <f t="shared" si="49"/>
        <v>1</v>
      </c>
      <c r="J292" s="1128"/>
      <c r="K292" s="313">
        <f t="shared" si="50"/>
        <v>1</v>
      </c>
      <c r="L292" s="1128"/>
      <c r="M292" s="313">
        <f t="shared" si="51"/>
        <v>1</v>
      </c>
      <c r="N292" s="1128"/>
      <c r="O292" s="313">
        <f t="shared" si="52"/>
        <v>1</v>
      </c>
      <c r="P292" s="1128"/>
      <c r="Q292" s="313">
        <f t="shared" si="53"/>
        <v>0.2</v>
      </c>
      <c r="R292" s="1124">
        <f t="shared" si="54"/>
        <v>0</v>
      </c>
      <c r="S292" s="698">
        <f t="shared" si="45"/>
        <v>0</v>
      </c>
    </row>
    <row r="293" spans="1:19">
      <c r="A293" s="491"/>
      <c r="B293" s="348"/>
      <c r="C293" s="313">
        <f t="shared" si="46"/>
        <v>1</v>
      </c>
      <c r="D293" s="1128"/>
      <c r="E293" s="313">
        <f t="shared" si="47"/>
        <v>0.05</v>
      </c>
      <c r="F293" s="1128"/>
      <c r="G293" s="313">
        <f t="shared" si="48"/>
        <v>0.1</v>
      </c>
      <c r="H293" s="1128"/>
      <c r="I293" s="313">
        <f t="shared" si="49"/>
        <v>1</v>
      </c>
      <c r="J293" s="1128"/>
      <c r="K293" s="313">
        <f t="shared" si="50"/>
        <v>1</v>
      </c>
      <c r="L293" s="1128"/>
      <c r="M293" s="313">
        <f t="shared" si="51"/>
        <v>1</v>
      </c>
      <c r="N293" s="1128"/>
      <c r="O293" s="313">
        <f t="shared" si="52"/>
        <v>1</v>
      </c>
      <c r="P293" s="1128"/>
      <c r="Q293" s="313">
        <f t="shared" si="53"/>
        <v>0.2</v>
      </c>
      <c r="R293" s="1124">
        <f t="shared" si="54"/>
        <v>0</v>
      </c>
      <c r="S293" s="698">
        <f t="shared" si="45"/>
        <v>0</v>
      </c>
    </row>
    <row r="294" spans="1:19">
      <c r="A294" s="491"/>
      <c r="B294" s="348"/>
      <c r="C294" s="313">
        <f t="shared" si="46"/>
        <v>1</v>
      </c>
      <c r="D294" s="1128"/>
      <c r="E294" s="313">
        <f t="shared" si="47"/>
        <v>0.05</v>
      </c>
      <c r="F294" s="1128"/>
      <c r="G294" s="313">
        <f t="shared" si="48"/>
        <v>0.1</v>
      </c>
      <c r="H294" s="1128"/>
      <c r="I294" s="313">
        <f t="shared" si="49"/>
        <v>1</v>
      </c>
      <c r="J294" s="1128"/>
      <c r="K294" s="313">
        <f t="shared" si="50"/>
        <v>1</v>
      </c>
      <c r="L294" s="1128"/>
      <c r="M294" s="313">
        <f t="shared" si="51"/>
        <v>1</v>
      </c>
      <c r="N294" s="1128"/>
      <c r="O294" s="313">
        <f t="shared" si="52"/>
        <v>1</v>
      </c>
      <c r="P294" s="1128"/>
      <c r="Q294" s="313">
        <f t="shared" si="53"/>
        <v>0.2</v>
      </c>
      <c r="R294" s="1124">
        <f t="shared" si="54"/>
        <v>0</v>
      </c>
      <c r="S294" s="698">
        <f t="shared" si="45"/>
        <v>0</v>
      </c>
    </row>
    <row r="295" spans="1:19">
      <c r="A295" s="491"/>
      <c r="B295" s="348"/>
      <c r="C295" s="313">
        <f t="shared" si="46"/>
        <v>1</v>
      </c>
      <c r="D295" s="1128"/>
      <c r="E295" s="313">
        <f t="shared" si="47"/>
        <v>0.05</v>
      </c>
      <c r="F295" s="1128"/>
      <c r="G295" s="313">
        <f t="shared" si="48"/>
        <v>0.1</v>
      </c>
      <c r="H295" s="1128"/>
      <c r="I295" s="313">
        <f t="shared" si="49"/>
        <v>1</v>
      </c>
      <c r="J295" s="1128"/>
      <c r="K295" s="313">
        <f t="shared" si="50"/>
        <v>1</v>
      </c>
      <c r="L295" s="1128"/>
      <c r="M295" s="313">
        <f t="shared" si="51"/>
        <v>1</v>
      </c>
      <c r="N295" s="1128"/>
      <c r="O295" s="313">
        <f t="shared" si="52"/>
        <v>1</v>
      </c>
      <c r="P295" s="1128"/>
      <c r="Q295" s="313">
        <f t="shared" si="53"/>
        <v>0.2</v>
      </c>
      <c r="R295" s="1124">
        <f t="shared" si="54"/>
        <v>0</v>
      </c>
      <c r="S295" s="698">
        <f t="shared" si="45"/>
        <v>0</v>
      </c>
    </row>
    <row r="296" spans="1:19">
      <c r="A296" s="491"/>
      <c r="B296" s="348"/>
      <c r="C296" s="313">
        <f t="shared" si="46"/>
        <v>1</v>
      </c>
      <c r="D296" s="1128"/>
      <c r="E296" s="313">
        <f t="shared" si="47"/>
        <v>0.05</v>
      </c>
      <c r="F296" s="1128"/>
      <c r="G296" s="313">
        <f t="shared" si="48"/>
        <v>0.1</v>
      </c>
      <c r="H296" s="1128"/>
      <c r="I296" s="313">
        <f t="shared" si="49"/>
        <v>1</v>
      </c>
      <c r="J296" s="1128"/>
      <c r="K296" s="313">
        <f t="shared" si="50"/>
        <v>1</v>
      </c>
      <c r="L296" s="1128"/>
      <c r="M296" s="313">
        <f t="shared" si="51"/>
        <v>1</v>
      </c>
      <c r="N296" s="1128"/>
      <c r="O296" s="313">
        <f t="shared" si="52"/>
        <v>1</v>
      </c>
      <c r="P296" s="1128"/>
      <c r="Q296" s="313">
        <f t="shared" si="53"/>
        <v>0.2</v>
      </c>
      <c r="R296" s="1124">
        <f t="shared" si="54"/>
        <v>0</v>
      </c>
      <c r="S296" s="698">
        <f t="shared" si="45"/>
        <v>0</v>
      </c>
    </row>
    <row r="297" spans="1:19">
      <c r="A297" s="491"/>
      <c r="B297" s="348"/>
      <c r="C297" s="313">
        <f t="shared" si="46"/>
        <v>1</v>
      </c>
      <c r="D297" s="1128"/>
      <c r="E297" s="313">
        <f t="shared" si="47"/>
        <v>0.05</v>
      </c>
      <c r="F297" s="1128"/>
      <c r="G297" s="313">
        <f t="shared" si="48"/>
        <v>0.1</v>
      </c>
      <c r="H297" s="1128"/>
      <c r="I297" s="313">
        <f t="shared" si="49"/>
        <v>1</v>
      </c>
      <c r="J297" s="1128"/>
      <c r="K297" s="313">
        <f t="shared" si="50"/>
        <v>1</v>
      </c>
      <c r="L297" s="1128"/>
      <c r="M297" s="313">
        <f t="shared" si="51"/>
        <v>1</v>
      </c>
      <c r="N297" s="1128"/>
      <c r="O297" s="313">
        <f t="shared" si="52"/>
        <v>1</v>
      </c>
      <c r="P297" s="1128"/>
      <c r="Q297" s="313">
        <f t="shared" si="53"/>
        <v>0.2</v>
      </c>
      <c r="R297" s="1124">
        <f t="shared" si="54"/>
        <v>0</v>
      </c>
      <c r="S297" s="698">
        <f t="shared" si="45"/>
        <v>0</v>
      </c>
    </row>
    <row r="298" spans="1:19">
      <c r="A298" s="491"/>
      <c r="B298" s="348"/>
      <c r="C298" s="313">
        <f t="shared" si="46"/>
        <v>1</v>
      </c>
      <c r="D298" s="1128"/>
      <c r="E298" s="313">
        <f t="shared" si="47"/>
        <v>0.05</v>
      </c>
      <c r="F298" s="1128"/>
      <c r="G298" s="313">
        <f t="shared" si="48"/>
        <v>0.1</v>
      </c>
      <c r="H298" s="1128"/>
      <c r="I298" s="313">
        <f t="shared" si="49"/>
        <v>1</v>
      </c>
      <c r="J298" s="1128"/>
      <c r="K298" s="313">
        <f t="shared" si="50"/>
        <v>1</v>
      </c>
      <c r="L298" s="1128"/>
      <c r="M298" s="313">
        <f t="shared" si="51"/>
        <v>1</v>
      </c>
      <c r="N298" s="1128"/>
      <c r="O298" s="313">
        <f t="shared" si="52"/>
        <v>1</v>
      </c>
      <c r="P298" s="1128"/>
      <c r="Q298" s="313">
        <f t="shared" si="53"/>
        <v>0.2</v>
      </c>
      <c r="R298" s="1124">
        <f t="shared" si="54"/>
        <v>0</v>
      </c>
      <c r="S298" s="698">
        <f t="shared" si="45"/>
        <v>0</v>
      </c>
    </row>
    <row r="299" spans="1:19">
      <c r="A299" s="491"/>
      <c r="B299" s="348"/>
      <c r="C299" s="313">
        <f t="shared" si="46"/>
        <v>1</v>
      </c>
      <c r="D299" s="1128"/>
      <c r="E299" s="313">
        <f t="shared" si="47"/>
        <v>0.05</v>
      </c>
      <c r="F299" s="1128"/>
      <c r="G299" s="313">
        <f t="shared" si="48"/>
        <v>0.1</v>
      </c>
      <c r="H299" s="1128"/>
      <c r="I299" s="313">
        <f t="shared" si="49"/>
        <v>1</v>
      </c>
      <c r="J299" s="1128"/>
      <c r="K299" s="313">
        <f t="shared" si="50"/>
        <v>1</v>
      </c>
      <c r="L299" s="1128"/>
      <c r="M299" s="313">
        <f t="shared" si="51"/>
        <v>1</v>
      </c>
      <c r="N299" s="1128"/>
      <c r="O299" s="313">
        <f t="shared" si="52"/>
        <v>1</v>
      </c>
      <c r="P299" s="1128"/>
      <c r="Q299" s="313">
        <f t="shared" si="53"/>
        <v>0.2</v>
      </c>
      <c r="R299" s="1124">
        <f t="shared" si="54"/>
        <v>0</v>
      </c>
      <c r="S299" s="698">
        <f t="shared" si="45"/>
        <v>0</v>
      </c>
    </row>
    <row r="300" spans="1:19">
      <c r="A300" s="491"/>
      <c r="B300" s="348"/>
      <c r="C300" s="313">
        <f t="shared" si="46"/>
        <v>1</v>
      </c>
      <c r="D300" s="1128"/>
      <c r="E300" s="313">
        <f t="shared" si="47"/>
        <v>0.05</v>
      </c>
      <c r="F300" s="1128"/>
      <c r="G300" s="313">
        <f t="shared" si="48"/>
        <v>0.1</v>
      </c>
      <c r="H300" s="1128"/>
      <c r="I300" s="313">
        <f t="shared" si="49"/>
        <v>1</v>
      </c>
      <c r="J300" s="1128"/>
      <c r="K300" s="313">
        <f t="shared" si="50"/>
        <v>1</v>
      </c>
      <c r="L300" s="1128"/>
      <c r="M300" s="313">
        <f t="shared" si="51"/>
        <v>1</v>
      </c>
      <c r="N300" s="1128"/>
      <c r="O300" s="313">
        <f t="shared" si="52"/>
        <v>1</v>
      </c>
      <c r="P300" s="1128"/>
      <c r="Q300" s="313">
        <f t="shared" si="53"/>
        <v>0.2</v>
      </c>
      <c r="R300" s="1124">
        <f t="shared" si="54"/>
        <v>0</v>
      </c>
      <c r="S300" s="698">
        <f t="shared" si="45"/>
        <v>0</v>
      </c>
    </row>
    <row r="301" spans="1:19">
      <c r="A301" s="491"/>
      <c r="B301" s="348"/>
      <c r="C301" s="313">
        <f t="shared" si="46"/>
        <v>1</v>
      </c>
      <c r="D301" s="1128"/>
      <c r="E301" s="313">
        <f t="shared" si="47"/>
        <v>0.05</v>
      </c>
      <c r="F301" s="1128"/>
      <c r="G301" s="313">
        <f t="shared" si="48"/>
        <v>0.1</v>
      </c>
      <c r="H301" s="1128"/>
      <c r="I301" s="313">
        <f t="shared" si="49"/>
        <v>1</v>
      </c>
      <c r="J301" s="1128"/>
      <c r="K301" s="313">
        <f t="shared" si="50"/>
        <v>1</v>
      </c>
      <c r="L301" s="1128"/>
      <c r="M301" s="313">
        <f t="shared" si="51"/>
        <v>1</v>
      </c>
      <c r="N301" s="1128"/>
      <c r="O301" s="313">
        <f t="shared" si="52"/>
        <v>1</v>
      </c>
      <c r="P301" s="1128"/>
      <c r="Q301" s="313">
        <f t="shared" si="53"/>
        <v>0.2</v>
      </c>
      <c r="R301" s="1124">
        <f t="shared" si="54"/>
        <v>0</v>
      </c>
      <c r="S301" s="698">
        <f t="shared" si="45"/>
        <v>0</v>
      </c>
    </row>
    <row r="302" spans="1:19">
      <c r="A302" s="491"/>
      <c r="B302" s="348"/>
      <c r="C302" s="313">
        <f t="shared" si="46"/>
        <v>1</v>
      </c>
      <c r="D302" s="1128"/>
      <c r="E302" s="313">
        <f t="shared" si="47"/>
        <v>0.05</v>
      </c>
      <c r="F302" s="1128"/>
      <c r="G302" s="313">
        <f t="shared" si="48"/>
        <v>0.1</v>
      </c>
      <c r="H302" s="1128"/>
      <c r="I302" s="313">
        <f t="shared" si="49"/>
        <v>1</v>
      </c>
      <c r="J302" s="1128"/>
      <c r="K302" s="313">
        <f t="shared" si="50"/>
        <v>1</v>
      </c>
      <c r="L302" s="1128"/>
      <c r="M302" s="313">
        <f t="shared" si="51"/>
        <v>1</v>
      </c>
      <c r="N302" s="1128"/>
      <c r="O302" s="313">
        <f t="shared" si="52"/>
        <v>1</v>
      </c>
      <c r="P302" s="1128"/>
      <c r="Q302" s="313">
        <f t="shared" si="53"/>
        <v>0.2</v>
      </c>
      <c r="R302" s="1124">
        <f t="shared" si="54"/>
        <v>0</v>
      </c>
      <c r="S302" s="698">
        <f t="shared" si="45"/>
        <v>0</v>
      </c>
    </row>
    <row r="303" spans="1:19">
      <c r="A303" s="491"/>
      <c r="B303" s="348"/>
      <c r="C303" s="313">
        <f t="shared" si="46"/>
        <v>1</v>
      </c>
      <c r="D303" s="1128"/>
      <c r="E303" s="313">
        <f t="shared" si="47"/>
        <v>0.05</v>
      </c>
      <c r="F303" s="1128"/>
      <c r="G303" s="313">
        <f t="shared" si="48"/>
        <v>0.1</v>
      </c>
      <c r="H303" s="1128"/>
      <c r="I303" s="313">
        <f t="shared" si="49"/>
        <v>1</v>
      </c>
      <c r="J303" s="1128"/>
      <c r="K303" s="313">
        <f t="shared" si="50"/>
        <v>1</v>
      </c>
      <c r="L303" s="1128"/>
      <c r="M303" s="313">
        <f t="shared" si="51"/>
        <v>1</v>
      </c>
      <c r="N303" s="1128"/>
      <c r="O303" s="313">
        <f t="shared" si="52"/>
        <v>1</v>
      </c>
      <c r="P303" s="1128"/>
      <c r="Q303" s="313">
        <f t="shared" si="53"/>
        <v>0.2</v>
      </c>
      <c r="R303" s="1124">
        <f t="shared" si="54"/>
        <v>0</v>
      </c>
      <c r="S303" s="698">
        <f t="shared" si="45"/>
        <v>0</v>
      </c>
    </row>
    <row r="304" spans="1:19">
      <c r="A304" s="491"/>
      <c r="B304" s="348"/>
      <c r="C304" s="313">
        <f t="shared" si="46"/>
        <v>1</v>
      </c>
      <c r="D304" s="1128"/>
      <c r="E304" s="313">
        <f t="shared" si="47"/>
        <v>0.05</v>
      </c>
      <c r="F304" s="1128"/>
      <c r="G304" s="313">
        <f t="shared" si="48"/>
        <v>0.1</v>
      </c>
      <c r="H304" s="1128"/>
      <c r="I304" s="313">
        <f t="shared" si="49"/>
        <v>1</v>
      </c>
      <c r="J304" s="1128"/>
      <c r="K304" s="313">
        <f t="shared" si="50"/>
        <v>1</v>
      </c>
      <c r="L304" s="1128"/>
      <c r="M304" s="313">
        <f t="shared" si="51"/>
        <v>1</v>
      </c>
      <c r="N304" s="1128"/>
      <c r="O304" s="313">
        <f t="shared" si="52"/>
        <v>1</v>
      </c>
      <c r="P304" s="1128"/>
      <c r="Q304" s="313">
        <f t="shared" si="53"/>
        <v>0.2</v>
      </c>
      <c r="R304" s="1124">
        <f t="shared" si="54"/>
        <v>0</v>
      </c>
      <c r="S304" s="698">
        <f t="shared" si="45"/>
        <v>0</v>
      </c>
    </row>
    <row r="305" spans="1:19">
      <c r="A305" s="491"/>
      <c r="B305" s="348"/>
      <c r="C305" s="313">
        <f t="shared" si="46"/>
        <v>1</v>
      </c>
      <c r="D305" s="1128"/>
      <c r="E305" s="313">
        <f t="shared" si="47"/>
        <v>0.05</v>
      </c>
      <c r="F305" s="1128"/>
      <c r="G305" s="313">
        <f t="shared" si="48"/>
        <v>0.1</v>
      </c>
      <c r="H305" s="1128"/>
      <c r="I305" s="313">
        <f t="shared" si="49"/>
        <v>1</v>
      </c>
      <c r="J305" s="1128"/>
      <c r="K305" s="313">
        <f t="shared" si="50"/>
        <v>1</v>
      </c>
      <c r="L305" s="1128"/>
      <c r="M305" s="313">
        <f t="shared" si="51"/>
        <v>1</v>
      </c>
      <c r="N305" s="1128"/>
      <c r="O305" s="313">
        <f t="shared" si="52"/>
        <v>1</v>
      </c>
      <c r="P305" s="1128"/>
      <c r="Q305" s="313">
        <f t="shared" si="53"/>
        <v>0.2</v>
      </c>
      <c r="R305" s="1124">
        <f t="shared" si="54"/>
        <v>0</v>
      </c>
      <c r="S305" s="698">
        <f t="shared" si="45"/>
        <v>0</v>
      </c>
    </row>
    <row r="306" spans="1:19">
      <c r="A306" s="491"/>
      <c r="B306" s="348"/>
      <c r="C306" s="313">
        <f t="shared" si="46"/>
        <v>1</v>
      </c>
      <c r="D306" s="1128"/>
      <c r="E306" s="313">
        <f t="shared" si="47"/>
        <v>0.05</v>
      </c>
      <c r="F306" s="1128"/>
      <c r="G306" s="313">
        <f t="shared" si="48"/>
        <v>0.1</v>
      </c>
      <c r="H306" s="1128"/>
      <c r="I306" s="313">
        <f t="shared" si="49"/>
        <v>1</v>
      </c>
      <c r="J306" s="1128"/>
      <c r="K306" s="313">
        <f t="shared" si="50"/>
        <v>1</v>
      </c>
      <c r="L306" s="1128"/>
      <c r="M306" s="313">
        <f t="shared" si="51"/>
        <v>1</v>
      </c>
      <c r="N306" s="1128"/>
      <c r="O306" s="313">
        <f t="shared" si="52"/>
        <v>1</v>
      </c>
      <c r="P306" s="1128"/>
      <c r="Q306" s="313">
        <f t="shared" si="53"/>
        <v>0.2</v>
      </c>
      <c r="R306" s="1124">
        <f t="shared" si="54"/>
        <v>0</v>
      </c>
      <c r="S306" s="698">
        <f t="shared" si="45"/>
        <v>0</v>
      </c>
    </row>
    <row r="307" spans="1:19">
      <c r="A307" s="491"/>
      <c r="B307" s="348"/>
      <c r="C307" s="313">
        <f t="shared" si="46"/>
        <v>1</v>
      </c>
      <c r="D307" s="1128"/>
      <c r="E307" s="313">
        <f t="shared" si="47"/>
        <v>0.05</v>
      </c>
      <c r="F307" s="1128"/>
      <c r="G307" s="313">
        <f t="shared" si="48"/>
        <v>0.1</v>
      </c>
      <c r="H307" s="1128"/>
      <c r="I307" s="313">
        <f t="shared" si="49"/>
        <v>1</v>
      </c>
      <c r="J307" s="1128"/>
      <c r="K307" s="313">
        <f t="shared" si="50"/>
        <v>1</v>
      </c>
      <c r="L307" s="1128"/>
      <c r="M307" s="313">
        <f t="shared" si="51"/>
        <v>1</v>
      </c>
      <c r="N307" s="1128"/>
      <c r="O307" s="313">
        <f t="shared" si="52"/>
        <v>1</v>
      </c>
      <c r="P307" s="1128"/>
      <c r="Q307" s="313">
        <f t="shared" si="53"/>
        <v>0.2</v>
      </c>
      <c r="R307" s="1124">
        <f t="shared" si="54"/>
        <v>0</v>
      </c>
      <c r="S307" s="698">
        <f t="shared" si="45"/>
        <v>0</v>
      </c>
    </row>
    <row r="308" spans="1:19">
      <c r="A308" s="491"/>
      <c r="B308" s="348"/>
      <c r="C308" s="313">
        <f t="shared" si="46"/>
        <v>1</v>
      </c>
      <c r="D308" s="1128"/>
      <c r="E308" s="313">
        <f t="shared" si="47"/>
        <v>0.05</v>
      </c>
      <c r="F308" s="1128"/>
      <c r="G308" s="313">
        <f t="shared" si="48"/>
        <v>0.1</v>
      </c>
      <c r="H308" s="1128"/>
      <c r="I308" s="313">
        <f t="shared" si="49"/>
        <v>1</v>
      </c>
      <c r="J308" s="1128"/>
      <c r="K308" s="313">
        <f t="shared" si="50"/>
        <v>1</v>
      </c>
      <c r="L308" s="1128"/>
      <c r="M308" s="313">
        <f t="shared" si="51"/>
        <v>1</v>
      </c>
      <c r="N308" s="1128"/>
      <c r="O308" s="313">
        <f t="shared" si="52"/>
        <v>1</v>
      </c>
      <c r="P308" s="1128"/>
      <c r="Q308" s="313">
        <f t="shared" si="53"/>
        <v>0.2</v>
      </c>
      <c r="R308" s="1124">
        <f t="shared" si="54"/>
        <v>0</v>
      </c>
      <c r="S308" s="698">
        <f t="shared" si="45"/>
        <v>0</v>
      </c>
    </row>
    <row r="309" spans="1:19">
      <c r="A309" s="491"/>
      <c r="B309" s="348"/>
      <c r="C309" s="313">
        <f t="shared" si="46"/>
        <v>1</v>
      </c>
      <c r="D309" s="1128"/>
      <c r="E309" s="313">
        <f t="shared" si="47"/>
        <v>0.05</v>
      </c>
      <c r="F309" s="1128"/>
      <c r="G309" s="313">
        <f t="shared" si="48"/>
        <v>0.1</v>
      </c>
      <c r="H309" s="1128"/>
      <c r="I309" s="313">
        <f t="shared" si="49"/>
        <v>1</v>
      </c>
      <c r="J309" s="1128"/>
      <c r="K309" s="313">
        <f t="shared" si="50"/>
        <v>1</v>
      </c>
      <c r="L309" s="1128"/>
      <c r="M309" s="313">
        <f t="shared" si="51"/>
        <v>1</v>
      </c>
      <c r="N309" s="1128"/>
      <c r="O309" s="313">
        <f t="shared" si="52"/>
        <v>1</v>
      </c>
      <c r="P309" s="1128"/>
      <c r="Q309" s="313">
        <f t="shared" si="53"/>
        <v>0.2</v>
      </c>
      <c r="R309" s="1124">
        <f t="shared" si="54"/>
        <v>0</v>
      </c>
      <c r="S309" s="698">
        <f t="shared" si="45"/>
        <v>0</v>
      </c>
    </row>
    <row r="310" spans="1:19">
      <c r="A310" s="491"/>
      <c r="B310" s="348"/>
      <c r="C310" s="313">
        <f t="shared" si="46"/>
        <v>1</v>
      </c>
      <c r="D310" s="1128"/>
      <c r="E310" s="313">
        <f t="shared" si="47"/>
        <v>0.05</v>
      </c>
      <c r="F310" s="1128"/>
      <c r="G310" s="313">
        <f t="shared" si="48"/>
        <v>0.1</v>
      </c>
      <c r="H310" s="1128"/>
      <c r="I310" s="313">
        <f t="shared" si="49"/>
        <v>1</v>
      </c>
      <c r="J310" s="1128"/>
      <c r="K310" s="313">
        <f t="shared" si="50"/>
        <v>1</v>
      </c>
      <c r="L310" s="1128"/>
      <c r="M310" s="313">
        <f t="shared" si="51"/>
        <v>1</v>
      </c>
      <c r="N310" s="1128"/>
      <c r="O310" s="313">
        <f t="shared" si="52"/>
        <v>1</v>
      </c>
      <c r="P310" s="1128"/>
      <c r="Q310" s="313">
        <f t="shared" si="53"/>
        <v>0.2</v>
      </c>
      <c r="R310" s="1124">
        <f t="shared" si="54"/>
        <v>0</v>
      </c>
      <c r="S310" s="698">
        <f t="shared" si="45"/>
        <v>0</v>
      </c>
    </row>
    <row r="311" spans="1:19">
      <c r="A311" s="491"/>
      <c r="B311" s="348"/>
      <c r="C311" s="313">
        <f t="shared" si="46"/>
        <v>1</v>
      </c>
      <c r="D311" s="1128"/>
      <c r="E311" s="313">
        <f t="shared" si="47"/>
        <v>0.05</v>
      </c>
      <c r="F311" s="1128"/>
      <c r="G311" s="313">
        <f t="shared" si="48"/>
        <v>0.1</v>
      </c>
      <c r="H311" s="1128"/>
      <c r="I311" s="313">
        <f t="shared" si="49"/>
        <v>1</v>
      </c>
      <c r="J311" s="1128"/>
      <c r="K311" s="313">
        <f t="shared" si="50"/>
        <v>1</v>
      </c>
      <c r="L311" s="1128"/>
      <c r="M311" s="313">
        <f t="shared" si="51"/>
        <v>1</v>
      </c>
      <c r="N311" s="1128"/>
      <c r="O311" s="313">
        <f t="shared" si="52"/>
        <v>1</v>
      </c>
      <c r="P311" s="1128"/>
      <c r="Q311" s="313">
        <f t="shared" si="53"/>
        <v>0.2</v>
      </c>
      <c r="R311" s="1124">
        <f t="shared" si="54"/>
        <v>0</v>
      </c>
      <c r="S311" s="698">
        <f t="shared" si="45"/>
        <v>0</v>
      </c>
    </row>
    <row r="312" spans="1:19">
      <c r="A312" s="491"/>
      <c r="B312" s="348"/>
      <c r="C312" s="313">
        <f t="shared" si="46"/>
        <v>1</v>
      </c>
      <c r="D312" s="1128"/>
      <c r="E312" s="313">
        <f t="shared" si="47"/>
        <v>0.05</v>
      </c>
      <c r="F312" s="1128"/>
      <c r="G312" s="313">
        <f t="shared" si="48"/>
        <v>0.1</v>
      </c>
      <c r="H312" s="1128"/>
      <c r="I312" s="313">
        <f t="shared" si="49"/>
        <v>1</v>
      </c>
      <c r="J312" s="1128"/>
      <c r="K312" s="313">
        <f t="shared" si="50"/>
        <v>1</v>
      </c>
      <c r="L312" s="1128"/>
      <c r="M312" s="313">
        <f t="shared" si="51"/>
        <v>1</v>
      </c>
      <c r="N312" s="1128"/>
      <c r="O312" s="313">
        <f t="shared" si="52"/>
        <v>1</v>
      </c>
      <c r="P312" s="1128"/>
      <c r="Q312" s="313">
        <f t="shared" si="53"/>
        <v>0.2</v>
      </c>
      <c r="R312" s="1124">
        <f t="shared" si="54"/>
        <v>0</v>
      </c>
      <c r="S312" s="698">
        <f t="shared" si="45"/>
        <v>0</v>
      </c>
    </row>
    <row r="313" spans="1:19">
      <c r="A313" s="491"/>
      <c r="B313" s="348"/>
      <c r="C313" s="313">
        <f t="shared" si="46"/>
        <v>1</v>
      </c>
      <c r="D313" s="1128"/>
      <c r="E313" s="313">
        <f t="shared" si="47"/>
        <v>0.05</v>
      </c>
      <c r="F313" s="1128"/>
      <c r="G313" s="313">
        <f t="shared" si="48"/>
        <v>0.1</v>
      </c>
      <c r="H313" s="1128"/>
      <c r="I313" s="313">
        <f t="shared" si="49"/>
        <v>1</v>
      </c>
      <c r="J313" s="1128"/>
      <c r="K313" s="313">
        <f t="shared" si="50"/>
        <v>1</v>
      </c>
      <c r="L313" s="1128"/>
      <c r="M313" s="313">
        <f t="shared" si="51"/>
        <v>1</v>
      </c>
      <c r="N313" s="1128"/>
      <c r="O313" s="313">
        <f t="shared" si="52"/>
        <v>1</v>
      </c>
      <c r="P313" s="1128"/>
      <c r="Q313" s="313">
        <f t="shared" si="53"/>
        <v>0.2</v>
      </c>
      <c r="R313" s="1124">
        <f t="shared" si="54"/>
        <v>0</v>
      </c>
      <c r="S313" s="698">
        <f t="shared" si="45"/>
        <v>0</v>
      </c>
    </row>
    <row r="314" spans="1:19">
      <c r="A314" s="491"/>
      <c r="B314" s="348"/>
      <c r="C314" s="313">
        <f t="shared" si="46"/>
        <v>1</v>
      </c>
      <c r="D314" s="1128"/>
      <c r="E314" s="313">
        <f t="shared" si="47"/>
        <v>0.05</v>
      </c>
      <c r="F314" s="1128"/>
      <c r="G314" s="313">
        <f t="shared" si="48"/>
        <v>0.1</v>
      </c>
      <c r="H314" s="1128"/>
      <c r="I314" s="313">
        <f t="shared" si="49"/>
        <v>1</v>
      </c>
      <c r="J314" s="1128"/>
      <c r="K314" s="313">
        <f t="shared" si="50"/>
        <v>1</v>
      </c>
      <c r="L314" s="1128"/>
      <c r="M314" s="313">
        <f t="shared" si="51"/>
        <v>1</v>
      </c>
      <c r="N314" s="1128"/>
      <c r="O314" s="313">
        <f t="shared" si="52"/>
        <v>1</v>
      </c>
      <c r="P314" s="1128"/>
      <c r="Q314" s="313">
        <f t="shared" si="53"/>
        <v>0.2</v>
      </c>
      <c r="R314" s="1124">
        <f t="shared" si="54"/>
        <v>0</v>
      </c>
      <c r="S314" s="698">
        <f t="shared" si="45"/>
        <v>0</v>
      </c>
    </row>
    <row r="315" spans="1:19">
      <c r="A315" s="491"/>
      <c r="B315" s="348"/>
      <c r="C315" s="313">
        <f t="shared" si="46"/>
        <v>1</v>
      </c>
      <c r="D315" s="1128"/>
      <c r="E315" s="313">
        <f t="shared" si="47"/>
        <v>0.05</v>
      </c>
      <c r="F315" s="1128"/>
      <c r="G315" s="313">
        <f t="shared" si="48"/>
        <v>0.1</v>
      </c>
      <c r="H315" s="1128"/>
      <c r="I315" s="313">
        <f t="shared" si="49"/>
        <v>1</v>
      </c>
      <c r="J315" s="1128"/>
      <c r="K315" s="313">
        <f t="shared" si="50"/>
        <v>1</v>
      </c>
      <c r="L315" s="1128"/>
      <c r="M315" s="313">
        <f t="shared" si="51"/>
        <v>1</v>
      </c>
      <c r="N315" s="1128"/>
      <c r="O315" s="313">
        <f t="shared" si="52"/>
        <v>1</v>
      </c>
      <c r="P315" s="1128"/>
      <c r="Q315" s="313">
        <f t="shared" si="53"/>
        <v>0.2</v>
      </c>
      <c r="R315" s="1124">
        <f t="shared" si="54"/>
        <v>0</v>
      </c>
      <c r="S315" s="698">
        <f t="shared" si="45"/>
        <v>0</v>
      </c>
    </row>
    <row r="316" spans="1:19">
      <c r="A316" s="491"/>
      <c r="B316" s="348"/>
      <c r="C316" s="313">
        <f t="shared" si="46"/>
        <v>1</v>
      </c>
      <c r="D316" s="1128"/>
      <c r="E316" s="313">
        <f t="shared" si="47"/>
        <v>0.05</v>
      </c>
      <c r="F316" s="1128"/>
      <c r="G316" s="313">
        <f t="shared" si="48"/>
        <v>0.1</v>
      </c>
      <c r="H316" s="1128"/>
      <c r="I316" s="313">
        <f t="shared" si="49"/>
        <v>1</v>
      </c>
      <c r="J316" s="1128"/>
      <c r="K316" s="313">
        <f t="shared" si="50"/>
        <v>1</v>
      </c>
      <c r="L316" s="1128"/>
      <c r="M316" s="313">
        <f t="shared" si="51"/>
        <v>1</v>
      </c>
      <c r="N316" s="1128"/>
      <c r="O316" s="313">
        <f t="shared" si="52"/>
        <v>1</v>
      </c>
      <c r="P316" s="1128"/>
      <c r="Q316" s="313">
        <f t="shared" si="53"/>
        <v>0.2</v>
      </c>
      <c r="R316" s="1124">
        <f t="shared" si="54"/>
        <v>0</v>
      </c>
      <c r="S316" s="698">
        <f t="shared" si="45"/>
        <v>0</v>
      </c>
    </row>
    <row r="317" spans="1:19">
      <c r="A317" s="491"/>
      <c r="B317" s="348"/>
      <c r="C317" s="313">
        <f t="shared" si="46"/>
        <v>1</v>
      </c>
      <c r="D317" s="1128"/>
      <c r="E317" s="313">
        <f t="shared" si="47"/>
        <v>0.05</v>
      </c>
      <c r="F317" s="1128"/>
      <c r="G317" s="313">
        <f t="shared" si="48"/>
        <v>0.1</v>
      </c>
      <c r="H317" s="1128"/>
      <c r="I317" s="313">
        <f t="shared" si="49"/>
        <v>1</v>
      </c>
      <c r="J317" s="1128"/>
      <c r="K317" s="313">
        <f t="shared" si="50"/>
        <v>1</v>
      </c>
      <c r="L317" s="1128"/>
      <c r="M317" s="313">
        <f t="shared" si="51"/>
        <v>1</v>
      </c>
      <c r="N317" s="1128"/>
      <c r="O317" s="313">
        <f t="shared" si="52"/>
        <v>1</v>
      </c>
      <c r="P317" s="1128"/>
      <c r="Q317" s="313">
        <f t="shared" si="53"/>
        <v>0.2</v>
      </c>
      <c r="R317" s="1124">
        <f t="shared" si="54"/>
        <v>0</v>
      </c>
      <c r="S317" s="698">
        <f t="shared" si="45"/>
        <v>0</v>
      </c>
    </row>
    <row r="318" spans="1:19">
      <c r="A318" s="491"/>
      <c r="B318" s="348"/>
      <c r="C318" s="313">
        <f t="shared" si="46"/>
        <v>1</v>
      </c>
      <c r="D318" s="1128"/>
      <c r="E318" s="313">
        <f t="shared" si="47"/>
        <v>0.05</v>
      </c>
      <c r="F318" s="1128"/>
      <c r="G318" s="313">
        <f t="shared" si="48"/>
        <v>0.1</v>
      </c>
      <c r="H318" s="1128"/>
      <c r="I318" s="313">
        <f t="shared" si="49"/>
        <v>1</v>
      </c>
      <c r="J318" s="1128"/>
      <c r="K318" s="313">
        <f t="shared" si="50"/>
        <v>1</v>
      </c>
      <c r="L318" s="1128"/>
      <c r="M318" s="313">
        <f t="shared" si="51"/>
        <v>1</v>
      </c>
      <c r="N318" s="1128"/>
      <c r="O318" s="313">
        <f t="shared" si="52"/>
        <v>1</v>
      </c>
      <c r="P318" s="1128"/>
      <c r="Q318" s="313">
        <f t="shared" si="53"/>
        <v>0.2</v>
      </c>
      <c r="R318" s="1124">
        <f t="shared" si="54"/>
        <v>0</v>
      </c>
      <c r="S318" s="698">
        <f t="shared" si="45"/>
        <v>0</v>
      </c>
    </row>
    <row r="319" spans="1:19">
      <c r="A319" s="491"/>
      <c r="B319" s="348"/>
      <c r="C319" s="313">
        <f t="shared" si="46"/>
        <v>1</v>
      </c>
      <c r="D319" s="1128"/>
      <c r="E319" s="313">
        <f t="shared" si="47"/>
        <v>0.05</v>
      </c>
      <c r="F319" s="1128"/>
      <c r="G319" s="313">
        <f t="shared" si="48"/>
        <v>0.1</v>
      </c>
      <c r="H319" s="1128"/>
      <c r="I319" s="313">
        <f t="shared" si="49"/>
        <v>1</v>
      </c>
      <c r="J319" s="1128"/>
      <c r="K319" s="313">
        <f t="shared" si="50"/>
        <v>1</v>
      </c>
      <c r="L319" s="1128"/>
      <c r="M319" s="313">
        <f t="shared" si="51"/>
        <v>1</v>
      </c>
      <c r="N319" s="1128"/>
      <c r="O319" s="313">
        <f t="shared" si="52"/>
        <v>1</v>
      </c>
      <c r="P319" s="1128"/>
      <c r="Q319" s="313">
        <f t="shared" si="53"/>
        <v>0.2</v>
      </c>
      <c r="R319" s="1124">
        <f t="shared" si="54"/>
        <v>0</v>
      </c>
      <c r="S319" s="698">
        <f t="shared" si="45"/>
        <v>0</v>
      </c>
    </row>
    <row r="320" spans="1:19">
      <c r="A320" s="491"/>
      <c r="B320" s="348"/>
      <c r="C320" s="313">
        <f t="shared" si="46"/>
        <v>1</v>
      </c>
      <c r="D320" s="1128"/>
      <c r="E320" s="313">
        <f t="shared" si="47"/>
        <v>0.05</v>
      </c>
      <c r="F320" s="1128"/>
      <c r="G320" s="313">
        <f t="shared" si="48"/>
        <v>0.1</v>
      </c>
      <c r="H320" s="1128"/>
      <c r="I320" s="313">
        <f t="shared" si="49"/>
        <v>1</v>
      </c>
      <c r="J320" s="1128"/>
      <c r="K320" s="313">
        <f t="shared" si="50"/>
        <v>1</v>
      </c>
      <c r="L320" s="1128"/>
      <c r="M320" s="313">
        <f t="shared" si="51"/>
        <v>1</v>
      </c>
      <c r="N320" s="1128"/>
      <c r="O320" s="313">
        <f t="shared" si="52"/>
        <v>1</v>
      </c>
      <c r="P320" s="1128"/>
      <c r="Q320" s="313">
        <f t="shared" si="53"/>
        <v>0.2</v>
      </c>
      <c r="R320" s="1124">
        <f t="shared" si="54"/>
        <v>0</v>
      </c>
      <c r="S320" s="698">
        <f t="shared" si="45"/>
        <v>0</v>
      </c>
    </row>
    <row r="321" spans="1:19">
      <c r="A321" s="491"/>
      <c r="B321" s="348"/>
      <c r="C321" s="313">
        <f t="shared" si="46"/>
        <v>1</v>
      </c>
      <c r="D321" s="1128"/>
      <c r="E321" s="313">
        <f t="shared" si="47"/>
        <v>0.05</v>
      </c>
      <c r="F321" s="1128"/>
      <c r="G321" s="313">
        <f t="shared" si="48"/>
        <v>0.1</v>
      </c>
      <c r="H321" s="1128"/>
      <c r="I321" s="313">
        <f t="shared" si="49"/>
        <v>1</v>
      </c>
      <c r="J321" s="1128"/>
      <c r="K321" s="313">
        <f t="shared" si="50"/>
        <v>1</v>
      </c>
      <c r="L321" s="1128"/>
      <c r="M321" s="313">
        <f t="shared" si="51"/>
        <v>1</v>
      </c>
      <c r="N321" s="1128"/>
      <c r="O321" s="313">
        <f t="shared" si="52"/>
        <v>1</v>
      </c>
      <c r="P321" s="1128"/>
      <c r="Q321" s="313">
        <f t="shared" si="53"/>
        <v>0.2</v>
      </c>
      <c r="R321" s="1124">
        <f t="shared" si="54"/>
        <v>0</v>
      </c>
      <c r="S321" s="698">
        <f t="shared" si="45"/>
        <v>0</v>
      </c>
    </row>
    <row r="322" spans="1:19">
      <c r="A322" s="491"/>
      <c r="B322" s="348"/>
      <c r="C322" s="313">
        <f t="shared" si="46"/>
        <v>1</v>
      </c>
      <c r="D322" s="1128"/>
      <c r="E322" s="313">
        <f t="shared" si="47"/>
        <v>0.05</v>
      </c>
      <c r="F322" s="1128"/>
      <c r="G322" s="313">
        <f t="shared" si="48"/>
        <v>0.1</v>
      </c>
      <c r="H322" s="1128"/>
      <c r="I322" s="313">
        <f t="shared" si="49"/>
        <v>1</v>
      </c>
      <c r="J322" s="1128"/>
      <c r="K322" s="313">
        <f t="shared" si="50"/>
        <v>1</v>
      </c>
      <c r="L322" s="1128"/>
      <c r="M322" s="313">
        <f t="shared" si="51"/>
        <v>1</v>
      </c>
      <c r="N322" s="1128"/>
      <c r="O322" s="313">
        <f t="shared" si="52"/>
        <v>1</v>
      </c>
      <c r="P322" s="1128"/>
      <c r="Q322" s="313">
        <f t="shared" si="53"/>
        <v>0.2</v>
      </c>
      <c r="R322" s="1124">
        <f t="shared" si="54"/>
        <v>0</v>
      </c>
      <c r="S322" s="698">
        <f t="shared" si="45"/>
        <v>0</v>
      </c>
    </row>
    <row r="323" spans="1:19">
      <c r="A323" s="491"/>
      <c r="B323" s="348"/>
      <c r="C323" s="313">
        <f t="shared" si="46"/>
        <v>1</v>
      </c>
      <c r="D323" s="1128"/>
      <c r="E323" s="313">
        <f t="shared" si="47"/>
        <v>0.05</v>
      </c>
      <c r="F323" s="1128"/>
      <c r="G323" s="313">
        <f t="shared" si="48"/>
        <v>0.1</v>
      </c>
      <c r="H323" s="1128"/>
      <c r="I323" s="313">
        <f t="shared" si="49"/>
        <v>1</v>
      </c>
      <c r="J323" s="1128"/>
      <c r="K323" s="313">
        <f t="shared" si="50"/>
        <v>1</v>
      </c>
      <c r="L323" s="1128"/>
      <c r="M323" s="313">
        <f t="shared" si="51"/>
        <v>1</v>
      </c>
      <c r="N323" s="1128"/>
      <c r="O323" s="313">
        <f t="shared" si="52"/>
        <v>1</v>
      </c>
      <c r="P323" s="1128"/>
      <c r="Q323" s="313">
        <f t="shared" si="53"/>
        <v>0.2</v>
      </c>
      <c r="R323" s="1124">
        <f t="shared" si="54"/>
        <v>0</v>
      </c>
      <c r="S323" s="698">
        <f t="shared" si="45"/>
        <v>0</v>
      </c>
    </row>
    <row r="324" spans="1:19">
      <c r="A324" s="491"/>
      <c r="B324" s="348"/>
      <c r="C324" s="313">
        <f t="shared" si="46"/>
        <v>1</v>
      </c>
      <c r="D324" s="1128"/>
      <c r="E324" s="313">
        <f t="shared" si="47"/>
        <v>0.05</v>
      </c>
      <c r="F324" s="1128"/>
      <c r="G324" s="313">
        <f t="shared" si="48"/>
        <v>0.1</v>
      </c>
      <c r="H324" s="1128"/>
      <c r="I324" s="313">
        <f t="shared" si="49"/>
        <v>1</v>
      </c>
      <c r="J324" s="1128"/>
      <c r="K324" s="313">
        <f t="shared" si="50"/>
        <v>1</v>
      </c>
      <c r="L324" s="1128"/>
      <c r="M324" s="313">
        <f t="shared" si="51"/>
        <v>1</v>
      </c>
      <c r="N324" s="1128"/>
      <c r="O324" s="313">
        <f t="shared" si="52"/>
        <v>1</v>
      </c>
      <c r="P324" s="1128"/>
      <c r="Q324" s="313">
        <f t="shared" si="53"/>
        <v>0.2</v>
      </c>
      <c r="R324" s="1124">
        <f t="shared" si="54"/>
        <v>0</v>
      </c>
      <c r="S324" s="698">
        <f t="shared" si="45"/>
        <v>0</v>
      </c>
    </row>
    <row r="325" spans="1:19">
      <c r="A325" s="491"/>
      <c r="B325" s="348"/>
      <c r="C325" s="313">
        <f t="shared" si="46"/>
        <v>1</v>
      </c>
      <c r="D325" s="1128"/>
      <c r="E325" s="313">
        <f t="shared" si="47"/>
        <v>0.05</v>
      </c>
      <c r="F325" s="1128"/>
      <c r="G325" s="313">
        <f t="shared" si="48"/>
        <v>0.1</v>
      </c>
      <c r="H325" s="1128"/>
      <c r="I325" s="313">
        <f t="shared" si="49"/>
        <v>1</v>
      </c>
      <c r="J325" s="1128"/>
      <c r="K325" s="313">
        <f t="shared" si="50"/>
        <v>1</v>
      </c>
      <c r="L325" s="1128"/>
      <c r="M325" s="313">
        <f t="shared" si="51"/>
        <v>1</v>
      </c>
      <c r="N325" s="1128"/>
      <c r="O325" s="313">
        <f t="shared" si="52"/>
        <v>1</v>
      </c>
      <c r="P325" s="1128"/>
      <c r="Q325" s="313">
        <f t="shared" si="53"/>
        <v>0.2</v>
      </c>
      <c r="R325" s="1124">
        <f t="shared" si="54"/>
        <v>0</v>
      </c>
      <c r="S325" s="698">
        <f t="shared" si="45"/>
        <v>0</v>
      </c>
    </row>
    <row r="326" spans="1:19">
      <c r="A326" s="491"/>
      <c r="B326" s="348"/>
      <c r="C326" s="313">
        <f t="shared" si="46"/>
        <v>1</v>
      </c>
      <c r="D326" s="1128"/>
      <c r="E326" s="313">
        <f t="shared" si="47"/>
        <v>0.05</v>
      </c>
      <c r="F326" s="1128"/>
      <c r="G326" s="313">
        <f t="shared" si="48"/>
        <v>0.1</v>
      </c>
      <c r="H326" s="1128"/>
      <c r="I326" s="313">
        <f t="shared" si="49"/>
        <v>1</v>
      </c>
      <c r="J326" s="1128"/>
      <c r="K326" s="313">
        <f t="shared" si="50"/>
        <v>1</v>
      </c>
      <c r="L326" s="1128"/>
      <c r="M326" s="313">
        <f t="shared" si="51"/>
        <v>1</v>
      </c>
      <c r="N326" s="1128"/>
      <c r="O326" s="313">
        <f t="shared" si="52"/>
        <v>1</v>
      </c>
      <c r="P326" s="1128"/>
      <c r="Q326" s="313">
        <f t="shared" si="53"/>
        <v>0.2</v>
      </c>
      <c r="R326" s="1124">
        <f t="shared" si="54"/>
        <v>0</v>
      </c>
      <c r="S326" s="698">
        <f t="shared" si="45"/>
        <v>0</v>
      </c>
    </row>
    <row r="327" spans="1:19">
      <c r="A327" s="491"/>
      <c r="B327" s="348"/>
      <c r="C327" s="313">
        <f t="shared" si="46"/>
        <v>1</v>
      </c>
      <c r="D327" s="1128"/>
      <c r="E327" s="313">
        <f t="shared" si="47"/>
        <v>0.05</v>
      </c>
      <c r="F327" s="1128"/>
      <c r="G327" s="313">
        <f t="shared" si="48"/>
        <v>0.1</v>
      </c>
      <c r="H327" s="1128"/>
      <c r="I327" s="313">
        <f t="shared" si="49"/>
        <v>1</v>
      </c>
      <c r="J327" s="1128"/>
      <c r="K327" s="313">
        <f t="shared" si="50"/>
        <v>1</v>
      </c>
      <c r="L327" s="1128"/>
      <c r="M327" s="313">
        <f t="shared" si="51"/>
        <v>1</v>
      </c>
      <c r="N327" s="1128"/>
      <c r="O327" s="313">
        <f t="shared" si="52"/>
        <v>1</v>
      </c>
      <c r="P327" s="1128"/>
      <c r="Q327" s="313">
        <f t="shared" si="53"/>
        <v>0.2</v>
      </c>
      <c r="R327" s="1124">
        <f t="shared" si="54"/>
        <v>0</v>
      </c>
      <c r="S327" s="698">
        <f t="shared" si="45"/>
        <v>0</v>
      </c>
    </row>
    <row r="328" spans="1:19">
      <c r="A328" s="491"/>
      <c r="B328" s="348"/>
      <c r="C328" s="313">
        <f t="shared" si="46"/>
        <v>1</v>
      </c>
      <c r="D328" s="1128"/>
      <c r="E328" s="313">
        <f t="shared" si="47"/>
        <v>0.05</v>
      </c>
      <c r="F328" s="1128"/>
      <c r="G328" s="313">
        <f t="shared" si="48"/>
        <v>0.1</v>
      </c>
      <c r="H328" s="1128"/>
      <c r="I328" s="313">
        <f t="shared" si="49"/>
        <v>1</v>
      </c>
      <c r="J328" s="1128"/>
      <c r="K328" s="313">
        <f t="shared" si="50"/>
        <v>1</v>
      </c>
      <c r="L328" s="1128"/>
      <c r="M328" s="313">
        <f t="shared" si="51"/>
        <v>1</v>
      </c>
      <c r="N328" s="1128"/>
      <c r="O328" s="313">
        <f t="shared" si="52"/>
        <v>1</v>
      </c>
      <c r="P328" s="1128"/>
      <c r="Q328" s="313">
        <f t="shared" si="53"/>
        <v>0.2</v>
      </c>
      <c r="R328" s="1124">
        <f t="shared" si="54"/>
        <v>0</v>
      </c>
      <c r="S328" s="698">
        <f t="shared" si="45"/>
        <v>0</v>
      </c>
    </row>
    <row r="329" spans="1:19">
      <c r="A329" s="491"/>
      <c r="B329" s="348"/>
      <c r="C329" s="313">
        <f t="shared" si="46"/>
        <v>1</v>
      </c>
      <c r="D329" s="1128"/>
      <c r="E329" s="313">
        <f t="shared" si="47"/>
        <v>0.05</v>
      </c>
      <c r="F329" s="1128"/>
      <c r="G329" s="313">
        <f t="shared" si="48"/>
        <v>0.1</v>
      </c>
      <c r="H329" s="1128"/>
      <c r="I329" s="313">
        <f t="shared" si="49"/>
        <v>1</v>
      </c>
      <c r="J329" s="1128"/>
      <c r="K329" s="313">
        <f t="shared" si="50"/>
        <v>1</v>
      </c>
      <c r="L329" s="1128"/>
      <c r="M329" s="313">
        <f t="shared" si="51"/>
        <v>1</v>
      </c>
      <c r="N329" s="1128"/>
      <c r="O329" s="313">
        <f t="shared" si="52"/>
        <v>1</v>
      </c>
      <c r="P329" s="1128"/>
      <c r="Q329" s="313">
        <f t="shared" si="53"/>
        <v>0.2</v>
      </c>
      <c r="R329" s="1124">
        <f t="shared" si="54"/>
        <v>0</v>
      </c>
      <c r="S329" s="698">
        <f t="shared" si="45"/>
        <v>0</v>
      </c>
    </row>
    <row r="330" spans="1:19">
      <c r="A330" s="491"/>
      <c r="B330" s="348"/>
      <c r="C330" s="313">
        <f t="shared" si="46"/>
        <v>1</v>
      </c>
      <c r="D330" s="1128"/>
      <c r="E330" s="313">
        <f t="shared" si="47"/>
        <v>0.05</v>
      </c>
      <c r="F330" s="1128"/>
      <c r="G330" s="313">
        <f t="shared" si="48"/>
        <v>0.1</v>
      </c>
      <c r="H330" s="1128"/>
      <c r="I330" s="313">
        <f t="shared" si="49"/>
        <v>1</v>
      </c>
      <c r="J330" s="1128"/>
      <c r="K330" s="313">
        <f t="shared" si="50"/>
        <v>1</v>
      </c>
      <c r="L330" s="1128"/>
      <c r="M330" s="313">
        <f t="shared" si="51"/>
        <v>1</v>
      </c>
      <c r="N330" s="1128"/>
      <c r="O330" s="313">
        <f t="shared" si="52"/>
        <v>1</v>
      </c>
      <c r="P330" s="1128"/>
      <c r="Q330" s="313">
        <f t="shared" si="53"/>
        <v>0.2</v>
      </c>
      <c r="R330" s="1124">
        <f t="shared" si="54"/>
        <v>0</v>
      </c>
      <c r="S330" s="698">
        <f t="shared" si="45"/>
        <v>0</v>
      </c>
    </row>
    <row r="331" spans="1:19">
      <c r="A331" s="491"/>
      <c r="B331" s="348"/>
      <c r="C331" s="313">
        <f t="shared" si="46"/>
        <v>1</v>
      </c>
      <c r="D331" s="1128"/>
      <c r="E331" s="313">
        <f t="shared" si="47"/>
        <v>0.05</v>
      </c>
      <c r="F331" s="1128"/>
      <c r="G331" s="313">
        <f t="shared" si="48"/>
        <v>0.1</v>
      </c>
      <c r="H331" s="1128"/>
      <c r="I331" s="313">
        <f t="shared" si="49"/>
        <v>1</v>
      </c>
      <c r="J331" s="1128"/>
      <c r="K331" s="313">
        <f t="shared" si="50"/>
        <v>1</v>
      </c>
      <c r="L331" s="1128"/>
      <c r="M331" s="313">
        <f t="shared" si="51"/>
        <v>1</v>
      </c>
      <c r="N331" s="1128"/>
      <c r="O331" s="313">
        <f t="shared" si="52"/>
        <v>1</v>
      </c>
      <c r="P331" s="1128"/>
      <c r="Q331" s="313">
        <f t="shared" si="53"/>
        <v>0.2</v>
      </c>
      <c r="R331" s="1124">
        <f t="shared" si="54"/>
        <v>0</v>
      </c>
      <c r="S331" s="698">
        <f t="shared" si="45"/>
        <v>0</v>
      </c>
    </row>
    <row r="332" spans="1:19">
      <c r="A332" s="491"/>
      <c r="B332" s="348"/>
      <c r="C332" s="313">
        <f t="shared" si="46"/>
        <v>1</v>
      </c>
      <c r="D332" s="1128"/>
      <c r="E332" s="313">
        <f t="shared" si="47"/>
        <v>0.05</v>
      </c>
      <c r="F332" s="1128"/>
      <c r="G332" s="313">
        <f t="shared" si="48"/>
        <v>0.1</v>
      </c>
      <c r="H332" s="1128"/>
      <c r="I332" s="313">
        <f t="shared" si="49"/>
        <v>1</v>
      </c>
      <c r="J332" s="1128"/>
      <c r="K332" s="313">
        <f t="shared" si="50"/>
        <v>1</v>
      </c>
      <c r="L332" s="1128"/>
      <c r="M332" s="313">
        <f t="shared" si="51"/>
        <v>1</v>
      </c>
      <c r="N332" s="1128"/>
      <c r="O332" s="313">
        <f t="shared" si="52"/>
        <v>1</v>
      </c>
      <c r="P332" s="1128"/>
      <c r="Q332" s="313">
        <f t="shared" si="53"/>
        <v>0.2</v>
      </c>
      <c r="R332" s="1124">
        <f t="shared" si="54"/>
        <v>0</v>
      </c>
      <c r="S332" s="698">
        <f t="shared" si="45"/>
        <v>0</v>
      </c>
    </row>
    <row r="333" spans="1:19">
      <c r="A333" s="491"/>
      <c r="B333" s="348"/>
      <c r="C333" s="313">
        <f t="shared" si="46"/>
        <v>1</v>
      </c>
      <c r="D333" s="1128"/>
      <c r="E333" s="313">
        <f t="shared" si="47"/>
        <v>0.05</v>
      </c>
      <c r="F333" s="1128"/>
      <c r="G333" s="313">
        <f t="shared" si="48"/>
        <v>0.1</v>
      </c>
      <c r="H333" s="1128"/>
      <c r="I333" s="313">
        <f t="shared" si="49"/>
        <v>1</v>
      </c>
      <c r="J333" s="1128"/>
      <c r="K333" s="313">
        <f t="shared" si="50"/>
        <v>1</v>
      </c>
      <c r="L333" s="1128"/>
      <c r="M333" s="313">
        <f t="shared" si="51"/>
        <v>1</v>
      </c>
      <c r="N333" s="1128"/>
      <c r="O333" s="313">
        <f t="shared" si="52"/>
        <v>1</v>
      </c>
      <c r="P333" s="1128"/>
      <c r="Q333" s="313">
        <f t="shared" si="53"/>
        <v>0.2</v>
      </c>
      <c r="R333" s="1124">
        <f t="shared" si="54"/>
        <v>0</v>
      </c>
      <c r="S333" s="698">
        <f t="shared" si="45"/>
        <v>0</v>
      </c>
    </row>
    <row r="334" spans="1:19">
      <c r="A334" s="491"/>
      <c r="B334" s="348"/>
      <c r="C334" s="313">
        <f t="shared" si="46"/>
        <v>1</v>
      </c>
      <c r="D334" s="1128"/>
      <c r="E334" s="313">
        <f t="shared" si="47"/>
        <v>0.05</v>
      </c>
      <c r="F334" s="1128"/>
      <c r="G334" s="313">
        <f t="shared" si="48"/>
        <v>0.1</v>
      </c>
      <c r="H334" s="1128"/>
      <c r="I334" s="313">
        <f t="shared" si="49"/>
        <v>1</v>
      </c>
      <c r="J334" s="1128"/>
      <c r="K334" s="313">
        <f t="shared" si="50"/>
        <v>1</v>
      </c>
      <c r="L334" s="1128"/>
      <c r="M334" s="313">
        <f t="shared" si="51"/>
        <v>1</v>
      </c>
      <c r="N334" s="1128"/>
      <c r="O334" s="313">
        <f t="shared" si="52"/>
        <v>1</v>
      </c>
      <c r="P334" s="1128"/>
      <c r="Q334" s="313">
        <f t="shared" si="53"/>
        <v>0.2</v>
      </c>
      <c r="R334" s="1124">
        <f t="shared" si="54"/>
        <v>0</v>
      </c>
      <c r="S334" s="698">
        <f t="shared" si="45"/>
        <v>0</v>
      </c>
    </row>
    <row r="335" spans="1:19">
      <c r="A335" s="491"/>
      <c r="B335" s="348"/>
      <c r="C335" s="313">
        <f t="shared" si="46"/>
        <v>1</v>
      </c>
      <c r="D335" s="1128"/>
      <c r="E335" s="313">
        <f t="shared" si="47"/>
        <v>0.05</v>
      </c>
      <c r="F335" s="1128"/>
      <c r="G335" s="313">
        <f t="shared" si="48"/>
        <v>0.1</v>
      </c>
      <c r="H335" s="1128"/>
      <c r="I335" s="313">
        <f t="shared" si="49"/>
        <v>1</v>
      </c>
      <c r="J335" s="1128"/>
      <c r="K335" s="313">
        <f t="shared" si="50"/>
        <v>1</v>
      </c>
      <c r="L335" s="1128"/>
      <c r="M335" s="313">
        <f t="shared" si="51"/>
        <v>1</v>
      </c>
      <c r="N335" s="1128"/>
      <c r="O335" s="313">
        <f t="shared" si="52"/>
        <v>1</v>
      </c>
      <c r="P335" s="1128"/>
      <c r="Q335" s="313">
        <f t="shared" si="53"/>
        <v>0.2</v>
      </c>
      <c r="R335" s="1124">
        <f t="shared" si="54"/>
        <v>0</v>
      </c>
      <c r="S335" s="698">
        <f t="shared" si="45"/>
        <v>0</v>
      </c>
    </row>
    <row r="336" spans="1:19">
      <c r="A336" s="491"/>
      <c r="B336" s="348"/>
      <c r="C336" s="313">
        <f t="shared" si="46"/>
        <v>1</v>
      </c>
      <c r="D336" s="1128"/>
      <c r="E336" s="313">
        <f t="shared" si="47"/>
        <v>0.05</v>
      </c>
      <c r="F336" s="1128"/>
      <c r="G336" s="313">
        <f t="shared" si="48"/>
        <v>0.1</v>
      </c>
      <c r="H336" s="1128"/>
      <c r="I336" s="313">
        <f t="shared" si="49"/>
        <v>1</v>
      </c>
      <c r="J336" s="1128"/>
      <c r="K336" s="313">
        <f t="shared" si="50"/>
        <v>1</v>
      </c>
      <c r="L336" s="1128"/>
      <c r="M336" s="313">
        <f t="shared" si="51"/>
        <v>1</v>
      </c>
      <c r="N336" s="1128"/>
      <c r="O336" s="313">
        <f t="shared" si="52"/>
        <v>1</v>
      </c>
      <c r="P336" s="1128"/>
      <c r="Q336" s="313">
        <f t="shared" si="53"/>
        <v>0.2</v>
      </c>
      <c r="R336" s="1124">
        <f t="shared" si="54"/>
        <v>0</v>
      </c>
      <c r="S336" s="698">
        <f t="shared" si="45"/>
        <v>0</v>
      </c>
    </row>
    <row r="337" spans="1:19">
      <c r="A337" s="491"/>
      <c r="B337" s="348"/>
      <c r="C337" s="313">
        <f t="shared" si="46"/>
        <v>1</v>
      </c>
      <c r="D337" s="1128"/>
      <c r="E337" s="313">
        <f t="shared" si="47"/>
        <v>0.05</v>
      </c>
      <c r="F337" s="1128"/>
      <c r="G337" s="313">
        <f t="shared" si="48"/>
        <v>0.1</v>
      </c>
      <c r="H337" s="1128"/>
      <c r="I337" s="313">
        <f t="shared" si="49"/>
        <v>1</v>
      </c>
      <c r="J337" s="1128"/>
      <c r="K337" s="313">
        <f t="shared" si="50"/>
        <v>1</v>
      </c>
      <c r="L337" s="1128"/>
      <c r="M337" s="313">
        <f t="shared" si="51"/>
        <v>1</v>
      </c>
      <c r="N337" s="1128"/>
      <c r="O337" s="313">
        <f t="shared" si="52"/>
        <v>1</v>
      </c>
      <c r="P337" s="1128"/>
      <c r="Q337" s="313">
        <f t="shared" si="53"/>
        <v>0.2</v>
      </c>
      <c r="R337" s="1124">
        <f t="shared" si="54"/>
        <v>0</v>
      </c>
      <c r="S337" s="698">
        <f t="shared" si="45"/>
        <v>0</v>
      </c>
    </row>
    <row r="338" spans="1:19">
      <c r="A338" s="491"/>
      <c r="B338" s="348"/>
      <c r="C338" s="313">
        <f t="shared" si="46"/>
        <v>1</v>
      </c>
      <c r="D338" s="1128"/>
      <c r="E338" s="313">
        <f t="shared" si="47"/>
        <v>0.05</v>
      </c>
      <c r="F338" s="1128"/>
      <c r="G338" s="313">
        <f t="shared" si="48"/>
        <v>0.1</v>
      </c>
      <c r="H338" s="1128"/>
      <c r="I338" s="313">
        <f t="shared" si="49"/>
        <v>1</v>
      </c>
      <c r="J338" s="1128"/>
      <c r="K338" s="313">
        <f t="shared" si="50"/>
        <v>1</v>
      </c>
      <c r="L338" s="1128"/>
      <c r="M338" s="313">
        <f t="shared" si="51"/>
        <v>1</v>
      </c>
      <c r="N338" s="1128"/>
      <c r="O338" s="313">
        <f t="shared" si="52"/>
        <v>1</v>
      </c>
      <c r="P338" s="1128"/>
      <c r="Q338" s="313">
        <f t="shared" si="53"/>
        <v>0.2</v>
      </c>
      <c r="R338" s="1124">
        <f t="shared" si="54"/>
        <v>0</v>
      </c>
      <c r="S338" s="698">
        <f t="shared" si="45"/>
        <v>0</v>
      </c>
    </row>
    <row r="339" spans="1:19">
      <c r="A339" s="491"/>
      <c r="B339" s="348"/>
      <c r="C339" s="313">
        <f t="shared" si="46"/>
        <v>1</v>
      </c>
      <c r="D339" s="1128"/>
      <c r="E339" s="313">
        <f t="shared" si="47"/>
        <v>0.05</v>
      </c>
      <c r="F339" s="1128"/>
      <c r="G339" s="313">
        <f t="shared" si="48"/>
        <v>0.1</v>
      </c>
      <c r="H339" s="1128"/>
      <c r="I339" s="313">
        <f t="shared" si="49"/>
        <v>1</v>
      </c>
      <c r="J339" s="1128"/>
      <c r="K339" s="313">
        <f t="shared" si="50"/>
        <v>1</v>
      </c>
      <c r="L339" s="1128"/>
      <c r="M339" s="313">
        <f t="shared" si="51"/>
        <v>1</v>
      </c>
      <c r="N339" s="1128"/>
      <c r="O339" s="313">
        <f t="shared" si="52"/>
        <v>1</v>
      </c>
      <c r="P339" s="1128"/>
      <c r="Q339" s="313">
        <f t="shared" si="53"/>
        <v>0.2</v>
      </c>
      <c r="R339" s="1124">
        <f t="shared" si="54"/>
        <v>0</v>
      </c>
      <c r="S339" s="698">
        <f t="shared" si="45"/>
        <v>0</v>
      </c>
    </row>
    <row r="340" spans="1:19">
      <c r="A340" s="491"/>
      <c r="B340" s="348"/>
      <c r="C340" s="313">
        <f t="shared" si="46"/>
        <v>1</v>
      </c>
      <c r="D340" s="1128"/>
      <c r="E340" s="313">
        <f t="shared" si="47"/>
        <v>0.05</v>
      </c>
      <c r="F340" s="1128"/>
      <c r="G340" s="313">
        <f t="shared" si="48"/>
        <v>0.1</v>
      </c>
      <c r="H340" s="1128"/>
      <c r="I340" s="313">
        <f t="shared" si="49"/>
        <v>1</v>
      </c>
      <c r="J340" s="1128"/>
      <c r="K340" s="313">
        <f t="shared" si="50"/>
        <v>1</v>
      </c>
      <c r="L340" s="1128"/>
      <c r="M340" s="313">
        <f t="shared" si="51"/>
        <v>1</v>
      </c>
      <c r="N340" s="1128"/>
      <c r="O340" s="313">
        <f t="shared" si="52"/>
        <v>1</v>
      </c>
      <c r="P340" s="1128"/>
      <c r="Q340" s="313">
        <f t="shared" si="53"/>
        <v>0.2</v>
      </c>
      <c r="R340" s="1124">
        <f t="shared" si="54"/>
        <v>0</v>
      </c>
      <c r="S340" s="698">
        <f t="shared" si="45"/>
        <v>0</v>
      </c>
    </row>
    <row r="341" spans="1:19">
      <c r="A341" s="491"/>
      <c r="B341" s="348"/>
      <c r="C341" s="313">
        <f t="shared" si="46"/>
        <v>1</v>
      </c>
      <c r="D341" s="1128"/>
      <c r="E341" s="313">
        <f t="shared" si="47"/>
        <v>0.05</v>
      </c>
      <c r="F341" s="1128"/>
      <c r="G341" s="313">
        <f t="shared" si="48"/>
        <v>0.1</v>
      </c>
      <c r="H341" s="1128"/>
      <c r="I341" s="313">
        <f t="shared" si="49"/>
        <v>1</v>
      </c>
      <c r="J341" s="1128"/>
      <c r="K341" s="313">
        <f t="shared" si="50"/>
        <v>1</v>
      </c>
      <c r="L341" s="1128"/>
      <c r="M341" s="313">
        <f t="shared" si="51"/>
        <v>1</v>
      </c>
      <c r="N341" s="1128"/>
      <c r="O341" s="313">
        <f t="shared" si="52"/>
        <v>1</v>
      </c>
      <c r="P341" s="1128"/>
      <c r="Q341" s="313">
        <f t="shared" si="53"/>
        <v>0.2</v>
      </c>
      <c r="R341" s="1124">
        <f t="shared" si="54"/>
        <v>0</v>
      </c>
      <c r="S341" s="698">
        <f t="shared" si="45"/>
        <v>0</v>
      </c>
    </row>
    <row r="342" spans="1:19">
      <c r="A342" s="491"/>
      <c r="B342" s="348"/>
      <c r="C342" s="313">
        <f t="shared" si="46"/>
        <v>1</v>
      </c>
      <c r="D342" s="1128"/>
      <c r="E342" s="313">
        <f t="shared" si="47"/>
        <v>0.05</v>
      </c>
      <c r="F342" s="1128"/>
      <c r="G342" s="313">
        <f t="shared" si="48"/>
        <v>0.1</v>
      </c>
      <c r="H342" s="1128"/>
      <c r="I342" s="313">
        <f t="shared" si="49"/>
        <v>1</v>
      </c>
      <c r="J342" s="1128"/>
      <c r="K342" s="313">
        <f t="shared" si="50"/>
        <v>1</v>
      </c>
      <c r="L342" s="1128"/>
      <c r="M342" s="313">
        <f t="shared" si="51"/>
        <v>1</v>
      </c>
      <c r="N342" s="1128"/>
      <c r="O342" s="313">
        <f t="shared" si="52"/>
        <v>1</v>
      </c>
      <c r="P342" s="1128"/>
      <c r="Q342" s="313">
        <f t="shared" si="53"/>
        <v>0.2</v>
      </c>
      <c r="R342" s="1124">
        <f t="shared" si="54"/>
        <v>0</v>
      </c>
      <c r="S342" s="698">
        <f t="shared" si="45"/>
        <v>0</v>
      </c>
    </row>
    <row r="343" spans="1:19">
      <c r="A343" s="491"/>
      <c r="B343" s="348"/>
      <c r="C343" s="313">
        <f t="shared" si="46"/>
        <v>1</v>
      </c>
      <c r="D343" s="1128"/>
      <c r="E343" s="313">
        <f t="shared" si="47"/>
        <v>0.05</v>
      </c>
      <c r="F343" s="1128"/>
      <c r="G343" s="313">
        <f t="shared" si="48"/>
        <v>0.1</v>
      </c>
      <c r="H343" s="1128"/>
      <c r="I343" s="313">
        <f t="shared" si="49"/>
        <v>1</v>
      </c>
      <c r="J343" s="1128"/>
      <c r="K343" s="313">
        <f t="shared" si="50"/>
        <v>1</v>
      </c>
      <c r="L343" s="1128"/>
      <c r="M343" s="313">
        <f t="shared" si="51"/>
        <v>1</v>
      </c>
      <c r="N343" s="1128"/>
      <c r="O343" s="313">
        <f t="shared" si="52"/>
        <v>1</v>
      </c>
      <c r="P343" s="1128"/>
      <c r="Q343" s="313">
        <f t="shared" si="53"/>
        <v>0.2</v>
      </c>
      <c r="R343" s="1124">
        <f t="shared" si="54"/>
        <v>0</v>
      </c>
      <c r="S343" s="698">
        <f t="shared" si="45"/>
        <v>0</v>
      </c>
    </row>
    <row r="344" spans="1:19">
      <c r="A344" s="491"/>
      <c r="B344" s="348"/>
      <c r="C344" s="313">
        <f t="shared" si="46"/>
        <v>1</v>
      </c>
      <c r="D344" s="1128"/>
      <c r="E344" s="313">
        <f t="shared" si="47"/>
        <v>0.05</v>
      </c>
      <c r="F344" s="1128"/>
      <c r="G344" s="313">
        <f t="shared" si="48"/>
        <v>0.1</v>
      </c>
      <c r="H344" s="1128"/>
      <c r="I344" s="313">
        <f t="shared" si="49"/>
        <v>1</v>
      </c>
      <c r="J344" s="1128"/>
      <c r="K344" s="313">
        <f t="shared" si="50"/>
        <v>1</v>
      </c>
      <c r="L344" s="1128"/>
      <c r="M344" s="313">
        <f t="shared" si="51"/>
        <v>1</v>
      </c>
      <c r="N344" s="1128"/>
      <c r="O344" s="313">
        <f t="shared" si="52"/>
        <v>1</v>
      </c>
      <c r="P344" s="1128"/>
      <c r="Q344" s="313">
        <f t="shared" si="53"/>
        <v>0.2</v>
      </c>
      <c r="R344" s="1124">
        <f t="shared" si="54"/>
        <v>0</v>
      </c>
      <c r="S344" s="698">
        <f t="shared" ref="S344:S407" si="55">ROUND(R344*B344/10000,0)</f>
        <v>0</v>
      </c>
    </row>
    <row r="345" spans="1:19">
      <c r="A345" s="491"/>
      <c r="B345" s="348"/>
      <c r="C345" s="313">
        <f t="shared" si="46"/>
        <v>1</v>
      </c>
      <c r="D345" s="1128"/>
      <c r="E345" s="313">
        <f t="shared" si="47"/>
        <v>0.05</v>
      </c>
      <c r="F345" s="1128"/>
      <c r="G345" s="313">
        <f t="shared" si="48"/>
        <v>0.1</v>
      </c>
      <c r="H345" s="1128"/>
      <c r="I345" s="313">
        <f t="shared" si="49"/>
        <v>1</v>
      </c>
      <c r="J345" s="1128"/>
      <c r="K345" s="313">
        <f t="shared" si="50"/>
        <v>1</v>
      </c>
      <c r="L345" s="1128"/>
      <c r="M345" s="313">
        <f t="shared" si="51"/>
        <v>1</v>
      </c>
      <c r="N345" s="1128"/>
      <c r="O345" s="313">
        <f t="shared" si="52"/>
        <v>1</v>
      </c>
      <c r="P345" s="1128"/>
      <c r="Q345" s="313">
        <f t="shared" si="53"/>
        <v>0.2</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0.05</v>
      </c>
      <c r="F346" s="1128"/>
      <c r="G346" s="313">
        <f t="shared" ref="G346:G409" si="58">(SUMIF($7:$7,F346,$8:$8)-SUMIF($7:$7,$F$24,$8:$8)+100)/100</f>
        <v>0.1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0.2</v>
      </c>
      <c r="R346" s="1124">
        <f t="shared" ref="R346:R409" si="64">IF(B346="",0,ROUND($R$24*C346*E346*G346*I346*K346*M346*O346*Q346,0))</f>
        <v>0</v>
      </c>
      <c r="S346" s="698">
        <f t="shared" si="55"/>
        <v>0</v>
      </c>
    </row>
    <row r="347" spans="1:19">
      <c r="A347" s="491"/>
      <c r="B347" s="348"/>
      <c r="C347" s="313">
        <f t="shared" si="56"/>
        <v>1</v>
      </c>
      <c r="D347" s="1128"/>
      <c r="E347" s="313">
        <f t="shared" si="57"/>
        <v>0.05</v>
      </c>
      <c r="F347" s="1128"/>
      <c r="G347" s="313">
        <f t="shared" si="58"/>
        <v>0.1</v>
      </c>
      <c r="H347" s="1128"/>
      <c r="I347" s="313">
        <f t="shared" si="59"/>
        <v>1</v>
      </c>
      <c r="J347" s="1128"/>
      <c r="K347" s="313">
        <f t="shared" si="60"/>
        <v>1</v>
      </c>
      <c r="L347" s="1128"/>
      <c r="M347" s="313">
        <f t="shared" si="61"/>
        <v>1</v>
      </c>
      <c r="N347" s="1128"/>
      <c r="O347" s="313">
        <f t="shared" si="62"/>
        <v>1</v>
      </c>
      <c r="P347" s="1128"/>
      <c r="Q347" s="313">
        <f t="shared" si="63"/>
        <v>0.2</v>
      </c>
      <c r="R347" s="1124">
        <f t="shared" si="64"/>
        <v>0</v>
      </c>
      <c r="S347" s="698">
        <f t="shared" si="55"/>
        <v>0</v>
      </c>
    </row>
    <row r="348" spans="1:19">
      <c r="A348" s="491"/>
      <c r="B348" s="348"/>
      <c r="C348" s="313">
        <f t="shared" si="56"/>
        <v>1</v>
      </c>
      <c r="D348" s="1128"/>
      <c r="E348" s="313">
        <f t="shared" si="57"/>
        <v>0.05</v>
      </c>
      <c r="F348" s="1128"/>
      <c r="G348" s="313">
        <f t="shared" si="58"/>
        <v>0.1</v>
      </c>
      <c r="H348" s="1128"/>
      <c r="I348" s="313">
        <f t="shared" si="59"/>
        <v>1</v>
      </c>
      <c r="J348" s="1128"/>
      <c r="K348" s="313">
        <f t="shared" si="60"/>
        <v>1</v>
      </c>
      <c r="L348" s="1128"/>
      <c r="M348" s="313">
        <f t="shared" si="61"/>
        <v>1</v>
      </c>
      <c r="N348" s="1128"/>
      <c r="O348" s="313">
        <f t="shared" si="62"/>
        <v>1</v>
      </c>
      <c r="P348" s="1128"/>
      <c r="Q348" s="313">
        <f t="shared" si="63"/>
        <v>0.2</v>
      </c>
      <c r="R348" s="1124">
        <f t="shared" si="64"/>
        <v>0</v>
      </c>
      <c r="S348" s="698">
        <f t="shared" si="55"/>
        <v>0</v>
      </c>
    </row>
    <row r="349" spans="1:19">
      <c r="A349" s="491"/>
      <c r="B349" s="348"/>
      <c r="C349" s="313">
        <f t="shared" si="56"/>
        <v>1</v>
      </c>
      <c r="D349" s="1128"/>
      <c r="E349" s="313">
        <f t="shared" si="57"/>
        <v>0.05</v>
      </c>
      <c r="F349" s="1128"/>
      <c r="G349" s="313">
        <f t="shared" si="58"/>
        <v>0.1</v>
      </c>
      <c r="H349" s="1128"/>
      <c r="I349" s="313">
        <f t="shared" si="59"/>
        <v>1</v>
      </c>
      <c r="J349" s="1128"/>
      <c r="K349" s="313">
        <f t="shared" si="60"/>
        <v>1</v>
      </c>
      <c r="L349" s="1128"/>
      <c r="M349" s="313">
        <f t="shared" si="61"/>
        <v>1</v>
      </c>
      <c r="N349" s="1128"/>
      <c r="O349" s="313">
        <f t="shared" si="62"/>
        <v>1</v>
      </c>
      <c r="P349" s="1128"/>
      <c r="Q349" s="313">
        <f t="shared" si="63"/>
        <v>0.2</v>
      </c>
      <c r="R349" s="1124">
        <f t="shared" si="64"/>
        <v>0</v>
      </c>
      <c r="S349" s="698">
        <f t="shared" si="55"/>
        <v>0</v>
      </c>
    </row>
    <row r="350" spans="1:19">
      <c r="A350" s="491"/>
      <c r="B350" s="348"/>
      <c r="C350" s="313">
        <f t="shared" si="56"/>
        <v>1</v>
      </c>
      <c r="D350" s="1128"/>
      <c r="E350" s="313">
        <f t="shared" si="57"/>
        <v>0.05</v>
      </c>
      <c r="F350" s="1128"/>
      <c r="G350" s="313">
        <f t="shared" si="58"/>
        <v>0.1</v>
      </c>
      <c r="H350" s="1128"/>
      <c r="I350" s="313">
        <f t="shared" si="59"/>
        <v>1</v>
      </c>
      <c r="J350" s="1128"/>
      <c r="K350" s="313">
        <f t="shared" si="60"/>
        <v>1</v>
      </c>
      <c r="L350" s="1128"/>
      <c r="M350" s="313">
        <f t="shared" si="61"/>
        <v>1</v>
      </c>
      <c r="N350" s="1128"/>
      <c r="O350" s="313">
        <f t="shared" si="62"/>
        <v>1</v>
      </c>
      <c r="P350" s="1128"/>
      <c r="Q350" s="313">
        <f t="shared" si="63"/>
        <v>0.2</v>
      </c>
      <c r="R350" s="1124">
        <f t="shared" si="64"/>
        <v>0</v>
      </c>
      <c r="S350" s="698">
        <f t="shared" si="55"/>
        <v>0</v>
      </c>
    </row>
    <row r="351" spans="1:19">
      <c r="A351" s="491"/>
      <c r="B351" s="348"/>
      <c r="C351" s="313">
        <f t="shared" si="56"/>
        <v>1</v>
      </c>
      <c r="D351" s="1128"/>
      <c r="E351" s="313">
        <f t="shared" si="57"/>
        <v>0.05</v>
      </c>
      <c r="F351" s="1128"/>
      <c r="G351" s="313">
        <f t="shared" si="58"/>
        <v>0.1</v>
      </c>
      <c r="H351" s="1128"/>
      <c r="I351" s="313">
        <f t="shared" si="59"/>
        <v>1</v>
      </c>
      <c r="J351" s="1128"/>
      <c r="K351" s="313">
        <f t="shared" si="60"/>
        <v>1</v>
      </c>
      <c r="L351" s="1128"/>
      <c r="M351" s="313">
        <f t="shared" si="61"/>
        <v>1</v>
      </c>
      <c r="N351" s="1128"/>
      <c r="O351" s="313">
        <f t="shared" si="62"/>
        <v>1</v>
      </c>
      <c r="P351" s="1128"/>
      <c r="Q351" s="313">
        <f t="shared" si="63"/>
        <v>0.2</v>
      </c>
      <c r="R351" s="1124">
        <f t="shared" si="64"/>
        <v>0</v>
      </c>
      <c r="S351" s="698">
        <f t="shared" si="55"/>
        <v>0</v>
      </c>
    </row>
    <row r="352" spans="1:19">
      <c r="A352" s="491"/>
      <c r="B352" s="348"/>
      <c r="C352" s="313">
        <f t="shared" si="56"/>
        <v>1</v>
      </c>
      <c r="D352" s="1128"/>
      <c r="E352" s="313">
        <f t="shared" si="57"/>
        <v>0.05</v>
      </c>
      <c r="F352" s="1128"/>
      <c r="G352" s="313">
        <f t="shared" si="58"/>
        <v>0.1</v>
      </c>
      <c r="H352" s="1128"/>
      <c r="I352" s="313">
        <f t="shared" si="59"/>
        <v>1</v>
      </c>
      <c r="J352" s="1128"/>
      <c r="K352" s="313">
        <f t="shared" si="60"/>
        <v>1</v>
      </c>
      <c r="L352" s="1128"/>
      <c r="M352" s="313">
        <f t="shared" si="61"/>
        <v>1</v>
      </c>
      <c r="N352" s="1128"/>
      <c r="O352" s="313">
        <f t="shared" si="62"/>
        <v>1</v>
      </c>
      <c r="P352" s="1128"/>
      <c r="Q352" s="313">
        <f t="shared" si="63"/>
        <v>0.2</v>
      </c>
      <c r="R352" s="1124">
        <f t="shared" si="64"/>
        <v>0</v>
      </c>
      <c r="S352" s="698">
        <f t="shared" si="55"/>
        <v>0</v>
      </c>
    </row>
    <row r="353" spans="1:19">
      <c r="A353" s="491"/>
      <c r="B353" s="348"/>
      <c r="C353" s="313">
        <f t="shared" si="56"/>
        <v>1</v>
      </c>
      <c r="D353" s="1128"/>
      <c r="E353" s="313">
        <f t="shared" si="57"/>
        <v>0.05</v>
      </c>
      <c r="F353" s="1128"/>
      <c r="G353" s="313">
        <f t="shared" si="58"/>
        <v>0.1</v>
      </c>
      <c r="H353" s="1128"/>
      <c r="I353" s="313">
        <f t="shared" si="59"/>
        <v>1</v>
      </c>
      <c r="J353" s="1128"/>
      <c r="K353" s="313">
        <f t="shared" si="60"/>
        <v>1</v>
      </c>
      <c r="L353" s="1128"/>
      <c r="M353" s="313">
        <f t="shared" si="61"/>
        <v>1</v>
      </c>
      <c r="N353" s="1128"/>
      <c r="O353" s="313">
        <f t="shared" si="62"/>
        <v>1</v>
      </c>
      <c r="P353" s="1128"/>
      <c r="Q353" s="313">
        <f t="shared" si="63"/>
        <v>0.2</v>
      </c>
      <c r="R353" s="1124">
        <f t="shared" si="64"/>
        <v>0</v>
      </c>
      <c r="S353" s="698">
        <f t="shared" si="55"/>
        <v>0</v>
      </c>
    </row>
    <row r="354" spans="1:19">
      <c r="A354" s="491"/>
      <c r="B354" s="348"/>
      <c r="C354" s="313">
        <f t="shared" si="56"/>
        <v>1</v>
      </c>
      <c r="D354" s="1128"/>
      <c r="E354" s="313">
        <f t="shared" si="57"/>
        <v>0.05</v>
      </c>
      <c r="F354" s="1128"/>
      <c r="G354" s="313">
        <f t="shared" si="58"/>
        <v>0.1</v>
      </c>
      <c r="H354" s="1128"/>
      <c r="I354" s="313">
        <f t="shared" si="59"/>
        <v>1</v>
      </c>
      <c r="J354" s="1128"/>
      <c r="K354" s="313">
        <f t="shared" si="60"/>
        <v>1</v>
      </c>
      <c r="L354" s="1128"/>
      <c r="M354" s="313">
        <f t="shared" si="61"/>
        <v>1</v>
      </c>
      <c r="N354" s="1128"/>
      <c r="O354" s="313">
        <f t="shared" si="62"/>
        <v>1</v>
      </c>
      <c r="P354" s="1128"/>
      <c r="Q354" s="313">
        <f t="shared" si="63"/>
        <v>0.2</v>
      </c>
      <c r="R354" s="1124">
        <f t="shared" si="64"/>
        <v>0</v>
      </c>
      <c r="S354" s="698">
        <f t="shared" si="55"/>
        <v>0</v>
      </c>
    </row>
    <row r="355" spans="1:19">
      <c r="A355" s="491"/>
      <c r="B355" s="348"/>
      <c r="C355" s="313">
        <f t="shared" si="56"/>
        <v>1</v>
      </c>
      <c r="D355" s="1128"/>
      <c r="E355" s="313">
        <f t="shared" si="57"/>
        <v>0.05</v>
      </c>
      <c r="F355" s="1128"/>
      <c r="G355" s="313">
        <f t="shared" si="58"/>
        <v>0.1</v>
      </c>
      <c r="H355" s="1128"/>
      <c r="I355" s="313">
        <f t="shared" si="59"/>
        <v>1</v>
      </c>
      <c r="J355" s="1128"/>
      <c r="K355" s="313">
        <f t="shared" si="60"/>
        <v>1</v>
      </c>
      <c r="L355" s="1128"/>
      <c r="M355" s="313">
        <f t="shared" si="61"/>
        <v>1</v>
      </c>
      <c r="N355" s="1128"/>
      <c r="O355" s="313">
        <f t="shared" si="62"/>
        <v>1</v>
      </c>
      <c r="P355" s="1128"/>
      <c r="Q355" s="313">
        <f t="shared" si="63"/>
        <v>0.2</v>
      </c>
      <c r="R355" s="1124">
        <f t="shared" si="64"/>
        <v>0</v>
      </c>
      <c r="S355" s="698">
        <f t="shared" si="55"/>
        <v>0</v>
      </c>
    </row>
    <row r="356" spans="1:19">
      <c r="A356" s="491"/>
      <c r="B356" s="348"/>
      <c r="C356" s="313">
        <f t="shared" si="56"/>
        <v>1</v>
      </c>
      <c r="D356" s="1128"/>
      <c r="E356" s="313">
        <f t="shared" si="57"/>
        <v>0.05</v>
      </c>
      <c r="F356" s="1128"/>
      <c r="G356" s="313">
        <f t="shared" si="58"/>
        <v>0.1</v>
      </c>
      <c r="H356" s="1128"/>
      <c r="I356" s="313">
        <f t="shared" si="59"/>
        <v>1</v>
      </c>
      <c r="J356" s="1128"/>
      <c r="K356" s="313">
        <f t="shared" si="60"/>
        <v>1</v>
      </c>
      <c r="L356" s="1128"/>
      <c r="M356" s="313">
        <f t="shared" si="61"/>
        <v>1</v>
      </c>
      <c r="N356" s="1128"/>
      <c r="O356" s="313">
        <f t="shared" si="62"/>
        <v>1</v>
      </c>
      <c r="P356" s="1128"/>
      <c r="Q356" s="313">
        <f t="shared" si="63"/>
        <v>0.2</v>
      </c>
      <c r="R356" s="1124">
        <f t="shared" si="64"/>
        <v>0</v>
      </c>
      <c r="S356" s="698">
        <f t="shared" si="55"/>
        <v>0</v>
      </c>
    </row>
    <row r="357" spans="1:19">
      <c r="A357" s="491"/>
      <c r="B357" s="348"/>
      <c r="C357" s="313">
        <f t="shared" si="56"/>
        <v>1</v>
      </c>
      <c r="D357" s="1128"/>
      <c r="E357" s="313">
        <f t="shared" si="57"/>
        <v>0.05</v>
      </c>
      <c r="F357" s="1128"/>
      <c r="G357" s="313">
        <f t="shared" si="58"/>
        <v>0.1</v>
      </c>
      <c r="H357" s="1128"/>
      <c r="I357" s="313">
        <f t="shared" si="59"/>
        <v>1</v>
      </c>
      <c r="J357" s="1128"/>
      <c r="K357" s="313">
        <f t="shared" si="60"/>
        <v>1</v>
      </c>
      <c r="L357" s="1128"/>
      <c r="M357" s="313">
        <f t="shared" si="61"/>
        <v>1</v>
      </c>
      <c r="N357" s="1128"/>
      <c r="O357" s="313">
        <f t="shared" si="62"/>
        <v>1</v>
      </c>
      <c r="P357" s="1128"/>
      <c r="Q357" s="313">
        <f t="shared" si="63"/>
        <v>0.2</v>
      </c>
      <c r="R357" s="1124">
        <f t="shared" si="64"/>
        <v>0</v>
      </c>
      <c r="S357" s="698">
        <f t="shared" si="55"/>
        <v>0</v>
      </c>
    </row>
    <row r="358" spans="1:19">
      <c r="A358" s="491"/>
      <c r="B358" s="348"/>
      <c r="C358" s="313">
        <f t="shared" si="56"/>
        <v>1</v>
      </c>
      <c r="D358" s="1128"/>
      <c r="E358" s="313">
        <f t="shared" si="57"/>
        <v>0.05</v>
      </c>
      <c r="F358" s="1128"/>
      <c r="G358" s="313">
        <f t="shared" si="58"/>
        <v>0.1</v>
      </c>
      <c r="H358" s="1128"/>
      <c r="I358" s="313">
        <f t="shared" si="59"/>
        <v>1</v>
      </c>
      <c r="J358" s="1128"/>
      <c r="K358" s="313">
        <f t="shared" si="60"/>
        <v>1</v>
      </c>
      <c r="L358" s="1128"/>
      <c r="M358" s="313">
        <f t="shared" si="61"/>
        <v>1</v>
      </c>
      <c r="N358" s="1128"/>
      <c r="O358" s="313">
        <f t="shared" si="62"/>
        <v>1</v>
      </c>
      <c r="P358" s="1128"/>
      <c r="Q358" s="313">
        <f t="shared" si="63"/>
        <v>0.2</v>
      </c>
      <c r="R358" s="1124">
        <f t="shared" si="64"/>
        <v>0</v>
      </c>
      <c r="S358" s="698">
        <f t="shared" si="55"/>
        <v>0</v>
      </c>
    </row>
    <row r="359" spans="1:19">
      <c r="A359" s="491"/>
      <c r="B359" s="348"/>
      <c r="C359" s="313">
        <f t="shared" si="56"/>
        <v>1</v>
      </c>
      <c r="D359" s="1128"/>
      <c r="E359" s="313">
        <f t="shared" si="57"/>
        <v>0.05</v>
      </c>
      <c r="F359" s="1128"/>
      <c r="G359" s="313">
        <f t="shared" si="58"/>
        <v>0.1</v>
      </c>
      <c r="H359" s="1128"/>
      <c r="I359" s="313">
        <f t="shared" si="59"/>
        <v>1</v>
      </c>
      <c r="J359" s="1128"/>
      <c r="K359" s="313">
        <f t="shared" si="60"/>
        <v>1</v>
      </c>
      <c r="L359" s="1128"/>
      <c r="M359" s="313">
        <f t="shared" si="61"/>
        <v>1</v>
      </c>
      <c r="N359" s="1128"/>
      <c r="O359" s="313">
        <f t="shared" si="62"/>
        <v>1</v>
      </c>
      <c r="P359" s="1128"/>
      <c r="Q359" s="313">
        <f t="shared" si="63"/>
        <v>0.2</v>
      </c>
      <c r="R359" s="1124">
        <f t="shared" si="64"/>
        <v>0</v>
      </c>
      <c r="S359" s="698">
        <f t="shared" si="55"/>
        <v>0</v>
      </c>
    </row>
    <row r="360" spans="1:19">
      <c r="A360" s="491"/>
      <c r="B360" s="348"/>
      <c r="C360" s="313">
        <f t="shared" si="56"/>
        <v>1</v>
      </c>
      <c r="D360" s="1128"/>
      <c r="E360" s="313">
        <f t="shared" si="57"/>
        <v>0.05</v>
      </c>
      <c r="F360" s="1128"/>
      <c r="G360" s="313">
        <f t="shared" si="58"/>
        <v>0.1</v>
      </c>
      <c r="H360" s="1128"/>
      <c r="I360" s="313">
        <f t="shared" si="59"/>
        <v>1</v>
      </c>
      <c r="J360" s="1128"/>
      <c r="K360" s="313">
        <f t="shared" si="60"/>
        <v>1</v>
      </c>
      <c r="L360" s="1128"/>
      <c r="M360" s="313">
        <f t="shared" si="61"/>
        <v>1</v>
      </c>
      <c r="N360" s="1128"/>
      <c r="O360" s="313">
        <f t="shared" si="62"/>
        <v>1</v>
      </c>
      <c r="P360" s="1128"/>
      <c r="Q360" s="313">
        <f t="shared" si="63"/>
        <v>0.2</v>
      </c>
      <c r="R360" s="1124">
        <f t="shared" si="64"/>
        <v>0</v>
      </c>
      <c r="S360" s="698">
        <f t="shared" si="55"/>
        <v>0</v>
      </c>
    </row>
    <row r="361" spans="1:19">
      <c r="A361" s="491"/>
      <c r="B361" s="348"/>
      <c r="C361" s="313">
        <f t="shared" si="56"/>
        <v>1</v>
      </c>
      <c r="D361" s="1128"/>
      <c r="E361" s="313">
        <f t="shared" si="57"/>
        <v>0.05</v>
      </c>
      <c r="F361" s="1128"/>
      <c r="G361" s="313">
        <f t="shared" si="58"/>
        <v>0.1</v>
      </c>
      <c r="H361" s="1128"/>
      <c r="I361" s="313">
        <f t="shared" si="59"/>
        <v>1</v>
      </c>
      <c r="J361" s="1128"/>
      <c r="K361" s="313">
        <f t="shared" si="60"/>
        <v>1</v>
      </c>
      <c r="L361" s="1128"/>
      <c r="M361" s="313">
        <f t="shared" si="61"/>
        <v>1</v>
      </c>
      <c r="N361" s="1128"/>
      <c r="O361" s="313">
        <f t="shared" si="62"/>
        <v>1</v>
      </c>
      <c r="P361" s="1128"/>
      <c r="Q361" s="313">
        <f t="shared" si="63"/>
        <v>0.2</v>
      </c>
      <c r="R361" s="1124">
        <f t="shared" si="64"/>
        <v>0</v>
      </c>
      <c r="S361" s="698">
        <f t="shared" si="55"/>
        <v>0</v>
      </c>
    </row>
    <row r="362" spans="1:19">
      <c r="A362" s="491"/>
      <c r="B362" s="348"/>
      <c r="C362" s="313">
        <f t="shared" si="56"/>
        <v>1</v>
      </c>
      <c r="D362" s="1128"/>
      <c r="E362" s="313">
        <f t="shared" si="57"/>
        <v>0.05</v>
      </c>
      <c r="F362" s="1128"/>
      <c r="G362" s="313">
        <f t="shared" si="58"/>
        <v>0.1</v>
      </c>
      <c r="H362" s="1128"/>
      <c r="I362" s="313">
        <f t="shared" si="59"/>
        <v>1</v>
      </c>
      <c r="J362" s="1128"/>
      <c r="K362" s="313">
        <f t="shared" si="60"/>
        <v>1</v>
      </c>
      <c r="L362" s="1128"/>
      <c r="M362" s="313">
        <f t="shared" si="61"/>
        <v>1</v>
      </c>
      <c r="N362" s="1128"/>
      <c r="O362" s="313">
        <f t="shared" si="62"/>
        <v>1</v>
      </c>
      <c r="P362" s="1128"/>
      <c r="Q362" s="313">
        <f t="shared" si="63"/>
        <v>0.2</v>
      </c>
      <c r="R362" s="1124">
        <f t="shared" si="64"/>
        <v>0</v>
      </c>
      <c r="S362" s="698">
        <f t="shared" si="55"/>
        <v>0</v>
      </c>
    </row>
    <row r="363" spans="1:19">
      <c r="A363" s="491"/>
      <c r="B363" s="348"/>
      <c r="C363" s="313">
        <f t="shared" si="56"/>
        <v>1</v>
      </c>
      <c r="D363" s="1128"/>
      <c r="E363" s="313">
        <f t="shared" si="57"/>
        <v>0.05</v>
      </c>
      <c r="F363" s="1128"/>
      <c r="G363" s="313">
        <f t="shared" si="58"/>
        <v>0.1</v>
      </c>
      <c r="H363" s="1128"/>
      <c r="I363" s="313">
        <f t="shared" si="59"/>
        <v>1</v>
      </c>
      <c r="J363" s="1128"/>
      <c r="K363" s="313">
        <f t="shared" si="60"/>
        <v>1</v>
      </c>
      <c r="L363" s="1128"/>
      <c r="M363" s="313">
        <f t="shared" si="61"/>
        <v>1</v>
      </c>
      <c r="N363" s="1128"/>
      <c r="O363" s="313">
        <f t="shared" si="62"/>
        <v>1</v>
      </c>
      <c r="P363" s="1128"/>
      <c r="Q363" s="313">
        <f t="shared" si="63"/>
        <v>0.2</v>
      </c>
      <c r="R363" s="1124">
        <f t="shared" si="64"/>
        <v>0</v>
      </c>
      <c r="S363" s="698">
        <f t="shared" si="55"/>
        <v>0</v>
      </c>
    </row>
    <row r="364" spans="1:19">
      <c r="A364" s="491"/>
      <c r="B364" s="348"/>
      <c r="C364" s="313">
        <f t="shared" si="56"/>
        <v>1</v>
      </c>
      <c r="D364" s="1128"/>
      <c r="E364" s="313">
        <f t="shared" si="57"/>
        <v>0.05</v>
      </c>
      <c r="F364" s="1128"/>
      <c r="G364" s="313">
        <f t="shared" si="58"/>
        <v>0.1</v>
      </c>
      <c r="H364" s="1128"/>
      <c r="I364" s="313">
        <f t="shared" si="59"/>
        <v>1</v>
      </c>
      <c r="J364" s="1128"/>
      <c r="K364" s="313">
        <f t="shared" si="60"/>
        <v>1</v>
      </c>
      <c r="L364" s="1128"/>
      <c r="M364" s="313">
        <f t="shared" si="61"/>
        <v>1</v>
      </c>
      <c r="N364" s="1128"/>
      <c r="O364" s="313">
        <f t="shared" si="62"/>
        <v>1</v>
      </c>
      <c r="P364" s="1128"/>
      <c r="Q364" s="313">
        <f t="shared" si="63"/>
        <v>0.2</v>
      </c>
      <c r="R364" s="1124">
        <f t="shared" si="64"/>
        <v>0</v>
      </c>
      <c r="S364" s="698">
        <f t="shared" si="55"/>
        <v>0</v>
      </c>
    </row>
    <row r="365" spans="1:19">
      <c r="A365" s="491"/>
      <c r="B365" s="348"/>
      <c r="C365" s="313">
        <f t="shared" si="56"/>
        <v>1</v>
      </c>
      <c r="D365" s="1128"/>
      <c r="E365" s="313">
        <f t="shared" si="57"/>
        <v>0.05</v>
      </c>
      <c r="F365" s="1128"/>
      <c r="G365" s="313">
        <f t="shared" si="58"/>
        <v>0.1</v>
      </c>
      <c r="H365" s="1128"/>
      <c r="I365" s="313">
        <f t="shared" si="59"/>
        <v>1</v>
      </c>
      <c r="J365" s="1128"/>
      <c r="K365" s="313">
        <f t="shared" si="60"/>
        <v>1</v>
      </c>
      <c r="L365" s="1128"/>
      <c r="M365" s="313">
        <f t="shared" si="61"/>
        <v>1</v>
      </c>
      <c r="N365" s="1128"/>
      <c r="O365" s="313">
        <f t="shared" si="62"/>
        <v>1</v>
      </c>
      <c r="P365" s="1128"/>
      <c r="Q365" s="313">
        <f t="shared" si="63"/>
        <v>0.2</v>
      </c>
      <c r="R365" s="1124">
        <f t="shared" si="64"/>
        <v>0</v>
      </c>
      <c r="S365" s="698">
        <f t="shared" si="55"/>
        <v>0</v>
      </c>
    </row>
    <row r="366" spans="1:19">
      <c r="A366" s="491"/>
      <c r="B366" s="348"/>
      <c r="C366" s="313">
        <f t="shared" si="56"/>
        <v>1</v>
      </c>
      <c r="D366" s="1128"/>
      <c r="E366" s="313">
        <f t="shared" si="57"/>
        <v>0.05</v>
      </c>
      <c r="F366" s="1128"/>
      <c r="G366" s="313">
        <f t="shared" si="58"/>
        <v>0.1</v>
      </c>
      <c r="H366" s="1128"/>
      <c r="I366" s="313">
        <f t="shared" si="59"/>
        <v>1</v>
      </c>
      <c r="J366" s="1128"/>
      <c r="K366" s="313">
        <f t="shared" si="60"/>
        <v>1</v>
      </c>
      <c r="L366" s="1128"/>
      <c r="M366" s="313">
        <f t="shared" si="61"/>
        <v>1</v>
      </c>
      <c r="N366" s="1128"/>
      <c r="O366" s="313">
        <f t="shared" si="62"/>
        <v>1</v>
      </c>
      <c r="P366" s="1128"/>
      <c r="Q366" s="313">
        <f t="shared" si="63"/>
        <v>0.2</v>
      </c>
      <c r="R366" s="1124">
        <f t="shared" si="64"/>
        <v>0</v>
      </c>
      <c r="S366" s="698">
        <f t="shared" si="55"/>
        <v>0</v>
      </c>
    </row>
    <row r="367" spans="1:19">
      <c r="A367" s="491"/>
      <c r="B367" s="348"/>
      <c r="C367" s="313">
        <f t="shared" si="56"/>
        <v>1</v>
      </c>
      <c r="D367" s="1128"/>
      <c r="E367" s="313">
        <f t="shared" si="57"/>
        <v>0.05</v>
      </c>
      <c r="F367" s="1128"/>
      <c r="G367" s="313">
        <f t="shared" si="58"/>
        <v>0.1</v>
      </c>
      <c r="H367" s="1128"/>
      <c r="I367" s="313">
        <f t="shared" si="59"/>
        <v>1</v>
      </c>
      <c r="J367" s="1128"/>
      <c r="K367" s="313">
        <f t="shared" si="60"/>
        <v>1</v>
      </c>
      <c r="L367" s="1128"/>
      <c r="M367" s="313">
        <f t="shared" si="61"/>
        <v>1</v>
      </c>
      <c r="N367" s="1128"/>
      <c r="O367" s="313">
        <f t="shared" si="62"/>
        <v>1</v>
      </c>
      <c r="P367" s="1128"/>
      <c r="Q367" s="313">
        <f t="shared" si="63"/>
        <v>0.2</v>
      </c>
      <c r="R367" s="1124">
        <f t="shared" si="64"/>
        <v>0</v>
      </c>
      <c r="S367" s="698">
        <f t="shared" si="55"/>
        <v>0</v>
      </c>
    </row>
    <row r="368" spans="1:19">
      <c r="A368" s="491"/>
      <c r="B368" s="348"/>
      <c r="C368" s="313">
        <f t="shared" si="56"/>
        <v>1</v>
      </c>
      <c r="D368" s="1128"/>
      <c r="E368" s="313">
        <f t="shared" si="57"/>
        <v>0.05</v>
      </c>
      <c r="F368" s="1128"/>
      <c r="G368" s="313">
        <f t="shared" si="58"/>
        <v>0.1</v>
      </c>
      <c r="H368" s="1128"/>
      <c r="I368" s="313">
        <f t="shared" si="59"/>
        <v>1</v>
      </c>
      <c r="J368" s="1128"/>
      <c r="K368" s="313">
        <f t="shared" si="60"/>
        <v>1</v>
      </c>
      <c r="L368" s="1128"/>
      <c r="M368" s="313">
        <f t="shared" si="61"/>
        <v>1</v>
      </c>
      <c r="N368" s="1128"/>
      <c r="O368" s="313">
        <f t="shared" si="62"/>
        <v>1</v>
      </c>
      <c r="P368" s="1128"/>
      <c r="Q368" s="313">
        <f t="shared" si="63"/>
        <v>0.2</v>
      </c>
      <c r="R368" s="1124">
        <f t="shared" si="64"/>
        <v>0</v>
      </c>
      <c r="S368" s="698">
        <f t="shared" si="55"/>
        <v>0</v>
      </c>
    </row>
    <row r="369" spans="1:19">
      <c r="A369" s="491"/>
      <c r="B369" s="348"/>
      <c r="C369" s="313">
        <f t="shared" si="56"/>
        <v>1</v>
      </c>
      <c r="D369" s="1128"/>
      <c r="E369" s="313">
        <f t="shared" si="57"/>
        <v>0.05</v>
      </c>
      <c r="F369" s="1128"/>
      <c r="G369" s="313">
        <f t="shared" si="58"/>
        <v>0.1</v>
      </c>
      <c r="H369" s="1128"/>
      <c r="I369" s="313">
        <f t="shared" si="59"/>
        <v>1</v>
      </c>
      <c r="J369" s="1128"/>
      <c r="K369" s="313">
        <f t="shared" si="60"/>
        <v>1</v>
      </c>
      <c r="L369" s="1128"/>
      <c r="M369" s="313">
        <f t="shared" si="61"/>
        <v>1</v>
      </c>
      <c r="N369" s="1128"/>
      <c r="O369" s="313">
        <f t="shared" si="62"/>
        <v>1</v>
      </c>
      <c r="P369" s="1128"/>
      <c r="Q369" s="313">
        <f t="shared" si="63"/>
        <v>0.2</v>
      </c>
      <c r="R369" s="1124">
        <f t="shared" si="64"/>
        <v>0</v>
      </c>
      <c r="S369" s="698">
        <f t="shared" si="55"/>
        <v>0</v>
      </c>
    </row>
    <row r="370" spans="1:19">
      <c r="A370" s="491"/>
      <c r="B370" s="348"/>
      <c r="C370" s="313">
        <f t="shared" si="56"/>
        <v>1</v>
      </c>
      <c r="D370" s="1128"/>
      <c r="E370" s="313">
        <f t="shared" si="57"/>
        <v>0.05</v>
      </c>
      <c r="F370" s="1128"/>
      <c r="G370" s="313">
        <f t="shared" si="58"/>
        <v>0.1</v>
      </c>
      <c r="H370" s="1128"/>
      <c r="I370" s="313">
        <f t="shared" si="59"/>
        <v>1</v>
      </c>
      <c r="J370" s="1128"/>
      <c r="K370" s="313">
        <f t="shared" si="60"/>
        <v>1</v>
      </c>
      <c r="L370" s="1128"/>
      <c r="M370" s="313">
        <f t="shared" si="61"/>
        <v>1</v>
      </c>
      <c r="N370" s="1128"/>
      <c r="O370" s="313">
        <f t="shared" si="62"/>
        <v>1</v>
      </c>
      <c r="P370" s="1128"/>
      <c r="Q370" s="313">
        <f t="shared" si="63"/>
        <v>0.2</v>
      </c>
      <c r="R370" s="1124">
        <f t="shared" si="64"/>
        <v>0</v>
      </c>
      <c r="S370" s="698">
        <f t="shared" si="55"/>
        <v>0</v>
      </c>
    </row>
    <row r="371" spans="1:19">
      <c r="A371" s="491"/>
      <c r="B371" s="348"/>
      <c r="C371" s="313">
        <f t="shared" si="56"/>
        <v>1</v>
      </c>
      <c r="D371" s="1128"/>
      <c r="E371" s="313">
        <f t="shared" si="57"/>
        <v>0.05</v>
      </c>
      <c r="F371" s="1128"/>
      <c r="G371" s="313">
        <f t="shared" si="58"/>
        <v>0.1</v>
      </c>
      <c r="H371" s="1128"/>
      <c r="I371" s="313">
        <f t="shared" si="59"/>
        <v>1</v>
      </c>
      <c r="J371" s="1128"/>
      <c r="K371" s="313">
        <f t="shared" si="60"/>
        <v>1</v>
      </c>
      <c r="L371" s="1128"/>
      <c r="M371" s="313">
        <f t="shared" si="61"/>
        <v>1</v>
      </c>
      <c r="N371" s="1128"/>
      <c r="O371" s="313">
        <f t="shared" si="62"/>
        <v>1</v>
      </c>
      <c r="P371" s="1128"/>
      <c r="Q371" s="313">
        <f t="shared" si="63"/>
        <v>0.2</v>
      </c>
      <c r="R371" s="1124">
        <f t="shared" si="64"/>
        <v>0</v>
      </c>
      <c r="S371" s="698">
        <f t="shared" si="55"/>
        <v>0</v>
      </c>
    </row>
    <row r="372" spans="1:19">
      <c r="A372" s="491"/>
      <c r="B372" s="348"/>
      <c r="C372" s="313">
        <f t="shared" si="56"/>
        <v>1</v>
      </c>
      <c r="D372" s="1128"/>
      <c r="E372" s="313">
        <f t="shared" si="57"/>
        <v>0.05</v>
      </c>
      <c r="F372" s="1128"/>
      <c r="G372" s="313">
        <f t="shared" si="58"/>
        <v>0.1</v>
      </c>
      <c r="H372" s="1128"/>
      <c r="I372" s="313">
        <f t="shared" si="59"/>
        <v>1</v>
      </c>
      <c r="J372" s="1128"/>
      <c r="K372" s="313">
        <f t="shared" si="60"/>
        <v>1</v>
      </c>
      <c r="L372" s="1128"/>
      <c r="M372" s="313">
        <f t="shared" si="61"/>
        <v>1</v>
      </c>
      <c r="N372" s="1128"/>
      <c r="O372" s="313">
        <f t="shared" si="62"/>
        <v>1</v>
      </c>
      <c r="P372" s="1128"/>
      <c r="Q372" s="313">
        <f t="shared" si="63"/>
        <v>0.2</v>
      </c>
      <c r="R372" s="1124">
        <f t="shared" si="64"/>
        <v>0</v>
      </c>
      <c r="S372" s="698">
        <f t="shared" si="55"/>
        <v>0</v>
      </c>
    </row>
    <row r="373" spans="1:19">
      <c r="A373" s="491"/>
      <c r="B373" s="348"/>
      <c r="C373" s="313">
        <f t="shared" si="56"/>
        <v>1</v>
      </c>
      <c r="D373" s="1128"/>
      <c r="E373" s="313">
        <f t="shared" si="57"/>
        <v>0.05</v>
      </c>
      <c r="F373" s="1128"/>
      <c r="G373" s="313">
        <f t="shared" si="58"/>
        <v>0.1</v>
      </c>
      <c r="H373" s="1128"/>
      <c r="I373" s="313">
        <f t="shared" si="59"/>
        <v>1</v>
      </c>
      <c r="J373" s="1128"/>
      <c r="K373" s="313">
        <f t="shared" si="60"/>
        <v>1</v>
      </c>
      <c r="L373" s="1128"/>
      <c r="M373" s="313">
        <f t="shared" si="61"/>
        <v>1</v>
      </c>
      <c r="N373" s="1128"/>
      <c r="O373" s="313">
        <f t="shared" si="62"/>
        <v>1</v>
      </c>
      <c r="P373" s="1128"/>
      <c r="Q373" s="313">
        <f t="shared" si="63"/>
        <v>0.2</v>
      </c>
      <c r="R373" s="1124">
        <f t="shared" si="64"/>
        <v>0</v>
      </c>
      <c r="S373" s="698">
        <f t="shared" si="55"/>
        <v>0</v>
      </c>
    </row>
    <row r="374" spans="1:19">
      <c r="A374" s="491"/>
      <c r="B374" s="348"/>
      <c r="C374" s="313">
        <f t="shared" si="56"/>
        <v>1</v>
      </c>
      <c r="D374" s="1128"/>
      <c r="E374" s="313">
        <f t="shared" si="57"/>
        <v>0.05</v>
      </c>
      <c r="F374" s="1128"/>
      <c r="G374" s="313">
        <f t="shared" si="58"/>
        <v>0.1</v>
      </c>
      <c r="H374" s="1128"/>
      <c r="I374" s="313">
        <f t="shared" si="59"/>
        <v>1</v>
      </c>
      <c r="J374" s="1128"/>
      <c r="K374" s="313">
        <f t="shared" si="60"/>
        <v>1</v>
      </c>
      <c r="L374" s="1128"/>
      <c r="M374" s="313">
        <f t="shared" si="61"/>
        <v>1</v>
      </c>
      <c r="N374" s="1128"/>
      <c r="O374" s="313">
        <f t="shared" si="62"/>
        <v>1</v>
      </c>
      <c r="P374" s="1128"/>
      <c r="Q374" s="313">
        <f t="shared" si="63"/>
        <v>0.2</v>
      </c>
      <c r="R374" s="1124">
        <f t="shared" si="64"/>
        <v>0</v>
      </c>
      <c r="S374" s="698">
        <f t="shared" si="55"/>
        <v>0</v>
      </c>
    </row>
    <row r="375" spans="1:19">
      <c r="A375" s="491"/>
      <c r="B375" s="348"/>
      <c r="C375" s="313">
        <f t="shared" si="56"/>
        <v>1</v>
      </c>
      <c r="D375" s="1128"/>
      <c r="E375" s="313">
        <f t="shared" si="57"/>
        <v>0.05</v>
      </c>
      <c r="F375" s="1128"/>
      <c r="G375" s="313">
        <f t="shared" si="58"/>
        <v>0.1</v>
      </c>
      <c r="H375" s="1128"/>
      <c r="I375" s="313">
        <f t="shared" si="59"/>
        <v>1</v>
      </c>
      <c r="J375" s="1128"/>
      <c r="K375" s="313">
        <f t="shared" si="60"/>
        <v>1</v>
      </c>
      <c r="L375" s="1128"/>
      <c r="M375" s="313">
        <f t="shared" si="61"/>
        <v>1</v>
      </c>
      <c r="N375" s="1128"/>
      <c r="O375" s="313">
        <f t="shared" si="62"/>
        <v>1</v>
      </c>
      <c r="P375" s="1128"/>
      <c r="Q375" s="313">
        <f t="shared" si="63"/>
        <v>0.2</v>
      </c>
      <c r="R375" s="1124">
        <f t="shared" si="64"/>
        <v>0</v>
      </c>
      <c r="S375" s="698">
        <f t="shared" si="55"/>
        <v>0</v>
      </c>
    </row>
    <row r="376" spans="1:19">
      <c r="A376" s="491"/>
      <c r="B376" s="348"/>
      <c r="C376" s="313">
        <f t="shared" si="56"/>
        <v>1</v>
      </c>
      <c r="D376" s="1128"/>
      <c r="E376" s="313">
        <f t="shared" si="57"/>
        <v>0.05</v>
      </c>
      <c r="F376" s="1128"/>
      <c r="G376" s="313">
        <f t="shared" si="58"/>
        <v>0.1</v>
      </c>
      <c r="H376" s="1128"/>
      <c r="I376" s="313">
        <f t="shared" si="59"/>
        <v>1</v>
      </c>
      <c r="J376" s="1128"/>
      <c r="K376" s="313">
        <f t="shared" si="60"/>
        <v>1</v>
      </c>
      <c r="L376" s="1128"/>
      <c r="M376" s="313">
        <f t="shared" si="61"/>
        <v>1</v>
      </c>
      <c r="N376" s="1128"/>
      <c r="O376" s="313">
        <f t="shared" si="62"/>
        <v>1</v>
      </c>
      <c r="P376" s="1128"/>
      <c r="Q376" s="313">
        <f t="shared" si="63"/>
        <v>0.2</v>
      </c>
      <c r="R376" s="1124">
        <f t="shared" si="64"/>
        <v>0</v>
      </c>
      <c r="S376" s="698">
        <f t="shared" si="55"/>
        <v>0</v>
      </c>
    </row>
    <row r="377" spans="1:19">
      <c r="A377" s="491"/>
      <c r="B377" s="348"/>
      <c r="C377" s="313">
        <f t="shared" si="56"/>
        <v>1</v>
      </c>
      <c r="D377" s="1128"/>
      <c r="E377" s="313">
        <f t="shared" si="57"/>
        <v>0.05</v>
      </c>
      <c r="F377" s="1128"/>
      <c r="G377" s="313">
        <f t="shared" si="58"/>
        <v>0.1</v>
      </c>
      <c r="H377" s="1128"/>
      <c r="I377" s="313">
        <f t="shared" si="59"/>
        <v>1</v>
      </c>
      <c r="J377" s="1128"/>
      <c r="K377" s="313">
        <f t="shared" si="60"/>
        <v>1</v>
      </c>
      <c r="L377" s="1128"/>
      <c r="M377" s="313">
        <f t="shared" si="61"/>
        <v>1</v>
      </c>
      <c r="N377" s="1128"/>
      <c r="O377" s="313">
        <f t="shared" si="62"/>
        <v>1</v>
      </c>
      <c r="P377" s="1128"/>
      <c r="Q377" s="313">
        <f t="shared" si="63"/>
        <v>0.2</v>
      </c>
      <c r="R377" s="1124">
        <f t="shared" si="64"/>
        <v>0</v>
      </c>
      <c r="S377" s="698">
        <f t="shared" si="55"/>
        <v>0</v>
      </c>
    </row>
    <row r="378" spans="1:19">
      <c r="A378" s="491"/>
      <c r="B378" s="348"/>
      <c r="C378" s="313">
        <f t="shared" si="56"/>
        <v>1</v>
      </c>
      <c r="D378" s="1128"/>
      <c r="E378" s="313">
        <f t="shared" si="57"/>
        <v>0.05</v>
      </c>
      <c r="F378" s="1128"/>
      <c r="G378" s="313">
        <f t="shared" si="58"/>
        <v>0.1</v>
      </c>
      <c r="H378" s="1128"/>
      <c r="I378" s="313">
        <f t="shared" si="59"/>
        <v>1</v>
      </c>
      <c r="J378" s="1128"/>
      <c r="K378" s="313">
        <f t="shared" si="60"/>
        <v>1</v>
      </c>
      <c r="L378" s="1128"/>
      <c r="M378" s="313">
        <f t="shared" si="61"/>
        <v>1</v>
      </c>
      <c r="N378" s="1128"/>
      <c r="O378" s="313">
        <f t="shared" si="62"/>
        <v>1</v>
      </c>
      <c r="P378" s="1128"/>
      <c r="Q378" s="313">
        <f t="shared" si="63"/>
        <v>0.2</v>
      </c>
      <c r="R378" s="1124">
        <f t="shared" si="64"/>
        <v>0</v>
      </c>
      <c r="S378" s="698">
        <f t="shared" si="55"/>
        <v>0</v>
      </c>
    </row>
    <row r="379" spans="1:19">
      <c r="A379" s="491"/>
      <c r="B379" s="348"/>
      <c r="C379" s="313">
        <f t="shared" si="56"/>
        <v>1</v>
      </c>
      <c r="D379" s="1128"/>
      <c r="E379" s="313">
        <f t="shared" si="57"/>
        <v>0.05</v>
      </c>
      <c r="F379" s="1128"/>
      <c r="G379" s="313">
        <f t="shared" si="58"/>
        <v>0.1</v>
      </c>
      <c r="H379" s="1128"/>
      <c r="I379" s="313">
        <f t="shared" si="59"/>
        <v>1</v>
      </c>
      <c r="J379" s="1128"/>
      <c r="K379" s="313">
        <f t="shared" si="60"/>
        <v>1</v>
      </c>
      <c r="L379" s="1128"/>
      <c r="M379" s="313">
        <f t="shared" si="61"/>
        <v>1</v>
      </c>
      <c r="N379" s="1128"/>
      <c r="O379" s="313">
        <f t="shared" si="62"/>
        <v>1</v>
      </c>
      <c r="P379" s="1128"/>
      <c r="Q379" s="313">
        <f t="shared" si="63"/>
        <v>0.2</v>
      </c>
      <c r="R379" s="1124">
        <f t="shared" si="64"/>
        <v>0</v>
      </c>
      <c r="S379" s="698">
        <f t="shared" si="55"/>
        <v>0</v>
      </c>
    </row>
    <row r="380" spans="1:19">
      <c r="A380" s="491"/>
      <c r="B380" s="348"/>
      <c r="C380" s="313">
        <f t="shared" si="56"/>
        <v>1</v>
      </c>
      <c r="D380" s="1128"/>
      <c r="E380" s="313">
        <f t="shared" si="57"/>
        <v>0.05</v>
      </c>
      <c r="F380" s="1128"/>
      <c r="G380" s="313">
        <f t="shared" si="58"/>
        <v>0.1</v>
      </c>
      <c r="H380" s="1128"/>
      <c r="I380" s="313">
        <f t="shared" si="59"/>
        <v>1</v>
      </c>
      <c r="J380" s="1128"/>
      <c r="K380" s="313">
        <f t="shared" si="60"/>
        <v>1</v>
      </c>
      <c r="L380" s="1128"/>
      <c r="M380" s="313">
        <f t="shared" si="61"/>
        <v>1</v>
      </c>
      <c r="N380" s="1128"/>
      <c r="O380" s="313">
        <f t="shared" si="62"/>
        <v>1</v>
      </c>
      <c r="P380" s="1128"/>
      <c r="Q380" s="313">
        <f t="shared" si="63"/>
        <v>0.2</v>
      </c>
      <c r="R380" s="1124">
        <f t="shared" si="64"/>
        <v>0</v>
      </c>
      <c r="S380" s="698">
        <f t="shared" si="55"/>
        <v>0</v>
      </c>
    </row>
    <row r="381" spans="1:19">
      <c r="A381" s="491"/>
      <c r="B381" s="348"/>
      <c r="C381" s="313">
        <f t="shared" si="56"/>
        <v>1</v>
      </c>
      <c r="D381" s="1128"/>
      <c r="E381" s="313">
        <f t="shared" si="57"/>
        <v>0.05</v>
      </c>
      <c r="F381" s="1128"/>
      <c r="G381" s="313">
        <f t="shared" si="58"/>
        <v>0.1</v>
      </c>
      <c r="H381" s="1128"/>
      <c r="I381" s="313">
        <f t="shared" si="59"/>
        <v>1</v>
      </c>
      <c r="J381" s="1128"/>
      <c r="K381" s="313">
        <f t="shared" si="60"/>
        <v>1</v>
      </c>
      <c r="L381" s="1128"/>
      <c r="M381" s="313">
        <f t="shared" si="61"/>
        <v>1</v>
      </c>
      <c r="N381" s="1128"/>
      <c r="O381" s="313">
        <f t="shared" si="62"/>
        <v>1</v>
      </c>
      <c r="P381" s="1128"/>
      <c r="Q381" s="313">
        <f t="shared" si="63"/>
        <v>0.2</v>
      </c>
      <c r="R381" s="1124">
        <f t="shared" si="64"/>
        <v>0</v>
      </c>
      <c r="S381" s="698">
        <f t="shared" si="55"/>
        <v>0</v>
      </c>
    </row>
    <row r="382" spans="1:19">
      <c r="A382" s="491"/>
      <c r="B382" s="348"/>
      <c r="C382" s="313">
        <f t="shared" si="56"/>
        <v>1</v>
      </c>
      <c r="D382" s="1128"/>
      <c r="E382" s="313">
        <f t="shared" si="57"/>
        <v>0.05</v>
      </c>
      <c r="F382" s="1128"/>
      <c r="G382" s="313">
        <f t="shared" si="58"/>
        <v>0.1</v>
      </c>
      <c r="H382" s="1128"/>
      <c r="I382" s="313">
        <f t="shared" si="59"/>
        <v>1</v>
      </c>
      <c r="J382" s="1128"/>
      <c r="K382" s="313">
        <f t="shared" si="60"/>
        <v>1</v>
      </c>
      <c r="L382" s="1128"/>
      <c r="M382" s="313">
        <f t="shared" si="61"/>
        <v>1</v>
      </c>
      <c r="N382" s="1128"/>
      <c r="O382" s="313">
        <f t="shared" si="62"/>
        <v>1</v>
      </c>
      <c r="P382" s="1128"/>
      <c r="Q382" s="313">
        <f t="shared" si="63"/>
        <v>0.2</v>
      </c>
      <c r="R382" s="1124">
        <f t="shared" si="64"/>
        <v>0</v>
      </c>
      <c r="S382" s="698">
        <f t="shared" si="55"/>
        <v>0</v>
      </c>
    </row>
    <row r="383" spans="1:19">
      <c r="A383" s="491"/>
      <c r="B383" s="348"/>
      <c r="C383" s="313">
        <f t="shared" si="56"/>
        <v>1</v>
      </c>
      <c r="D383" s="1128"/>
      <c r="E383" s="313">
        <f t="shared" si="57"/>
        <v>0.05</v>
      </c>
      <c r="F383" s="1128"/>
      <c r="G383" s="313">
        <f t="shared" si="58"/>
        <v>0.1</v>
      </c>
      <c r="H383" s="1128"/>
      <c r="I383" s="313">
        <f t="shared" si="59"/>
        <v>1</v>
      </c>
      <c r="J383" s="1128"/>
      <c r="K383" s="313">
        <f t="shared" si="60"/>
        <v>1</v>
      </c>
      <c r="L383" s="1128"/>
      <c r="M383" s="313">
        <f t="shared" si="61"/>
        <v>1</v>
      </c>
      <c r="N383" s="1128"/>
      <c r="O383" s="313">
        <f t="shared" si="62"/>
        <v>1</v>
      </c>
      <c r="P383" s="1128"/>
      <c r="Q383" s="313">
        <f t="shared" si="63"/>
        <v>0.2</v>
      </c>
      <c r="R383" s="1124">
        <f t="shared" si="64"/>
        <v>0</v>
      </c>
      <c r="S383" s="698">
        <f t="shared" si="55"/>
        <v>0</v>
      </c>
    </row>
    <row r="384" spans="1:19">
      <c r="A384" s="491"/>
      <c r="B384" s="348"/>
      <c r="C384" s="313">
        <f t="shared" si="56"/>
        <v>1</v>
      </c>
      <c r="D384" s="1128"/>
      <c r="E384" s="313">
        <f t="shared" si="57"/>
        <v>0.05</v>
      </c>
      <c r="F384" s="1128"/>
      <c r="G384" s="313">
        <f t="shared" si="58"/>
        <v>0.1</v>
      </c>
      <c r="H384" s="1128"/>
      <c r="I384" s="313">
        <f t="shared" si="59"/>
        <v>1</v>
      </c>
      <c r="J384" s="1128"/>
      <c r="K384" s="313">
        <f t="shared" si="60"/>
        <v>1</v>
      </c>
      <c r="L384" s="1128"/>
      <c r="M384" s="313">
        <f t="shared" si="61"/>
        <v>1</v>
      </c>
      <c r="N384" s="1128"/>
      <c r="O384" s="313">
        <f t="shared" si="62"/>
        <v>1</v>
      </c>
      <c r="P384" s="1128"/>
      <c r="Q384" s="313">
        <f t="shared" si="63"/>
        <v>0.2</v>
      </c>
      <c r="R384" s="1124">
        <f t="shared" si="64"/>
        <v>0</v>
      </c>
      <c r="S384" s="698">
        <f t="shared" si="55"/>
        <v>0</v>
      </c>
    </row>
    <row r="385" spans="1:19">
      <c r="A385" s="491"/>
      <c r="B385" s="348"/>
      <c r="C385" s="313">
        <f t="shared" si="56"/>
        <v>1</v>
      </c>
      <c r="D385" s="1128"/>
      <c r="E385" s="313">
        <f t="shared" si="57"/>
        <v>0.05</v>
      </c>
      <c r="F385" s="1128"/>
      <c r="G385" s="313">
        <f t="shared" si="58"/>
        <v>0.1</v>
      </c>
      <c r="H385" s="1128"/>
      <c r="I385" s="313">
        <f t="shared" si="59"/>
        <v>1</v>
      </c>
      <c r="J385" s="1128"/>
      <c r="K385" s="313">
        <f t="shared" si="60"/>
        <v>1</v>
      </c>
      <c r="L385" s="1128"/>
      <c r="M385" s="313">
        <f t="shared" si="61"/>
        <v>1</v>
      </c>
      <c r="N385" s="1128"/>
      <c r="O385" s="313">
        <f t="shared" si="62"/>
        <v>1</v>
      </c>
      <c r="P385" s="1128"/>
      <c r="Q385" s="313">
        <f t="shared" si="63"/>
        <v>0.2</v>
      </c>
      <c r="R385" s="1124">
        <f t="shared" si="64"/>
        <v>0</v>
      </c>
      <c r="S385" s="698">
        <f t="shared" si="55"/>
        <v>0</v>
      </c>
    </row>
    <row r="386" spans="1:19">
      <c r="A386" s="491"/>
      <c r="B386" s="348"/>
      <c r="C386" s="313">
        <f t="shared" si="56"/>
        <v>1</v>
      </c>
      <c r="D386" s="1128"/>
      <c r="E386" s="313">
        <f t="shared" si="57"/>
        <v>0.05</v>
      </c>
      <c r="F386" s="1128"/>
      <c r="G386" s="313">
        <f t="shared" si="58"/>
        <v>0.1</v>
      </c>
      <c r="H386" s="1128"/>
      <c r="I386" s="313">
        <f t="shared" si="59"/>
        <v>1</v>
      </c>
      <c r="J386" s="1128"/>
      <c r="K386" s="313">
        <f t="shared" si="60"/>
        <v>1</v>
      </c>
      <c r="L386" s="1128"/>
      <c r="M386" s="313">
        <f t="shared" si="61"/>
        <v>1</v>
      </c>
      <c r="N386" s="1128"/>
      <c r="O386" s="313">
        <f t="shared" si="62"/>
        <v>1</v>
      </c>
      <c r="P386" s="1128"/>
      <c r="Q386" s="313">
        <f t="shared" si="63"/>
        <v>0.2</v>
      </c>
      <c r="R386" s="1124">
        <f t="shared" si="64"/>
        <v>0</v>
      </c>
      <c r="S386" s="698">
        <f t="shared" si="55"/>
        <v>0</v>
      </c>
    </row>
    <row r="387" spans="1:19">
      <c r="A387" s="491"/>
      <c r="B387" s="348"/>
      <c r="C387" s="313">
        <f t="shared" si="56"/>
        <v>1</v>
      </c>
      <c r="D387" s="1128"/>
      <c r="E387" s="313">
        <f t="shared" si="57"/>
        <v>0.05</v>
      </c>
      <c r="F387" s="1128"/>
      <c r="G387" s="313">
        <f t="shared" si="58"/>
        <v>0.1</v>
      </c>
      <c r="H387" s="1128"/>
      <c r="I387" s="313">
        <f t="shared" si="59"/>
        <v>1</v>
      </c>
      <c r="J387" s="1128"/>
      <c r="K387" s="313">
        <f t="shared" si="60"/>
        <v>1</v>
      </c>
      <c r="L387" s="1128"/>
      <c r="M387" s="313">
        <f t="shared" si="61"/>
        <v>1</v>
      </c>
      <c r="N387" s="1128"/>
      <c r="O387" s="313">
        <f t="shared" si="62"/>
        <v>1</v>
      </c>
      <c r="P387" s="1128"/>
      <c r="Q387" s="313">
        <f t="shared" si="63"/>
        <v>0.2</v>
      </c>
      <c r="R387" s="1124">
        <f t="shared" si="64"/>
        <v>0</v>
      </c>
      <c r="S387" s="698">
        <f t="shared" si="55"/>
        <v>0</v>
      </c>
    </row>
    <row r="388" spans="1:19">
      <c r="A388" s="491"/>
      <c r="B388" s="348"/>
      <c r="C388" s="313">
        <f t="shared" si="56"/>
        <v>1</v>
      </c>
      <c r="D388" s="1128"/>
      <c r="E388" s="313">
        <f t="shared" si="57"/>
        <v>0.05</v>
      </c>
      <c r="F388" s="1128"/>
      <c r="G388" s="313">
        <f t="shared" si="58"/>
        <v>0.1</v>
      </c>
      <c r="H388" s="1128"/>
      <c r="I388" s="313">
        <f t="shared" si="59"/>
        <v>1</v>
      </c>
      <c r="J388" s="1128"/>
      <c r="K388" s="313">
        <f t="shared" si="60"/>
        <v>1</v>
      </c>
      <c r="L388" s="1128"/>
      <c r="M388" s="313">
        <f t="shared" si="61"/>
        <v>1</v>
      </c>
      <c r="N388" s="1128"/>
      <c r="O388" s="313">
        <f t="shared" si="62"/>
        <v>1</v>
      </c>
      <c r="P388" s="1128"/>
      <c r="Q388" s="313">
        <f t="shared" si="63"/>
        <v>0.2</v>
      </c>
      <c r="R388" s="1124">
        <f t="shared" si="64"/>
        <v>0</v>
      </c>
      <c r="S388" s="698">
        <f t="shared" si="55"/>
        <v>0</v>
      </c>
    </row>
    <row r="389" spans="1:19">
      <c r="A389" s="491"/>
      <c r="B389" s="348"/>
      <c r="C389" s="313">
        <f t="shared" si="56"/>
        <v>1</v>
      </c>
      <c r="D389" s="1128"/>
      <c r="E389" s="313">
        <f t="shared" si="57"/>
        <v>0.05</v>
      </c>
      <c r="F389" s="1128"/>
      <c r="G389" s="313">
        <f t="shared" si="58"/>
        <v>0.1</v>
      </c>
      <c r="H389" s="1128"/>
      <c r="I389" s="313">
        <f t="shared" si="59"/>
        <v>1</v>
      </c>
      <c r="J389" s="1128"/>
      <c r="K389" s="313">
        <f t="shared" si="60"/>
        <v>1</v>
      </c>
      <c r="L389" s="1128"/>
      <c r="M389" s="313">
        <f t="shared" si="61"/>
        <v>1</v>
      </c>
      <c r="N389" s="1128"/>
      <c r="O389" s="313">
        <f t="shared" si="62"/>
        <v>1</v>
      </c>
      <c r="P389" s="1128"/>
      <c r="Q389" s="313">
        <f t="shared" si="63"/>
        <v>0.2</v>
      </c>
      <c r="R389" s="1124">
        <f t="shared" si="64"/>
        <v>0</v>
      </c>
      <c r="S389" s="698">
        <f t="shared" si="55"/>
        <v>0</v>
      </c>
    </row>
    <row r="390" spans="1:19">
      <c r="A390" s="491"/>
      <c r="B390" s="348"/>
      <c r="C390" s="313">
        <f t="shared" si="56"/>
        <v>1</v>
      </c>
      <c r="D390" s="1128"/>
      <c r="E390" s="313">
        <f t="shared" si="57"/>
        <v>0.05</v>
      </c>
      <c r="F390" s="1128"/>
      <c r="G390" s="313">
        <f t="shared" si="58"/>
        <v>0.1</v>
      </c>
      <c r="H390" s="1128"/>
      <c r="I390" s="313">
        <f t="shared" si="59"/>
        <v>1</v>
      </c>
      <c r="J390" s="1128"/>
      <c r="K390" s="313">
        <f t="shared" si="60"/>
        <v>1</v>
      </c>
      <c r="L390" s="1128"/>
      <c r="M390" s="313">
        <f t="shared" si="61"/>
        <v>1</v>
      </c>
      <c r="N390" s="1128"/>
      <c r="O390" s="313">
        <f t="shared" si="62"/>
        <v>1</v>
      </c>
      <c r="P390" s="1128"/>
      <c r="Q390" s="313">
        <f t="shared" si="63"/>
        <v>0.2</v>
      </c>
      <c r="R390" s="1124">
        <f t="shared" si="64"/>
        <v>0</v>
      </c>
      <c r="S390" s="698">
        <f t="shared" si="55"/>
        <v>0</v>
      </c>
    </row>
    <row r="391" spans="1:19">
      <c r="A391" s="491"/>
      <c r="B391" s="348"/>
      <c r="C391" s="313">
        <f t="shared" si="56"/>
        <v>1</v>
      </c>
      <c r="D391" s="1128"/>
      <c r="E391" s="313">
        <f t="shared" si="57"/>
        <v>0.05</v>
      </c>
      <c r="F391" s="1128"/>
      <c r="G391" s="313">
        <f t="shared" si="58"/>
        <v>0.1</v>
      </c>
      <c r="H391" s="1128"/>
      <c r="I391" s="313">
        <f t="shared" si="59"/>
        <v>1</v>
      </c>
      <c r="J391" s="1128"/>
      <c r="K391" s="313">
        <f t="shared" si="60"/>
        <v>1</v>
      </c>
      <c r="L391" s="1128"/>
      <c r="M391" s="313">
        <f t="shared" si="61"/>
        <v>1</v>
      </c>
      <c r="N391" s="1128"/>
      <c r="O391" s="313">
        <f t="shared" si="62"/>
        <v>1</v>
      </c>
      <c r="P391" s="1128"/>
      <c r="Q391" s="313">
        <f t="shared" si="63"/>
        <v>0.2</v>
      </c>
      <c r="R391" s="1124">
        <f t="shared" si="64"/>
        <v>0</v>
      </c>
      <c r="S391" s="698">
        <f t="shared" si="55"/>
        <v>0</v>
      </c>
    </row>
    <row r="392" spans="1:19">
      <c r="A392" s="491"/>
      <c r="B392" s="348"/>
      <c r="C392" s="313">
        <f t="shared" si="56"/>
        <v>1</v>
      </c>
      <c r="D392" s="1128"/>
      <c r="E392" s="313">
        <f t="shared" si="57"/>
        <v>0.05</v>
      </c>
      <c r="F392" s="1128"/>
      <c r="G392" s="313">
        <f t="shared" si="58"/>
        <v>0.1</v>
      </c>
      <c r="H392" s="1128"/>
      <c r="I392" s="313">
        <f t="shared" si="59"/>
        <v>1</v>
      </c>
      <c r="J392" s="1128"/>
      <c r="K392" s="313">
        <f t="shared" si="60"/>
        <v>1</v>
      </c>
      <c r="L392" s="1128"/>
      <c r="M392" s="313">
        <f t="shared" si="61"/>
        <v>1</v>
      </c>
      <c r="N392" s="1128"/>
      <c r="O392" s="313">
        <f t="shared" si="62"/>
        <v>1</v>
      </c>
      <c r="P392" s="1128"/>
      <c r="Q392" s="313">
        <f t="shared" si="63"/>
        <v>0.2</v>
      </c>
      <c r="R392" s="1124">
        <f t="shared" si="64"/>
        <v>0</v>
      </c>
      <c r="S392" s="698">
        <f t="shared" si="55"/>
        <v>0</v>
      </c>
    </row>
    <row r="393" spans="1:19">
      <c r="A393" s="491"/>
      <c r="B393" s="348"/>
      <c r="C393" s="313">
        <f t="shared" si="56"/>
        <v>1</v>
      </c>
      <c r="D393" s="1128"/>
      <c r="E393" s="313">
        <f t="shared" si="57"/>
        <v>0.05</v>
      </c>
      <c r="F393" s="1128"/>
      <c r="G393" s="313">
        <f t="shared" si="58"/>
        <v>0.1</v>
      </c>
      <c r="H393" s="1128"/>
      <c r="I393" s="313">
        <f t="shared" si="59"/>
        <v>1</v>
      </c>
      <c r="J393" s="1128"/>
      <c r="K393" s="313">
        <f t="shared" si="60"/>
        <v>1</v>
      </c>
      <c r="L393" s="1128"/>
      <c r="M393" s="313">
        <f t="shared" si="61"/>
        <v>1</v>
      </c>
      <c r="N393" s="1128"/>
      <c r="O393" s="313">
        <f t="shared" si="62"/>
        <v>1</v>
      </c>
      <c r="P393" s="1128"/>
      <c r="Q393" s="313">
        <f t="shared" si="63"/>
        <v>0.2</v>
      </c>
      <c r="R393" s="1124">
        <f t="shared" si="64"/>
        <v>0</v>
      </c>
      <c r="S393" s="698">
        <f t="shared" si="55"/>
        <v>0</v>
      </c>
    </row>
    <row r="394" spans="1:19">
      <c r="A394" s="491"/>
      <c r="B394" s="348"/>
      <c r="C394" s="313">
        <f t="shared" si="56"/>
        <v>1</v>
      </c>
      <c r="D394" s="1128"/>
      <c r="E394" s="313">
        <f t="shared" si="57"/>
        <v>0.05</v>
      </c>
      <c r="F394" s="1128"/>
      <c r="G394" s="313">
        <f t="shared" si="58"/>
        <v>0.1</v>
      </c>
      <c r="H394" s="1128"/>
      <c r="I394" s="313">
        <f t="shared" si="59"/>
        <v>1</v>
      </c>
      <c r="J394" s="1128"/>
      <c r="K394" s="313">
        <f t="shared" si="60"/>
        <v>1</v>
      </c>
      <c r="L394" s="1128"/>
      <c r="M394" s="313">
        <f t="shared" si="61"/>
        <v>1</v>
      </c>
      <c r="N394" s="1128"/>
      <c r="O394" s="313">
        <f t="shared" si="62"/>
        <v>1</v>
      </c>
      <c r="P394" s="1128"/>
      <c r="Q394" s="313">
        <f t="shared" si="63"/>
        <v>0.2</v>
      </c>
      <c r="R394" s="1124">
        <f t="shared" si="64"/>
        <v>0</v>
      </c>
      <c r="S394" s="698">
        <f t="shared" si="55"/>
        <v>0</v>
      </c>
    </row>
    <row r="395" spans="1:19">
      <c r="A395" s="491"/>
      <c r="B395" s="348"/>
      <c r="C395" s="313">
        <f t="shared" si="56"/>
        <v>1</v>
      </c>
      <c r="D395" s="1128"/>
      <c r="E395" s="313">
        <f t="shared" si="57"/>
        <v>0.05</v>
      </c>
      <c r="F395" s="1128"/>
      <c r="G395" s="313">
        <f t="shared" si="58"/>
        <v>0.1</v>
      </c>
      <c r="H395" s="1128"/>
      <c r="I395" s="313">
        <f t="shared" si="59"/>
        <v>1</v>
      </c>
      <c r="J395" s="1128"/>
      <c r="K395" s="313">
        <f t="shared" si="60"/>
        <v>1</v>
      </c>
      <c r="L395" s="1128"/>
      <c r="M395" s="313">
        <f t="shared" si="61"/>
        <v>1</v>
      </c>
      <c r="N395" s="1128"/>
      <c r="O395" s="313">
        <f t="shared" si="62"/>
        <v>1</v>
      </c>
      <c r="P395" s="1128"/>
      <c r="Q395" s="313">
        <f t="shared" si="63"/>
        <v>0.2</v>
      </c>
      <c r="R395" s="1124">
        <f t="shared" si="64"/>
        <v>0</v>
      </c>
      <c r="S395" s="698">
        <f t="shared" si="55"/>
        <v>0</v>
      </c>
    </row>
    <row r="396" spans="1:19">
      <c r="A396" s="491"/>
      <c r="B396" s="348"/>
      <c r="C396" s="313">
        <f t="shared" si="56"/>
        <v>1</v>
      </c>
      <c r="D396" s="1128"/>
      <c r="E396" s="313">
        <f t="shared" si="57"/>
        <v>0.05</v>
      </c>
      <c r="F396" s="1128"/>
      <c r="G396" s="313">
        <f t="shared" si="58"/>
        <v>0.1</v>
      </c>
      <c r="H396" s="1128"/>
      <c r="I396" s="313">
        <f t="shared" si="59"/>
        <v>1</v>
      </c>
      <c r="J396" s="1128"/>
      <c r="K396" s="313">
        <f t="shared" si="60"/>
        <v>1</v>
      </c>
      <c r="L396" s="1128"/>
      <c r="M396" s="313">
        <f t="shared" si="61"/>
        <v>1</v>
      </c>
      <c r="N396" s="1128"/>
      <c r="O396" s="313">
        <f t="shared" si="62"/>
        <v>1</v>
      </c>
      <c r="P396" s="1128"/>
      <c r="Q396" s="313">
        <f t="shared" si="63"/>
        <v>0.2</v>
      </c>
      <c r="R396" s="1124">
        <f t="shared" si="64"/>
        <v>0</v>
      </c>
      <c r="S396" s="698">
        <f t="shared" si="55"/>
        <v>0</v>
      </c>
    </row>
    <row r="397" spans="1:19">
      <c r="A397" s="491"/>
      <c r="B397" s="348"/>
      <c r="C397" s="313">
        <f t="shared" si="56"/>
        <v>1</v>
      </c>
      <c r="D397" s="1128"/>
      <c r="E397" s="313">
        <f t="shared" si="57"/>
        <v>0.05</v>
      </c>
      <c r="F397" s="1128"/>
      <c r="G397" s="313">
        <f t="shared" si="58"/>
        <v>0.1</v>
      </c>
      <c r="H397" s="1128"/>
      <c r="I397" s="313">
        <f t="shared" si="59"/>
        <v>1</v>
      </c>
      <c r="J397" s="1128"/>
      <c r="K397" s="313">
        <f t="shared" si="60"/>
        <v>1</v>
      </c>
      <c r="L397" s="1128"/>
      <c r="M397" s="313">
        <f t="shared" si="61"/>
        <v>1</v>
      </c>
      <c r="N397" s="1128"/>
      <c r="O397" s="313">
        <f t="shared" si="62"/>
        <v>1</v>
      </c>
      <c r="P397" s="1128"/>
      <c r="Q397" s="313">
        <f t="shared" si="63"/>
        <v>0.2</v>
      </c>
      <c r="R397" s="1124">
        <f t="shared" si="64"/>
        <v>0</v>
      </c>
      <c r="S397" s="698">
        <f t="shared" si="55"/>
        <v>0</v>
      </c>
    </row>
    <row r="398" spans="1:19">
      <c r="A398" s="491"/>
      <c r="B398" s="348"/>
      <c r="C398" s="313">
        <f t="shared" si="56"/>
        <v>1</v>
      </c>
      <c r="D398" s="1128"/>
      <c r="E398" s="313">
        <f t="shared" si="57"/>
        <v>0.05</v>
      </c>
      <c r="F398" s="1128"/>
      <c r="G398" s="313">
        <f t="shared" si="58"/>
        <v>0.1</v>
      </c>
      <c r="H398" s="1128"/>
      <c r="I398" s="313">
        <f t="shared" si="59"/>
        <v>1</v>
      </c>
      <c r="J398" s="1128"/>
      <c r="K398" s="313">
        <f t="shared" si="60"/>
        <v>1</v>
      </c>
      <c r="L398" s="1128"/>
      <c r="M398" s="313">
        <f t="shared" si="61"/>
        <v>1</v>
      </c>
      <c r="N398" s="1128"/>
      <c r="O398" s="313">
        <f t="shared" si="62"/>
        <v>1</v>
      </c>
      <c r="P398" s="1128"/>
      <c r="Q398" s="313">
        <f t="shared" si="63"/>
        <v>0.2</v>
      </c>
      <c r="R398" s="1124">
        <f t="shared" si="64"/>
        <v>0</v>
      </c>
      <c r="S398" s="698">
        <f t="shared" si="55"/>
        <v>0</v>
      </c>
    </row>
    <row r="399" spans="1:19">
      <c r="A399" s="491"/>
      <c r="B399" s="348"/>
      <c r="C399" s="313">
        <f t="shared" si="56"/>
        <v>1</v>
      </c>
      <c r="D399" s="1128"/>
      <c r="E399" s="313">
        <f t="shared" si="57"/>
        <v>0.05</v>
      </c>
      <c r="F399" s="1128"/>
      <c r="G399" s="313">
        <f t="shared" si="58"/>
        <v>0.1</v>
      </c>
      <c r="H399" s="1128"/>
      <c r="I399" s="313">
        <f t="shared" si="59"/>
        <v>1</v>
      </c>
      <c r="J399" s="1128"/>
      <c r="K399" s="313">
        <f t="shared" si="60"/>
        <v>1</v>
      </c>
      <c r="L399" s="1128"/>
      <c r="M399" s="313">
        <f t="shared" si="61"/>
        <v>1</v>
      </c>
      <c r="N399" s="1128"/>
      <c r="O399" s="313">
        <f t="shared" si="62"/>
        <v>1</v>
      </c>
      <c r="P399" s="1128"/>
      <c r="Q399" s="313">
        <f t="shared" si="63"/>
        <v>0.2</v>
      </c>
      <c r="R399" s="1124">
        <f t="shared" si="64"/>
        <v>0</v>
      </c>
      <c r="S399" s="698">
        <f t="shared" si="55"/>
        <v>0</v>
      </c>
    </row>
    <row r="400" spans="1:19">
      <c r="A400" s="491"/>
      <c r="B400" s="348"/>
      <c r="C400" s="313">
        <f t="shared" si="56"/>
        <v>1</v>
      </c>
      <c r="D400" s="1128"/>
      <c r="E400" s="313">
        <f t="shared" si="57"/>
        <v>0.05</v>
      </c>
      <c r="F400" s="1128"/>
      <c r="G400" s="313">
        <f t="shared" si="58"/>
        <v>0.1</v>
      </c>
      <c r="H400" s="1128"/>
      <c r="I400" s="313">
        <f t="shared" si="59"/>
        <v>1</v>
      </c>
      <c r="J400" s="1128"/>
      <c r="K400" s="313">
        <f t="shared" si="60"/>
        <v>1</v>
      </c>
      <c r="L400" s="1128"/>
      <c r="M400" s="313">
        <f t="shared" si="61"/>
        <v>1</v>
      </c>
      <c r="N400" s="1128"/>
      <c r="O400" s="313">
        <f t="shared" si="62"/>
        <v>1</v>
      </c>
      <c r="P400" s="1128"/>
      <c r="Q400" s="313">
        <f t="shared" si="63"/>
        <v>0.2</v>
      </c>
      <c r="R400" s="1124">
        <f t="shared" si="64"/>
        <v>0</v>
      </c>
      <c r="S400" s="698">
        <f t="shared" si="55"/>
        <v>0</v>
      </c>
    </row>
    <row r="401" spans="1:19">
      <c r="A401" s="491"/>
      <c r="B401" s="348"/>
      <c r="C401" s="313">
        <f t="shared" si="56"/>
        <v>1</v>
      </c>
      <c r="D401" s="1128"/>
      <c r="E401" s="313">
        <f t="shared" si="57"/>
        <v>0.05</v>
      </c>
      <c r="F401" s="1128"/>
      <c r="G401" s="313">
        <f t="shared" si="58"/>
        <v>0.1</v>
      </c>
      <c r="H401" s="1128"/>
      <c r="I401" s="313">
        <f t="shared" si="59"/>
        <v>1</v>
      </c>
      <c r="J401" s="1128"/>
      <c r="K401" s="313">
        <f t="shared" si="60"/>
        <v>1</v>
      </c>
      <c r="L401" s="1128"/>
      <c r="M401" s="313">
        <f t="shared" si="61"/>
        <v>1</v>
      </c>
      <c r="N401" s="1128"/>
      <c r="O401" s="313">
        <f t="shared" si="62"/>
        <v>1</v>
      </c>
      <c r="P401" s="1128"/>
      <c r="Q401" s="313">
        <f t="shared" si="63"/>
        <v>0.2</v>
      </c>
      <c r="R401" s="1124">
        <f t="shared" si="64"/>
        <v>0</v>
      </c>
      <c r="S401" s="698">
        <f t="shared" si="55"/>
        <v>0</v>
      </c>
    </row>
    <row r="402" spans="1:19">
      <c r="A402" s="491"/>
      <c r="B402" s="348"/>
      <c r="C402" s="313">
        <f t="shared" si="56"/>
        <v>1</v>
      </c>
      <c r="D402" s="1128"/>
      <c r="E402" s="313">
        <f t="shared" si="57"/>
        <v>0.05</v>
      </c>
      <c r="F402" s="1128"/>
      <c r="G402" s="313">
        <f t="shared" si="58"/>
        <v>0.1</v>
      </c>
      <c r="H402" s="1128"/>
      <c r="I402" s="313">
        <f t="shared" si="59"/>
        <v>1</v>
      </c>
      <c r="J402" s="1128"/>
      <c r="K402" s="313">
        <f t="shared" si="60"/>
        <v>1</v>
      </c>
      <c r="L402" s="1128"/>
      <c r="M402" s="313">
        <f t="shared" si="61"/>
        <v>1</v>
      </c>
      <c r="N402" s="1128"/>
      <c r="O402" s="313">
        <f t="shared" si="62"/>
        <v>1</v>
      </c>
      <c r="P402" s="1128"/>
      <c r="Q402" s="313">
        <f t="shared" si="63"/>
        <v>0.2</v>
      </c>
      <c r="R402" s="1124">
        <f t="shared" si="64"/>
        <v>0</v>
      </c>
      <c r="S402" s="698">
        <f t="shared" si="55"/>
        <v>0</v>
      </c>
    </row>
    <row r="403" spans="1:19">
      <c r="A403" s="491"/>
      <c r="B403" s="348"/>
      <c r="C403" s="313">
        <f t="shared" si="56"/>
        <v>1</v>
      </c>
      <c r="D403" s="1128"/>
      <c r="E403" s="313">
        <f t="shared" si="57"/>
        <v>0.05</v>
      </c>
      <c r="F403" s="1128"/>
      <c r="G403" s="313">
        <f t="shared" si="58"/>
        <v>0.1</v>
      </c>
      <c r="H403" s="1128"/>
      <c r="I403" s="313">
        <f t="shared" si="59"/>
        <v>1</v>
      </c>
      <c r="J403" s="1128"/>
      <c r="K403" s="313">
        <f t="shared" si="60"/>
        <v>1</v>
      </c>
      <c r="L403" s="1128"/>
      <c r="M403" s="313">
        <f t="shared" si="61"/>
        <v>1</v>
      </c>
      <c r="N403" s="1128"/>
      <c r="O403" s="313">
        <f t="shared" si="62"/>
        <v>1</v>
      </c>
      <c r="P403" s="1128"/>
      <c r="Q403" s="313">
        <f t="shared" si="63"/>
        <v>0.2</v>
      </c>
      <c r="R403" s="1124">
        <f t="shared" si="64"/>
        <v>0</v>
      </c>
      <c r="S403" s="698">
        <f t="shared" si="55"/>
        <v>0</v>
      </c>
    </row>
    <row r="404" spans="1:19">
      <c r="A404" s="491"/>
      <c r="B404" s="348"/>
      <c r="C404" s="313">
        <f t="shared" si="56"/>
        <v>1</v>
      </c>
      <c r="D404" s="1128"/>
      <c r="E404" s="313">
        <f t="shared" si="57"/>
        <v>0.05</v>
      </c>
      <c r="F404" s="1128"/>
      <c r="G404" s="313">
        <f t="shared" si="58"/>
        <v>0.1</v>
      </c>
      <c r="H404" s="1128"/>
      <c r="I404" s="313">
        <f t="shared" si="59"/>
        <v>1</v>
      </c>
      <c r="J404" s="1128"/>
      <c r="K404" s="313">
        <f t="shared" si="60"/>
        <v>1</v>
      </c>
      <c r="L404" s="1128"/>
      <c r="M404" s="313">
        <f t="shared" si="61"/>
        <v>1</v>
      </c>
      <c r="N404" s="1128"/>
      <c r="O404" s="313">
        <f t="shared" si="62"/>
        <v>1</v>
      </c>
      <c r="P404" s="1128"/>
      <c r="Q404" s="313">
        <f t="shared" si="63"/>
        <v>0.2</v>
      </c>
      <c r="R404" s="1124">
        <f t="shared" si="64"/>
        <v>0</v>
      </c>
      <c r="S404" s="698">
        <f t="shared" si="55"/>
        <v>0</v>
      </c>
    </row>
    <row r="405" spans="1:19">
      <c r="A405" s="491"/>
      <c r="B405" s="348"/>
      <c r="C405" s="313">
        <f t="shared" si="56"/>
        <v>1</v>
      </c>
      <c r="D405" s="1128"/>
      <c r="E405" s="313">
        <f t="shared" si="57"/>
        <v>0.05</v>
      </c>
      <c r="F405" s="1128"/>
      <c r="G405" s="313">
        <f t="shared" si="58"/>
        <v>0.1</v>
      </c>
      <c r="H405" s="1128"/>
      <c r="I405" s="313">
        <f t="shared" si="59"/>
        <v>1</v>
      </c>
      <c r="J405" s="1128"/>
      <c r="K405" s="313">
        <f t="shared" si="60"/>
        <v>1</v>
      </c>
      <c r="L405" s="1128"/>
      <c r="M405" s="313">
        <f t="shared" si="61"/>
        <v>1</v>
      </c>
      <c r="N405" s="1128"/>
      <c r="O405" s="313">
        <f t="shared" si="62"/>
        <v>1</v>
      </c>
      <c r="P405" s="1128"/>
      <c r="Q405" s="313">
        <f t="shared" si="63"/>
        <v>0.2</v>
      </c>
      <c r="R405" s="1124">
        <f t="shared" si="64"/>
        <v>0</v>
      </c>
      <c r="S405" s="698">
        <f t="shared" si="55"/>
        <v>0</v>
      </c>
    </row>
    <row r="406" spans="1:19">
      <c r="A406" s="491"/>
      <c r="B406" s="348"/>
      <c r="C406" s="313">
        <f t="shared" si="56"/>
        <v>1</v>
      </c>
      <c r="D406" s="1128"/>
      <c r="E406" s="313">
        <f t="shared" si="57"/>
        <v>0.05</v>
      </c>
      <c r="F406" s="1128"/>
      <c r="G406" s="313">
        <f t="shared" si="58"/>
        <v>0.1</v>
      </c>
      <c r="H406" s="1128"/>
      <c r="I406" s="313">
        <f t="shared" si="59"/>
        <v>1</v>
      </c>
      <c r="J406" s="1128"/>
      <c r="K406" s="313">
        <f t="shared" si="60"/>
        <v>1</v>
      </c>
      <c r="L406" s="1128"/>
      <c r="M406" s="313">
        <f t="shared" si="61"/>
        <v>1</v>
      </c>
      <c r="N406" s="1128"/>
      <c r="O406" s="313">
        <f t="shared" si="62"/>
        <v>1</v>
      </c>
      <c r="P406" s="1128"/>
      <c r="Q406" s="313">
        <f t="shared" si="63"/>
        <v>0.2</v>
      </c>
      <c r="R406" s="1124">
        <f t="shared" si="64"/>
        <v>0</v>
      </c>
      <c r="S406" s="698">
        <f t="shared" si="55"/>
        <v>0</v>
      </c>
    </row>
    <row r="407" spans="1:19">
      <c r="A407" s="491"/>
      <c r="B407" s="348"/>
      <c r="C407" s="313">
        <f t="shared" si="56"/>
        <v>1</v>
      </c>
      <c r="D407" s="1128"/>
      <c r="E407" s="313">
        <f t="shared" si="57"/>
        <v>0.05</v>
      </c>
      <c r="F407" s="1128"/>
      <c r="G407" s="313">
        <f t="shared" si="58"/>
        <v>0.1</v>
      </c>
      <c r="H407" s="1128"/>
      <c r="I407" s="313">
        <f t="shared" si="59"/>
        <v>1</v>
      </c>
      <c r="J407" s="1128"/>
      <c r="K407" s="313">
        <f t="shared" si="60"/>
        <v>1</v>
      </c>
      <c r="L407" s="1128"/>
      <c r="M407" s="313">
        <f t="shared" si="61"/>
        <v>1</v>
      </c>
      <c r="N407" s="1128"/>
      <c r="O407" s="313">
        <f t="shared" si="62"/>
        <v>1</v>
      </c>
      <c r="P407" s="1128"/>
      <c r="Q407" s="313">
        <f t="shared" si="63"/>
        <v>0.2</v>
      </c>
      <c r="R407" s="1124">
        <f t="shared" si="64"/>
        <v>0</v>
      </c>
      <c r="S407" s="698">
        <f t="shared" si="55"/>
        <v>0</v>
      </c>
    </row>
    <row r="408" spans="1:19">
      <c r="A408" s="491"/>
      <c r="B408" s="348"/>
      <c r="C408" s="313">
        <f t="shared" si="56"/>
        <v>1</v>
      </c>
      <c r="D408" s="1128"/>
      <c r="E408" s="313">
        <f t="shared" si="57"/>
        <v>0.05</v>
      </c>
      <c r="F408" s="1128"/>
      <c r="G408" s="313">
        <f t="shared" si="58"/>
        <v>0.1</v>
      </c>
      <c r="H408" s="1128"/>
      <c r="I408" s="313">
        <f t="shared" si="59"/>
        <v>1</v>
      </c>
      <c r="J408" s="1128"/>
      <c r="K408" s="313">
        <f t="shared" si="60"/>
        <v>1</v>
      </c>
      <c r="L408" s="1128"/>
      <c r="M408" s="313">
        <f t="shared" si="61"/>
        <v>1</v>
      </c>
      <c r="N408" s="1128"/>
      <c r="O408" s="313">
        <f t="shared" si="62"/>
        <v>1</v>
      </c>
      <c r="P408" s="1128"/>
      <c r="Q408" s="313">
        <f t="shared" si="63"/>
        <v>0.2</v>
      </c>
      <c r="R408" s="1124">
        <f t="shared" si="64"/>
        <v>0</v>
      </c>
      <c r="S408" s="698">
        <f t="shared" ref="S408:S471" si="65">ROUND(R408*B408/10000,0)</f>
        <v>0</v>
      </c>
    </row>
    <row r="409" spans="1:19">
      <c r="A409" s="491"/>
      <c r="B409" s="348"/>
      <c r="C409" s="313">
        <f t="shared" si="56"/>
        <v>1</v>
      </c>
      <c r="D409" s="1128"/>
      <c r="E409" s="313">
        <f t="shared" si="57"/>
        <v>0.05</v>
      </c>
      <c r="F409" s="1128"/>
      <c r="G409" s="313">
        <f t="shared" si="58"/>
        <v>0.1</v>
      </c>
      <c r="H409" s="1128"/>
      <c r="I409" s="313">
        <f t="shared" si="59"/>
        <v>1</v>
      </c>
      <c r="J409" s="1128"/>
      <c r="K409" s="313">
        <f t="shared" si="60"/>
        <v>1</v>
      </c>
      <c r="L409" s="1128"/>
      <c r="M409" s="313">
        <f t="shared" si="61"/>
        <v>1</v>
      </c>
      <c r="N409" s="1128"/>
      <c r="O409" s="313">
        <f t="shared" si="62"/>
        <v>1</v>
      </c>
      <c r="P409" s="1128"/>
      <c r="Q409" s="313">
        <f t="shared" si="63"/>
        <v>0.2</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0.05</v>
      </c>
      <c r="F410" s="1128"/>
      <c r="G410" s="313">
        <f t="shared" ref="G410:G473" si="68">(SUMIF($7:$7,F410,$8:$8)-SUMIF($7:$7,$F$24,$8:$8)+100)/100</f>
        <v>0.1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0.2</v>
      </c>
      <c r="R410" s="1124">
        <f t="shared" ref="R410:R473" si="74">IF(B410="",0,ROUND($R$24*C410*E410*G410*I410*K410*M410*O410*Q410,0))</f>
        <v>0</v>
      </c>
      <c r="S410" s="698">
        <f t="shared" si="65"/>
        <v>0</v>
      </c>
    </row>
    <row r="411" spans="1:19">
      <c r="A411" s="491"/>
      <c r="B411" s="348"/>
      <c r="C411" s="313">
        <f t="shared" si="66"/>
        <v>1</v>
      </c>
      <c r="D411" s="1128"/>
      <c r="E411" s="313">
        <f t="shared" si="67"/>
        <v>0.05</v>
      </c>
      <c r="F411" s="1128"/>
      <c r="G411" s="313">
        <f t="shared" si="68"/>
        <v>0.1</v>
      </c>
      <c r="H411" s="1128"/>
      <c r="I411" s="313">
        <f t="shared" si="69"/>
        <v>1</v>
      </c>
      <c r="J411" s="1128"/>
      <c r="K411" s="313">
        <f t="shared" si="70"/>
        <v>1</v>
      </c>
      <c r="L411" s="1128"/>
      <c r="M411" s="313">
        <f t="shared" si="71"/>
        <v>1</v>
      </c>
      <c r="N411" s="1128"/>
      <c r="O411" s="313">
        <f t="shared" si="72"/>
        <v>1</v>
      </c>
      <c r="P411" s="1128"/>
      <c r="Q411" s="313">
        <f t="shared" si="73"/>
        <v>0.2</v>
      </c>
      <c r="R411" s="1124">
        <f t="shared" si="74"/>
        <v>0</v>
      </c>
      <c r="S411" s="698">
        <f t="shared" si="65"/>
        <v>0</v>
      </c>
    </row>
    <row r="412" spans="1:19">
      <c r="A412" s="491"/>
      <c r="B412" s="348"/>
      <c r="C412" s="313">
        <f t="shared" si="66"/>
        <v>1</v>
      </c>
      <c r="D412" s="1128"/>
      <c r="E412" s="313">
        <f t="shared" si="67"/>
        <v>0.05</v>
      </c>
      <c r="F412" s="1128"/>
      <c r="G412" s="313">
        <f t="shared" si="68"/>
        <v>0.1</v>
      </c>
      <c r="H412" s="1128"/>
      <c r="I412" s="313">
        <f t="shared" si="69"/>
        <v>1</v>
      </c>
      <c r="J412" s="1128"/>
      <c r="K412" s="313">
        <f t="shared" si="70"/>
        <v>1</v>
      </c>
      <c r="L412" s="1128"/>
      <c r="M412" s="313">
        <f t="shared" si="71"/>
        <v>1</v>
      </c>
      <c r="N412" s="1128"/>
      <c r="O412" s="313">
        <f t="shared" si="72"/>
        <v>1</v>
      </c>
      <c r="P412" s="1128"/>
      <c r="Q412" s="313">
        <f t="shared" si="73"/>
        <v>0.2</v>
      </c>
      <c r="R412" s="1124">
        <f t="shared" si="74"/>
        <v>0</v>
      </c>
      <c r="S412" s="698">
        <f t="shared" si="65"/>
        <v>0</v>
      </c>
    </row>
    <row r="413" spans="1:19">
      <c r="A413" s="491"/>
      <c r="B413" s="348"/>
      <c r="C413" s="313">
        <f t="shared" si="66"/>
        <v>1</v>
      </c>
      <c r="D413" s="1128"/>
      <c r="E413" s="313">
        <f t="shared" si="67"/>
        <v>0.05</v>
      </c>
      <c r="F413" s="1128"/>
      <c r="G413" s="313">
        <f t="shared" si="68"/>
        <v>0.1</v>
      </c>
      <c r="H413" s="1128"/>
      <c r="I413" s="313">
        <f t="shared" si="69"/>
        <v>1</v>
      </c>
      <c r="J413" s="1128"/>
      <c r="K413" s="313">
        <f t="shared" si="70"/>
        <v>1</v>
      </c>
      <c r="L413" s="1128"/>
      <c r="M413" s="313">
        <f t="shared" si="71"/>
        <v>1</v>
      </c>
      <c r="N413" s="1128"/>
      <c r="O413" s="313">
        <f t="shared" si="72"/>
        <v>1</v>
      </c>
      <c r="P413" s="1128"/>
      <c r="Q413" s="313">
        <f t="shared" si="73"/>
        <v>0.2</v>
      </c>
      <c r="R413" s="1124">
        <f t="shared" si="74"/>
        <v>0</v>
      </c>
      <c r="S413" s="698">
        <f t="shared" si="65"/>
        <v>0</v>
      </c>
    </row>
    <row r="414" spans="1:19">
      <c r="A414" s="491"/>
      <c r="B414" s="348"/>
      <c r="C414" s="313">
        <f t="shared" si="66"/>
        <v>1</v>
      </c>
      <c r="D414" s="1128"/>
      <c r="E414" s="313">
        <f t="shared" si="67"/>
        <v>0.05</v>
      </c>
      <c r="F414" s="1128"/>
      <c r="G414" s="313">
        <f t="shared" si="68"/>
        <v>0.1</v>
      </c>
      <c r="H414" s="1128"/>
      <c r="I414" s="313">
        <f t="shared" si="69"/>
        <v>1</v>
      </c>
      <c r="J414" s="1128"/>
      <c r="K414" s="313">
        <f t="shared" si="70"/>
        <v>1</v>
      </c>
      <c r="L414" s="1128"/>
      <c r="M414" s="313">
        <f t="shared" si="71"/>
        <v>1</v>
      </c>
      <c r="N414" s="1128"/>
      <c r="O414" s="313">
        <f t="shared" si="72"/>
        <v>1</v>
      </c>
      <c r="P414" s="1128"/>
      <c r="Q414" s="313">
        <f t="shared" si="73"/>
        <v>0.2</v>
      </c>
      <c r="R414" s="1124">
        <f t="shared" si="74"/>
        <v>0</v>
      </c>
      <c r="S414" s="698">
        <f t="shared" si="65"/>
        <v>0</v>
      </c>
    </row>
    <row r="415" spans="1:19">
      <c r="A415" s="491"/>
      <c r="B415" s="348"/>
      <c r="C415" s="313">
        <f t="shared" si="66"/>
        <v>1</v>
      </c>
      <c r="D415" s="1128"/>
      <c r="E415" s="313">
        <f t="shared" si="67"/>
        <v>0.05</v>
      </c>
      <c r="F415" s="1128"/>
      <c r="G415" s="313">
        <f t="shared" si="68"/>
        <v>0.1</v>
      </c>
      <c r="H415" s="1128"/>
      <c r="I415" s="313">
        <f t="shared" si="69"/>
        <v>1</v>
      </c>
      <c r="J415" s="1128"/>
      <c r="K415" s="313">
        <f t="shared" si="70"/>
        <v>1</v>
      </c>
      <c r="L415" s="1128"/>
      <c r="M415" s="313">
        <f t="shared" si="71"/>
        <v>1</v>
      </c>
      <c r="N415" s="1128"/>
      <c r="O415" s="313">
        <f t="shared" si="72"/>
        <v>1</v>
      </c>
      <c r="P415" s="1128"/>
      <c r="Q415" s="313">
        <f t="shared" si="73"/>
        <v>0.2</v>
      </c>
      <c r="R415" s="1124">
        <f t="shared" si="74"/>
        <v>0</v>
      </c>
      <c r="S415" s="698">
        <f t="shared" si="65"/>
        <v>0</v>
      </c>
    </row>
    <row r="416" spans="1:19">
      <c r="A416" s="491"/>
      <c r="B416" s="348"/>
      <c r="C416" s="313">
        <f t="shared" si="66"/>
        <v>1</v>
      </c>
      <c r="D416" s="1128"/>
      <c r="E416" s="313">
        <f t="shared" si="67"/>
        <v>0.05</v>
      </c>
      <c r="F416" s="1128"/>
      <c r="G416" s="313">
        <f t="shared" si="68"/>
        <v>0.1</v>
      </c>
      <c r="H416" s="1128"/>
      <c r="I416" s="313">
        <f t="shared" si="69"/>
        <v>1</v>
      </c>
      <c r="J416" s="1128"/>
      <c r="K416" s="313">
        <f t="shared" si="70"/>
        <v>1</v>
      </c>
      <c r="L416" s="1128"/>
      <c r="M416" s="313">
        <f t="shared" si="71"/>
        <v>1</v>
      </c>
      <c r="N416" s="1128"/>
      <c r="O416" s="313">
        <f t="shared" si="72"/>
        <v>1</v>
      </c>
      <c r="P416" s="1128"/>
      <c r="Q416" s="313">
        <f t="shared" si="73"/>
        <v>0.2</v>
      </c>
      <c r="R416" s="1124">
        <f t="shared" si="74"/>
        <v>0</v>
      </c>
      <c r="S416" s="698">
        <f t="shared" si="65"/>
        <v>0</v>
      </c>
    </row>
    <row r="417" spans="1:19">
      <c r="A417" s="491"/>
      <c r="B417" s="348"/>
      <c r="C417" s="313">
        <f t="shared" si="66"/>
        <v>1</v>
      </c>
      <c r="D417" s="1128"/>
      <c r="E417" s="313">
        <f t="shared" si="67"/>
        <v>0.05</v>
      </c>
      <c r="F417" s="1128"/>
      <c r="G417" s="313">
        <f t="shared" si="68"/>
        <v>0.1</v>
      </c>
      <c r="H417" s="1128"/>
      <c r="I417" s="313">
        <f t="shared" si="69"/>
        <v>1</v>
      </c>
      <c r="J417" s="1128"/>
      <c r="K417" s="313">
        <f t="shared" si="70"/>
        <v>1</v>
      </c>
      <c r="L417" s="1128"/>
      <c r="M417" s="313">
        <f t="shared" si="71"/>
        <v>1</v>
      </c>
      <c r="N417" s="1128"/>
      <c r="O417" s="313">
        <f t="shared" si="72"/>
        <v>1</v>
      </c>
      <c r="P417" s="1128"/>
      <c r="Q417" s="313">
        <f t="shared" si="73"/>
        <v>0.2</v>
      </c>
      <c r="R417" s="1124">
        <f t="shared" si="74"/>
        <v>0</v>
      </c>
      <c r="S417" s="698">
        <f t="shared" si="65"/>
        <v>0</v>
      </c>
    </row>
    <row r="418" spans="1:19">
      <c r="A418" s="491"/>
      <c r="B418" s="348"/>
      <c r="C418" s="313">
        <f t="shared" si="66"/>
        <v>1</v>
      </c>
      <c r="D418" s="1128"/>
      <c r="E418" s="313">
        <f t="shared" si="67"/>
        <v>0.05</v>
      </c>
      <c r="F418" s="1128"/>
      <c r="G418" s="313">
        <f t="shared" si="68"/>
        <v>0.1</v>
      </c>
      <c r="H418" s="1128"/>
      <c r="I418" s="313">
        <f t="shared" si="69"/>
        <v>1</v>
      </c>
      <c r="J418" s="1128"/>
      <c r="K418" s="313">
        <f t="shared" si="70"/>
        <v>1</v>
      </c>
      <c r="L418" s="1128"/>
      <c r="M418" s="313">
        <f t="shared" si="71"/>
        <v>1</v>
      </c>
      <c r="N418" s="1128"/>
      <c r="O418" s="313">
        <f t="shared" si="72"/>
        <v>1</v>
      </c>
      <c r="P418" s="1128"/>
      <c r="Q418" s="313">
        <f t="shared" si="73"/>
        <v>0.2</v>
      </c>
      <c r="R418" s="1124">
        <f t="shared" si="74"/>
        <v>0</v>
      </c>
      <c r="S418" s="698">
        <f t="shared" si="65"/>
        <v>0</v>
      </c>
    </row>
    <row r="419" spans="1:19">
      <c r="A419" s="491"/>
      <c r="B419" s="348"/>
      <c r="C419" s="313">
        <f t="shared" si="66"/>
        <v>1</v>
      </c>
      <c r="D419" s="1128"/>
      <c r="E419" s="313">
        <f t="shared" si="67"/>
        <v>0.05</v>
      </c>
      <c r="F419" s="1128"/>
      <c r="G419" s="313">
        <f t="shared" si="68"/>
        <v>0.1</v>
      </c>
      <c r="H419" s="1128"/>
      <c r="I419" s="313">
        <f t="shared" si="69"/>
        <v>1</v>
      </c>
      <c r="J419" s="1128"/>
      <c r="K419" s="313">
        <f t="shared" si="70"/>
        <v>1</v>
      </c>
      <c r="L419" s="1128"/>
      <c r="M419" s="313">
        <f t="shared" si="71"/>
        <v>1</v>
      </c>
      <c r="N419" s="1128"/>
      <c r="O419" s="313">
        <f t="shared" si="72"/>
        <v>1</v>
      </c>
      <c r="P419" s="1128"/>
      <c r="Q419" s="313">
        <f t="shared" si="73"/>
        <v>0.2</v>
      </c>
      <c r="R419" s="1124">
        <f t="shared" si="74"/>
        <v>0</v>
      </c>
      <c r="S419" s="698">
        <f t="shared" si="65"/>
        <v>0</v>
      </c>
    </row>
    <row r="420" spans="1:19">
      <c r="A420" s="491"/>
      <c r="B420" s="348"/>
      <c r="C420" s="313">
        <f t="shared" si="66"/>
        <v>1</v>
      </c>
      <c r="D420" s="1128"/>
      <c r="E420" s="313">
        <f t="shared" si="67"/>
        <v>0.05</v>
      </c>
      <c r="F420" s="1128"/>
      <c r="G420" s="313">
        <f t="shared" si="68"/>
        <v>0.1</v>
      </c>
      <c r="H420" s="1128"/>
      <c r="I420" s="313">
        <f t="shared" si="69"/>
        <v>1</v>
      </c>
      <c r="J420" s="1128"/>
      <c r="K420" s="313">
        <f t="shared" si="70"/>
        <v>1</v>
      </c>
      <c r="L420" s="1128"/>
      <c r="M420" s="313">
        <f t="shared" si="71"/>
        <v>1</v>
      </c>
      <c r="N420" s="1128"/>
      <c r="O420" s="313">
        <f t="shared" si="72"/>
        <v>1</v>
      </c>
      <c r="P420" s="1128"/>
      <c r="Q420" s="313">
        <f t="shared" si="73"/>
        <v>0.2</v>
      </c>
      <c r="R420" s="1124">
        <f t="shared" si="74"/>
        <v>0</v>
      </c>
      <c r="S420" s="698">
        <f t="shared" si="65"/>
        <v>0</v>
      </c>
    </row>
    <row r="421" spans="1:19">
      <c r="A421" s="491"/>
      <c r="B421" s="348"/>
      <c r="C421" s="313">
        <f t="shared" si="66"/>
        <v>1</v>
      </c>
      <c r="D421" s="1128"/>
      <c r="E421" s="313">
        <f t="shared" si="67"/>
        <v>0.05</v>
      </c>
      <c r="F421" s="1128"/>
      <c r="G421" s="313">
        <f t="shared" si="68"/>
        <v>0.1</v>
      </c>
      <c r="H421" s="1128"/>
      <c r="I421" s="313">
        <f t="shared" si="69"/>
        <v>1</v>
      </c>
      <c r="J421" s="1128"/>
      <c r="K421" s="313">
        <f t="shared" si="70"/>
        <v>1</v>
      </c>
      <c r="L421" s="1128"/>
      <c r="M421" s="313">
        <f t="shared" si="71"/>
        <v>1</v>
      </c>
      <c r="N421" s="1128"/>
      <c r="O421" s="313">
        <f t="shared" si="72"/>
        <v>1</v>
      </c>
      <c r="P421" s="1128"/>
      <c r="Q421" s="313">
        <f t="shared" si="73"/>
        <v>0.2</v>
      </c>
      <c r="R421" s="1124">
        <f t="shared" si="74"/>
        <v>0</v>
      </c>
      <c r="S421" s="698">
        <f t="shared" si="65"/>
        <v>0</v>
      </c>
    </row>
    <row r="422" spans="1:19">
      <c r="A422" s="491"/>
      <c r="B422" s="348"/>
      <c r="C422" s="313">
        <f t="shared" si="66"/>
        <v>1</v>
      </c>
      <c r="D422" s="1128"/>
      <c r="E422" s="313">
        <f t="shared" si="67"/>
        <v>0.05</v>
      </c>
      <c r="F422" s="1128"/>
      <c r="G422" s="313">
        <f t="shared" si="68"/>
        <v>0.1</v>
      </c>
      <c r="H422" s="1128"/>
      <c r="I422" s="313">
        <f t="shared" si="69"/>
        <v>1</v>
      </c>
      <c r="J422" s="1128"/>
      <c r="K422" s="313">
        <f t="shared" si="70"/>
        <v>1</v>
      </c>
      <c r="L422" s="1128"/>
      <c r="M422" s="313">
        <f t="shared" si="71"/>
        <v>1</v>
      </c>
      <c r="N422" s="1128"/>
      <c r="O422" s="313">
        <f t="shared" si="72"/>
        <v>1</v>
      </c>
      <c r="P422" s="1128"/>
      <c r="Q422" s="313">
        <f t="shared" si="73"/>
        <v>0.2</v>
      </c>
      <c r="R422" s="1124">
        <f t="shared" si="74"/>
        <v>0</v>
      </c>
      <c r="S422" s="698">
        <f t="shared" si="65"/>
        <v>0</v>
      </c>
    </row>
    <row r="423" spans="1:19">
      <c r="A423" s="491"/>
      <c r="B423" s="348"/>
      <c r="C423" s="313">
        <f t="shared" si="66"/>
        <v>1</v>
      </c>
      <c r="D423" s="1128"/>
      <c r="E423" s="313">
        <f t="shared" si="67"/>
        <v>0.05</v>
      </c>
      <c r="F423" s="1128"/>
      <c r="G423" s="313">
        <f t="shared" si="68"/>
        <v>0.1</v>
      </c>
      <c r="H423" s="1128"/>
      <c r="I423" s="313">
        <f t="shared" si="69"/>
        <v>1</v>
      </c>
      <c r="J423" s="1128"/>
      <c r="K423" s="313">
        <f t="shared" si="70"/>
        <v>1</v>
      </c>
      <c r="L423" s="1128"/>
      <c r="M423" s="313">
        <f t="shared" si="71"/>
        <v>1</v>
      </c>
      <c r="N423" s="1128"/>
      <c r="O423" s="313">
        <f t="shared" si="72"/>
        <v>1</v>
      </c>
      <c r="P423" s="1128"/>
      <c r="Q423" s="313">
        <f t="shared" si="73"/>
        <v>0.2</v>
      </c>
      <c r="R423" s="1124">
        <f t="shared" si="74"/>
        <v>0</v>
      </c>
      <c r="S423" s="698">
        <f t="shared" si="65"/>
        <v>0</v>
      </c>
    </row>
    <row r="424" spans="1:19">
      <c r="A424" s="491"/>
      <c r="B424" s="348"/>
      <c r="C424" s="313">
        <f t="shared" si="66"/>
        <v>1</v>
      </c>
      <c r="D424" s="1128"/>
      <c r="E424" s="313">
        <f t="shared" si="67"/>
        <v>0.05</v>
      </c>
      <c r="F424" s="1128"/>
      <c r="G424" s="313">
        <f t="shared" si="68"/>
        <v>0.1</v>
      </c>
      <c r="H424" s="1128"/>
      <c r="I424" s="313">
        <f t="shared" si="69"/>
        <v>1</v>
      </c>
      <c r="J424" s="1128"/>
      <c r="K424" s="313">
        <f t="shared" si="70"/>
        <v>1</v>
      </c>
      <c r="L424" s="1128"/>
      <c r="M424" s="313">
        <f t="shared" si="71"/>
        <v>1</v>
      </c>
      <c r="N424" s="1128"/>
      <c r="O424" s="313">
        <f t="shared" si="72"/>
        <v>1</v>
      </c>
      <c r="P424" s="1128"/>
      <c r="Q424" s="313">
        <f t="shared" si="73"/>
        <v>0.2</v>
      </c>
      <c r="R424" s="1124">
        <f t="shared" si="74"/>
        <v>0</v>
      </c>
      <c r="S424" s="698">
        <f t="shared" si="65"/>
        <v>0</v>
      </c>
    </row>
    <row r="425" spans="1:19">
      <c r="A425" s="491"/>
      <c r="B425" s="348"/>
      <c r="C425" s="313">
        <f t="shared" si="66"/>
        <v>1</v>
      </c>
      <c r="D425" s="1128"/>
      <c r="E425" s="313">
        <f t="shared" si="67"/>
        <v>0.05</v>
      </c>
      <c r="F425" s="1128"/>
      <c r="G425" s="313">
        <f t="shared" si="68"/>
        <v>0.1</v>
      </c>
      <c r="H425" s="1128"/>
      <c r="I425" s="313">
        <f t="shared" si="69"/>
        <v>1</v>
      </c>
      <c r="J425" s="1128"/>
      <c r="K425" s="313">
        <f t="shared" si="70"/>
        <v>1</v>
      </c>
      <c r="L425" s="1128"/>
      <c r="M425" s="313">
        <f t="shared" si="71"/>
        <v>1</v>
      </c>
      <c r="N425" s="1128"/>
      <c r="O425" s="313">
        <f t="shared" si="72"/>
        <v>1</v>
      </c>
      <c r="P425" s="1128"/>
      <c r="Q425" s="313">
        <f t="shared" si="73"/>
        <v>0.2</v>
      </c>
      <c r="R425" s="1124">
        <f t="shared" si="74"/>
        <v>0</v>
      </c>
      <c r="S425" s="698">
        <f t="shared" si="65"/>
        <v>0</v>
      </c>
    </row>
    <row r="426" spans="1:19">
      <c r="A426" s="491"/>
      <c r="B426" s="348"/>
      <c r="C426" s="313">
        <f t="shared" si="66"/>
        <v>1</v>
      </c>
      <c r="D426" s="1128"/>
      <c r="E426" s="313">
        <f t="shared" si="67"/>
        <v>0.05</v>
      </c>
      <c r="F426" s="1128"/>
      <c r="G426" s="313">
        <f t="shared" si="68"/>
        <v>0.1</v>
      </c>
      <c r="H426" s="1128"/>
      <c r="I426" s="313">
        <f t="shared" si="69"/>
        <v>1</v>
      </c>
      <c r="J426" s="1128"/>
      <c r="K426" s="313">
        <f t="shared" si="70"/>
        <v>1</v>
      </c>
      <c r="L426" s="1128"/>
      <c r="M426" s="313">
        <f t="shared" si="71"/>
        <v>1</v>
      </c>
      <c r="N426" s="1128"/>
      <c r="O426" s="313">
        <f t="shared" si="72"/>
        <v>1</v>
      </c>
      <c r="P426" s="1128"/>
      <c r="Q426" s="313">
        <f t="shared" si="73"/>
        <v>0.2</v>
      </c>
      <c r="R426" s="1124">
        <f t="shared" si="74"/>
        <v>0</v>
      </c>
      <c r="S426" s="698">
        <f t="shared" si="65"/>
        <v>0</v>
      </c>
    </row>
    <row r="427" spans="1:19">
      <c r="A427" s="491"/>
      <c r="B427" s="348"/>
      <c r="C427" s="313">
        <f t="shared" si="66"/>
        <v>1</v>
      </c>
      <c r="D427" s="1128"/>
      <c r="E427" s="313">
        <f t="shared" si="67"/>
        <v>0.05</v>
      </c>
      <c r="F427" s="1128"/>
      <c r="G427" s="313">
        <f t="shared" si="68"/>
        <v>0.1</v>
      </c>
      <c r="H427" s="1128"/>
      <c r="I427" s="313">
        <f t="shared" si="69"/>
        <v>1</v>
      </c>
      <c r="J427" s="1128"/>
      <c r="K427" s="313">
        <f t="shared" si="70"/>
        <v>1</v>
      </c>
      <c r="L427" s="1128"/>
      <c r="M427" s="313">
        <f t="shared" si="71"/>
        <v>1</v>
      </c>
      <c r="N427" s="1128"/>
      <c r="O427" s="313">
        <f t="shared" si="72"/>
        <v>1</v>
      </c>
      <c r="P427" s="1128"/>
      <c r="Q427" s="313">
        <f t="shared" si="73"/>
        <v>0.2</v>
      </c>
      <c r="R427" s="1124">
        <f t="shared" si="74"/>
        <v>0</v>
      </c>
      <c r="S427" s="698">
        <f t="shared" si="65"/>
        <v>0</v>
      </c>
    </row>
    <row r="428" spans="1:19">
      <c r="A428" s="491"/>
      <c r="B428" s="348"/>
      <c r="C428" s="313">
        <f t="shared" si="66"/>
        <v>1</v>
      </c>
      <c r="D428" s="1128"/>
      <c r="E428" s="313">
        <f t="shared" si="67"/>
        <v>0.05</v>
      </c>
      <c r="F428" s="1128"/>
      <c r="G428" s="313">
        <f t="shared" si="68"/>
        <v>0.1</v>
      </c>
      <c r="H428" s="1128"/>
      <c r="I428" s="313">
        <f t="shared" si="69"/>
        <v>1</v>
      </c>
      <c r="J428" s="1128"/>
      <c r="K428" s="313">
        <f t="shared" si="70"/>
        <v>1</v>
      </c>
      <c r="L428" s="1128"/>
      <c r="M428" s="313">
        <f t="shared" si="71"/>
        <v>1</v>
      </c>
      <c r="N428" s="1128"/>
      <c r="O428" s="313">
        <f t="shared" si="72"/>
        <v>1</v>
      </c>
      <c r="P428" s="1128"/>
      <c r="Q428" s="313">
        <f t="shared" si="73"/>
        <v>0.2</v>
      </c>
      <c r="R428" s="1124">
        <f t="shared" si="74"/>
        <v>0</v>
      </c>
      <c r="S428" s="698">
        <f t="shared" si="65"/>
        <v>0</v>
      </c>
    </row>
    <row r="429" spans="1:19">
      <c r="A429" s="491"/>
      <c r="B429" s="348"/>
      <c r="C429" s="313">
        <f t="shared" si="66"/>
        <v>1</v>
      </c>
      <c r="D429" s="1128"/>
      <c r="E429" s="313">
        <f t="shared" si="67"/>
        <v>0.05</v>
      </c>
      <c r="F429" s="1128"/>
      <c r="G429" s="313">
        <f t="shared" si="68"/>
        <v>0.1</v>
      </c>
      <c r="H429" s="1128"/>
      <c r="I429" s="313">
        <f t="shared" si="69"/>
        <v>1</v>
      </c>
      <c r="J429" s="1128"/>
      <c r="K429" s="313">
        <f t="shared" si="70"/>
        <v>1</v>
      </c>
      <c r="L429" s="1128"/>
      <c r="M429" s="313">
        <f t="shared" si="71"/>
        <v>1</v>
      </c>
      <c r="N429" s="1128"/>
      <c r="O429" s="313">
        <f t="shared" si="72"/>
        <v>1</v>
      </c>
      <c r="P429" s="1128"/>
      <c r="Q429" s="313">
        <f t="shared" si="73"/>
        <v>0.2</v>
      </c>
      <c r="R429" s="1124">
        <f t="shared" si="74"/>
        <v>0</v>
      </c>
      <c r="S429" s="698">
        <f t="shared" si="65"/>
        <v>0</v>
      </c>
    </row>
    <row r="430" spans="1:19">
      <c r="A430" s="491"/>
      <c r="B430" s="348"/>
      <c r="C430" s="313">
        <f t="shared" si="66"/>
        <v>1</v>
      </c>
      <c r="D430" s="1128"/>
      <c r="E430" s="313">
        <f t="shared" si="67"/>
        <v>0.05</v>
      </c>
      <c r="F430" s="1128"/>
      <c r="G430" s="313">
        <f t="shared" si="68"/>
        <v>0.1</v>
      </c>
      <c r="H430" s="1128"/>
      <c r="I430" s="313">
        <f t="shared" si="69"/>
        <v>1</v>
      </c>
      <c r="J430" s="1128"/>
      <c r="K430" s="313">
        <f t="shared" si="70"/>
        <v>1</v>
      </c>
      <c r="L430" s="1128"/>
      <c r="M430" s="313">
        <f t="shared" si="71"/>
        <v>1</v>
      </c>
      <c r="N430" s="1128"/>
      <c r="O430" s="313">
        <f t="shared" si="72"/>
        <v>1</v>
      </c>
      <c r="P430" s="1128"/>
      <c r="Q430" s="313">
        <f t="shared" si="73"/>
        <v>0.2</v>
      </c>
      <c r="R430" s="1124">
        <f t="shared" si="74"/>
        <v>0</v>
      </c>
      <c r="S430" s="698">
        <f t="shared" si="65"/>
        <v>0</v>
      </c>
    </row>
    <row r="431" spans="1:19">
      <c r="A431" s="491"/>
      <c r="B431" s="348"/>
      <c r="C431" s="313">
        <f t="shared" si="66"/>
        <v>1</v>
      </c>
      <c r="D431" s="1128"/>
      <c r="E431" s="313">
        <f t="shared" si="67"/>
        <v>0.05</v>
      </c>
      <c r="F431" s="1128"/>
      <c r="G431" s="313">
        <f t="shared" si="68"/>
        <v>0.1</v>
      </c>
      <c r="H431" s="1128"/>
      <c r="I431" s="313">
        <f t="shared" si="69"/>
        <v>1</v>
      </c>
      <c r="J431" s="1128"/>
      <c r="K431" s="313">
        <f t="shared" si="70"/>
        <v>1</v>
      </c>
      <c r="L431" s="1128"/>
      <c r="M431" s="313">
        <f t="shared" si="71"/>
        <v>1</v>
      </c>
      <c r="N431" s="1128"/>
      <c r="O431" s="313">
        <f t="shared" si="72"/>
        <v>1</v>
      </c>
      <c r="P431" s="1128"/>
      <c r="Q431" s="313">
        <f t="shared" si="73"/>
        <v>0.2</v>
      </c>
      <c r="R431" s="1124">
        <f t="shared" si="74"/>
        <v>0</v>
      </c>
      <c r="S431" s="698">
        <f t="shared" si="65"/>
        <v>0</v>
      </c>
    </row>
    <row r="432" spans="1:19">
      <c r="A432" s="491"/>
      <c r="B432" s="348"/>
      <c r="C432" s="313">
        <f t="shared" si="66"/>
        <v>1</v>
      </c>
      <c r="D432" s="1128"/>
      <c r="E432" s="313">
        <f t="shared" si="67"/>
        <v>0.05</v>
      </c>
      <c r="F432" s="1128"/>
      <c r="G432" s="313">
        <f t="shared" si="68"/>
        <v>0.1</v>
      </c>
      <c r="H432" s="1128"/>
      <c r="I432" s="313">
        <f t="shared" si="69"/>
        <v>1</v>
      </c>
      <c r="J432" s="1128"/>
      <c r="K432" s="313">
        <f t="shared" si="70"/>
        <v>1</v>
      </c>
      <c r="L432" s="1128"/>
      <c r="M432" s="313">
        <f t="shared" si="71"/>
        <v>1</v>
      </c>
      <c r="N432" s="1128"/>
      <c r="O432" s="313">
        <f t="shared" si="72"/>
        <v>1</v>
      </c>
      <c r="P432" s="1128"/>
      <c r="Q432" s="313">
        <f t="shared" si="73"/>
        <v>0.2</v>
      </c>
      <c r="R432" s="1124">
        <f t="shared" si="74"/>
        <v>0</v>
      </c>
      <c r="S432" s="698">
        <f t="shared" si="65"/>
        <v>0</v>
      </c>
    </row>
    <row r="433" spans="1:19">
      <c r="A433" s="491"/>
      <c r="B433" s="348"/>
      <c r="C433" s="313">
        <f t="shared" si="66"/>
        <v>1</v>
      </c>
      <c r="D433" s="1128"/>
      <c r="E433" s="313">
        <f t="shared" si="67"/>
        <v>0.05</v>
      </c>
      <c r="F433" s="1128"/>
      <c r="G433" s="313">
        <f t="shared" si="68"/>
        <v>0.1</v>
      </c>
      <c r="H433" s="1128"/>
      <c r="I433" s="313">
        <f t="shared" si="69"/>
        <v>1</v>
      </c>
      <c r="J433" s="1128"/>
      <c r="K433" s="313">
        <f t="shared" si="70"/>
        <v>1</v>
      </c>
      <c r="L433" s="1128"/>
      <c r="M433" s="313">
        <f t="shared" si="71"/>
        <v>1</v>
      </c>
      <c r="N433" s="1128"/>
      <c r="O433" s="313">
        <f t="shared" si="72"/>
        <v>1</v>
      </c>
      <c r="P433" s="1128"/>
      <c r="Q433" s="313">
        <f t="shared" si="73"/>
        <v>0.2</v>
      </c>
      <c r="R433" s="1124">
        <f t="shared" si="74"/>
        <v>0</v>
      </c>
      <c r="S433" s="698">
        <f t="shared" si="65"/>
        <v>0</v>
      </c>
    </row>
    <row r="434" spans="1:19">
      <c r="A434" s="491"/>
      <c r="B434" s="348"/>
      <c r="C434" s="313">
        <f t="shared" si="66"/>
        <v>1</v>
      </c>
      <c r="D434" s="1128"/>
      <c r="E434" s="313">
        <f t="shared" si="67"/>
        <v>0.05</v>
      </c>
      <c r="F434" s="1128"/>
      <c r="G434" s="313">
        <f t="shared" si="68"/>
        <v>0.1</v>
      </c>
      <c r="H434" s="1128"/>
      <c r="I434" s="313">
        <f t="shared" si="69"/>
        <v>1</v>
      </c>
      <c r="J434" s="1128"/>
      <c r="K434" s="313">
        <f t="shared" si="70"/>
        <v>1</v>
      </c>
      <c r="L434" s="1128"/>
      <c r="M434" s="313">
        <f t="shared" si="71"/>
        <v>1</v>
      </c>
      <c r="N434" s="1128"/>
      <c r="O434" s="313">
        <f t="shared" si="72"/>
        <v>1</v>
      </c>
      <c r="P434" s="1128"/>
      <c r="Q434" s="313">
        <f t="shared" si="73"/>
        <v>0.2</v>
      </c>
      <c r="R434" s="1124">
        <f t="shared" si="74"/>
        <v>0</v>
      </c>
      <c r="S434" s="698">
        <f t="shared" si="65"/>
        <v>0</v>
      </c>
    </row>
    <row r="435" spans="1:19">
      <c r="A435" s="491"/>
      <c r="B435" s="348"/>
      <c r="C435" s="313">
        <f t="shared" si="66"/>
        <v>1</v>
      </c>
      <c r="D435" s="1128"/>
      <c r="E435" s="313">
        <f t="shared" si="67"/>
        <v>0.05</v>
      </c>
      <c r="F435" s="1128"/>
      <c r="G435" s="313">
        <f t="shared" si="68"/>
        <v>0.1</v>
      </c>
      <c r="H435" s="1128"/>
      <c r="I435" s="313">
        <f t="shared" si="69"/>
        <v>1</v>
      </c>
      <c r="J435" s="1128"/>
      <c r="K435" s="313">
        <f t="shared" si="70"/>
        <v>1</v>
      </c>
      <c r="L435" s="1128"/>
      <c r="M435" s="313">
        <f t="shared" si="71"/>
        <v>1</v>
      </c>
      <c r="N435" s="1128"/>
      <c r="O435" s="313">
        <f t="shared" si="72"/>
        <v>1</v>
      </c>
      <c r="P435" s="1128"/>
      <c r="Q435" s="313">
        <f t="shared" si="73"/>
        <v>0.2</v>
      </c>
      <c r="R435" s="1124">
        <f t="shared" si="74"/>
        <v>0</v>
      </c>
      <c r="S435" s="698">
        <f t="shared" si="65"/>
        <v>0</v>
      </c>
    </row>
    <row r="436" spans="1:19">
      <c r="A436" s="491"/>
      <c r="B436" s="348"/>
      <c r="C436" s="313">
        <f t="shared" si="66"/>
        <v>1</v>
      </c>
      <c r="D436" s="1128"/>
      <c r="E436" s="313">
        <f t="shared" si="67"/>
        <v>0.05</v>
      </c>
      <c r="F436" s="1128"/>
      <c r="G436" s="313">
        <f t="shared" si="68"/>
        <v>0.1</v>
      </c>
      <c r="H436" s="1128"/>
      <c r="I436" s="313">
        <f t="shared" si="69"/>
        <v>1</v>
      </c>
      <c r="J436" s="1128"/>
      <c r="K436" s="313">
        <f t="shared" si="70"/>
        <v>1</v>
      </c>
      <c r="L436" s="1128"/>
      <c r="M436" s="313">
        <f t="shared" si="71"/>
        <v>1</v>
      </c>
      <c r="N436" s="1128"/>
      <c r="O436" s="313">
        <f t="shared" si="72"/>
        <v>1</v>
      </c>
      <c r="P436" s="1128"/>
      <c r="Q436" s="313">
        <f t="shared" si="73"/>
        <v>0.2</v>
      </c>
      <c r="R436" s="1124">
        <f t="shared" si="74"/>
        <v>0</v>
      </c>
      <c r="S436" s="698">
        <f t="shared" si="65"/>
        <v>0</v>
      </c>
    </row>
    <row r="437" spans="1:19">
      <c r="A437" s="491"/>
      <c r="B437" s="348"/>
      <c r="C437" s="313">
        <f t="shared" si="66"/>
        <v>1</v>
      </c>
      <c r="D437" s="1128"/>
      <c r="E437" s="313">
        <f t="shared" si="67"/>
        <v>0.05</v>
      </c>
      <c r="F437" s="1128"/>
      <c r="G437" s="313">
        <f t="shared" si="68"/>
        <v>0.1</v>
      </c>
      <c r="H437" s="1128"/>
      <c r="I437" s="313">
        <f t="shared" si="69"/>
        <v>1</v>
      </c>
      <c r="J437" s="1128"/>
      <c r="K437" s="313">
        <f t="shared" si="70"/>
        <v>1</v>
      </c>
      <c r="L437" s="1128"/>
      <c r="M437" s="313">
        <f t="shared" si="71"/>
        <v>1</v>
      </c>
      <c r="N437" s="1128"/>
      <c r="O437" s="313">
        <f t="shared" si="72"/>
        <v>1</v>
      </c>
      <c r="P437" s="1128"/>
      <c r="Q437" s="313">
        <f t="shared" si="73"/>
        <v>0.2</v>
      </c>
      <c r="R437" s="1124">
        <f t="shared" si="74"/>
        <v>0</v>
      </c>
      <c r="S437" s="698">
        <f t="shared" si="65"/>
        <v>0</v>
      </c>
    </row>
    <row r="438" spans="1:19">
      <c r="A438" s="491"/>
      <c r="B438" s="348"/>
      <c r="C438" s="313">
        <f t="shared" si="66"/>
        <v>1</v>
      </c>
      <c r="D438" s="1128"/>
      <c r="E438" s="313">
        <f t="shared" si="67"/>
        <v>0.05</v>
      </c>
      <c r="F438" s="1128"/>
      <c r="G438" s="313">
        <f t="shared" si="68"/>
        <v>0.1</v>
      </c>
      <c r="H438" s="1128"/>
      <c r="I438" s="313">
        <f t="shared" si="69"/>
        <v>1</v>
      </c>
      <c r="J438" s="1128"/>
      <c r="K438" s="313">
        <f t="shared" si="70"/>
        <v>1</v>
      </c>
      <c r="L438" s="1128"/>
      <c r="M438" s="313">
        <f t="shared" si="71"/>
        <v>1</v>
      </c>
      <c r="N438" s="1128"/>
      <c r="O438" s="313">
        <f t="shared" si="72"/>
        <v>1</v>
      </c>
      <c r="P438" s="1128"/>
      <c r="Q438" s="313">
        <f t="shared" si="73"/>
        <v>0.2</v>
      </c>
      <c r="R438" s="1124">
        <f t="shared" si="74"/>
        <v>0</v>
      </c>
      <c r="S438" s="698">
        <f t="shared" si="65"/>
        <v>0</v>
      </c>
    </row>
    <row r="439" spans="1:19">
      <c r="A439" s="491"/>
      <c r="B439" s="348"/>
      <c r="C439" s="313">
        <f t="shared" si="66"/>
        <v>1</v>
      </c>
      <c r="D439" s="1128"/>
      <c r="E439" s="313">
        <f t="shared" si="67"/>
        <v>0.05</v>
      </c>
      <c r="F439" s="1128"/>
      <c r="G439" s="313">
        <f t="shared" si="68"/>
        <v>0.1</v>
      </c>
      <c r="H439" s="1128"/>
      <c r="I439" s="313">
        <f t="shared" si="69"/>
        <v>1</v>
      </c>
      <c r="J439" s="1128"/>
      <c r="K439" s="313">
        <f t="shared" si="70"/>
        <v>1</v>
      </c>
      <c r="L439" s="1128"/>
      <c r="M439" s="313">
        <f t="shared" si="71"/>
        <v>1</v>
      </c>
      <c r="N439" s="1128"/>
      <c r="O439" s="313">
        <f t="shared" si="72"/>
        <v>1</v>
      </c>
      <c r="P439" s="1128"/>
      <c r="Q439" s="313">
        <f t="shared" si="73"/>
        <v>0.2</v>
      </c>
      <c r="R439" s="1124">
        <f t="shared" si="74"/>
        <v>0</v>
      </c>
      <c r="S439" s="698">
        <f t="shared" si="65"/>
        <v>0</v>
      </c>
    </row>
    <row r="440" spans="1:19">
      <c r="A440" s="491"/>
      <c r="B440" s="348"/>
      <c r="C440" s="313">
        <f t="shared" si="66"/>
        <v>1</v>
      </c>
      <c r="D440" s="1128"/>
      <c r="E440" s="313">
        <f t="shared" si="67"/>
        <v>0.05</v>
      </c>
      <c r="F440" s="1128"/>
      <c r="G440" s="313">
        <f t="shared" si="68"/>
        <v>0.1</v>
      </c>
      <c r="H440" s="1128"/>
      <c r="I440" s="313">
        <f t="shared" si="69"/>
        <v>1</v>
      </c>
      <c r="J440" s="1128"/>
      <c r="K440" s="313">
        <f t="shared" si="70"/>
        <v>1</v>
      </c>
      <c r="L440" s="1128"/>
      <c r="M440" s="313">
        <f t="shared" si="71"/>
        <v>1</v>
      </c>
      <c r="N440" s="1128"/>
      <c r="O440" s="313">
        <f t="shared" si="72"/>
        <v>1</v>
      </c>
      <c r="P440" s="1128"/>
      <c r="Q440" s="313">
        <f t="shared" si="73"/>
        <v>0.2</v>
      </c>
      <c r="R440" s="1124">
        <f t="shared" si="74"/>
        <v>0</v>
      </c>
      <c r="S440" s="698">
        <f t="shared" si="65"/>
        <v>0</v>
      </c>
    </row>
    <row r="441" spans="1:19">
      <c r="A441" s="491"/>
      <c r="B441" s="348"/>
      <c r="C441" s="313">
        <f t="shared" si="66"/>
        <v>1</v>
      </c>
      <c r="D441" s="1128"/>
      <c r="E441" s="313">
        <f t="shared" si="67"/>
        <v>0.05</v>
      </c>
      <c r="F441" s="1128"/>
      <c r="G441" s="313">
        <f t="shared" si="68"/>
        <v>0.1</v>
      </c>
      <c r="H441" s="1128"/>
      <c r="I441" s="313">
        <f t="shared" si="69"/>
        <v>1</v>
      </c>
      <c r="J441" s="1128"/>
      <c r="K441" s="313">
        <f t="shared" si="70"/>
        <v>1</v>
      </c>
      <c r="L441" s="1128"/>
      <c r="M441" s="313">
        <f t="shared" si="71"/>
        <v>1</v>
      </c>
      <c r="N441" s="1128"/>
      <c r="O441" s="313">
        <f t="shared" si="72"/>
        <v>1</v>
      </c>
      <c r="P441" s="1128"/>
      <c r="Q441" s="313">
        <f t="shared" si="73"/>
        <v>0.2</v>
      </c>
      <c r="R441" s="1124">
        <f t="shared" si="74"/>
        <v>0</v>
      </c>
      <c r="S441" s="698">
        <f t="shared" si="65"/>
        <v>0</v>
      </c>
    </row>
    <row r="442" spans="1:19">
      <c r="A442" s="491"/>
      <c r="B442" s="348"/>
      <c r="C442" s="313">
        <f t="shared" si="66"/>
        <v>1</v>
      </c>
      <c r="D442" s="1128"/>
      <c r="E442" s="313">
        <f t="shared" si="67"/>
        <v>0.05</v>
      </c>
      <c r="F442" s="1128"/>
      <c r="G442" s="313">
        <f t="shared" si="68"/>
        <v>0.1</v>
      </c>
      <c r="H442" s="1128"/>
      <c r="I442" s="313">
        <f t="shared" si="69"/>
        <v>1</v>
      </c>
      <c r="J442" s="1128"/>
      <c r="K442" s="313">
        <f t="shared" si="70"/>
        <v>1</v>
      </c>
      <c r="L442" s="1128"/>
      <c r="M442" s="313">
        <f t="shared" si="71"/>
        <v>1</v>
      </c>
      <c r="N442" s="1128"/>
      <c r="O442" s="313">
        <f t="shared" si="72"/>
        <v>1</v>
      </c>
      <c r="P442" s="1128"/>
      <c r="Q442" s="313">
        <f t="shared" si="73"/>
        <v>0.2</v>
      </c>
      <c r="R442" s="1124">
        <f t="shared" si="74"/>
        <v>0</v>
      </c>
      <c r="S442" s="698">
        <f t="shared" si="65"/>
        <v>0</v>
      </c>
    </row>
    <row r="443" spans="1:19">
      <c r="A443" s="491"/>
      <c r="B443" s="348"/>
      <c r="C443" s="313">
        <f t="shared" si="66"/>
        <v>1</v>
      </c>
      <c r="D443" s="1128"/>
      <c r="E443" s="313">
        <f t="shared" si="67"/>
        <v>0.05</v>
      </c>
      <c r="F443" s="1128"/>
      <c r="G443" s="313">
        <f t="shared" si="68"/>
        <v>0.1</v>
      </c>
      <c r="H443" s="1128"/>
      <c r="I443" s="313">
        <f t="shared" si="69"/>
        <v>1</v>
      </c>
      <c r="J443" s="1128"/>
      <c r="K443" s="313">
        <f t="shared" si="70"/>
        <v>1</v>
      </c>
      <c r="L443" s="1128"/>
      <c r="M443" s="313">
        <f t="shared" si="71"/>
        <v>1</v>
      </c>
      <c r="N443" s="1128"/>
      <c r="O443" s="313">
        <f t="shared" si="72"/>
        <v>1</v>
      </c>
      <c r="P443" s="1128"/>
      <c r="Q443" s="313">
        <f t="shared" si="73"/>
        <v>0.2</v>
      </c>
      <c r="R443" s="1124">
        <f t="shared" si="74"/>
        <v>0</v>
      </c>
      <c r="S443" s="698">
        <f t="shared" si="65"/>
        <v>0</v>
      </c>
    </row>
    <row r="444" spans="1:19">
      <c r="A444" s="491"/>
      <c r="B444" s="348"/>
      <c r="C444" s="313">
        <f t="shared" si="66"/>
        <v>1</v>
      </c>
      <c r="D444" s="1128"/>
      <c r="E444" s="313">
        <f t="shared" si="67"/>
        <v>0.05</v>
      </c>
      <c r="F444" s="1128"/>
      <c r="G444" s="313">
        <f t="shared" si="68"/>
        <v>0.1</v>
      </c>
      <c r="H444" s="1128"/>
      <c r="I444" s="313">
        <f t="shared" si="69"/>
        <v>1</v>
      </c>
      <c r="J444" s="1128"/>
      <c r="K444" s="313">
        <f t="shared" si="70"/>
        <v>1</v>
      </c>
      <c r="L444" s="1128"/>
      <c r="M444" s="313">
        <f t="shared" si="71"/>
        <v>1</v>
      </c>
      <c r="N444" s="1128"/>
      <c r="O444" s="313">
        <f t="shared" si="72"/>
        <v>1</v>
      </c>
      <c r="P444" s="1128"/>
      <c r="Q444" s="313">
        <f t="shared" si="73"/>
        <v>0.2</v>
      </c>
      <c r="R444" s="1124">
        <f t="shared" si="74"/>
        <v>0</v>
      </c>
      <c r="S444" s="698">
        <f t="shared" si="65"/>
        <v>0</v>
      </c>
    </row>
    <row r="445" spans="1:19">
      <c r="A445" s="491"/>
      <c r="B445" s="348"/>
      <c r="C445" s="313">
        <f t="shared" si="66"/>
        <v>1</v>
      </c>
      <c r="D445" s="1128"/>
      <c r="E445" s="313">
        <f t="shared" si="67"/>
        <v>0.05</v>
      </c>
      <c r="F445" s="1128"/>
      <c r="G445" s="313">
        <f t="shared" si="68"/>
        <v>0.1</v>
      </c>
      <c r="H445" s="1128"/>
      <c r="I445" s="313">
        <f t="shared" si="69"/>
        <v>1</v>
      </c>
      <c r="J445" s="1128"/>
      <c r="K445" s="313">
        <f t="shared" si="70"/>
        <v>1</v>
      </c>
      <c r="L445" s="1128"/>
      <c r="M445" s="313">
        <f t="shared" si="71"/>
        <v>1</v>
      </c>
      <c r="N445" s="1128"/>
      <c r="O445" s="313">
        <f t="shared" si="72"/>
        <v>1</v>
      </c>
      <c r="P445" s="1128"/>
      <c r="Q445" s="313">
        <f t="shared" si="73"/>
        <v>0.2</v>
      </c>
      <c r="R445" s="1124">
        <f t="shared" si="74"/>
        <v>0</v>
      </c>
      <c r="S445" s="698">
        <f t="shared" si="65"/>
        <v>0</v>
      </c>
    </row>
    <row r="446" spans="1:19">
      <c r="A446" s="491"/>
      <c r="B446" s="348"/>
      <c r="C446" s="313">
        <f t="shared" si="66"/>
        <v>1</v>
      </c>
      <c r="D446" s="1128"/>
      <c r="E446" s="313">
        <f t="shared" si="67"/>
        <v>0.05</v>
      </c>
      <c r="F446" s="1128"/>
      <c r="G446" s="313">
        <f t="shared" si="68"/>
        <v>0.1</v>
      </c>
      <c r="H446" s="1128"/>
      <c r="I446" s="313">
        <f t="shared" si="69"/>
        <v>1</v>
      </c>
      <c r="J446" s="1128"/>
      <c r="K446" s="313">
        <f t="shared" si="70"/>
        <v>1</v>
      </c>
      <c r="L446" s="1128"/>
      <c r="M446" s="313">
        <f t="shared" si="71"/>
        <v>1</v>
      </c>
      <c r="N446" s="1128"/>
      <c r="O446" s="313">
        <f t="shared" si="72"/>
        <v>1</v>
      </c>
      <c r="P446" s="1128"/>
      <c r="Q446" s="313">
        <f t="shared" si="73"/>
        <v>0.2</v>
      </c>
      <c r="R446" s="1124">
        <f t="shared" si="74"/>
        <v>0</v>
      </c>
      <c r="S446" s="698">
        <f t="shared" si="65"/>
        <v>0</v>
      </c>
    </row>
    <row r="447" spans="1:19">
      <c r="A447" s="491"/>
      <c r="B447" s="348"/>
      <c r="C447" s="313">
        <f t="shared" si="66"/>
        <v>1</v>
      </c>
      <c r="D447" s="1128"/>
      <c r="E447" s="313">
        <f t="shared" si="67"/>
        <v>0.05</v>
      </c>
      <c r="F447" s="1128"/>
      <c r="G447" s="313">
        <f t="shared" si="68"/>
        <v>0.1</v>
      </c>
      <c r="H447" s="1128"/>
      <c r="I447" s="313">
        <f t="shared" si="69"/>
        <v>1</v>
      </c>
      <c r="J447" s="1128"/>
      <c r="K447" s="313">
        <f t="shared" si="70"/>
        <v>1</v>
      </c>
      <c r="L447" s="1128"/>
      <c r="M447" s="313">
        <f t="shared" si="71"/>
        <v>1</v>
      </c>
      <c r="N447" s="1128"/>
      <c r="O447" s="313">
        <f t="shared" si="72"/>
        <v>1</v>
      </c>
      <c r="P447" s="1128"/>
      <c r="Q447" s="313">
        <f t="shared" si="73"/>
        <v>0.2</v>
      </c>
      <c r="R447" s="1124">
        <f t="shared" si="74"/>
        <v>0</v>
      </c>
      <c r="S447" s="698">
        <f t="shared" si="65"/>
        <v>0</v>
      </c>
    </row>
    <row r="448" spans="1:19">
      <c r="A448" s="491"/>
      <c r="B448" s="348"/>
      <c r="C448" s="313">
        <f t="shared" si="66"/>
        <v>1</v>
      </c>
      <c r="D448" s="1128"/>
      <c r="E448" s="313">
        <f t="shared" si="67"/>
        <v>0.05</v>
      </c>
      <c r="F448" s="1128"/>
      <c r="G448" s="313">
        <f t="shared" si="68"/>
        <v>0.1</v>
      </c>
      <c r="H448" s="1128"/>
      <c r="I448" s="313">
        <f t="shared" si="69"/>
        <v>1</v>
      </c>
      <c r="J448" s="1128"/>
      <c r="K448" s="313">
        <f t="shared" si="70"/>
        <v>1</v>
      </c>
      <c r="L448" s="1128"/>
      <c r="M448" s="313">
        <f t="shared" si="71"/>
        <v>1</v>
      </c>
      <c r="N448" s="1128"/>
      <c r="O448" s="313">
        <f t="shared" si="72"/>
        <v>1</v>
      </c>
      <c r="P448" s="1128"/>
      <c r="Q448" s="313">
        <f t="shared" si="73"/>
        <v>0.2</v>
      </c>
      <c r="R448" s="1124">
        <f t="shared" si="74"/>
        <v>0</v>
      </c>
      <c r="S448" s="698">
        <f t="shared" si="65"/>
        <v>0</v>
      </c>
    </row>
    <row r="449" spans="1:19">
      <c r="A449" s="491"/>
      <c r="B449" s="348"/>
      <c r="C449" s="313">
        <f t="shared" si="66"/>
        <v>1</v>
      </c>
      <c r="D449" s="1128"/>
      <c r="E449" s="313">
        <f t="shared" si="67"/>
        <v>0.05</v>
      </c>
      <c r="F449" s="1128"/>
      <c r="G449" s="313">
        <f t="shared" si="68"/>
        <v>0.1</v>
      </c>
      <c r="H449" s="1128"/>
      <c r="I449" s="313">
        <f t="shared" si="69"/>
        <v>1</v>
      </c>
      <c r="J449" s="1128"/>
      <c r="K449" s="313">
        <f t="shared" si="70"/>
        <v>1</v>
      </c>
      <c r="L449" s="1128"/>
      <c r="M449" s="313">
        <f t="shared" si="71"/>
        <v>1</v>
      </c>
      <c r="N449" s="1128"/>
      <c r="O449" s="313">
        <f t="shared" si="72"/>
        <v>1</v>
      </c>
      <c r="P449" s="1128"/>
      <c r="Q449" s="313">
        <f t="shared" si="73"/>
        <v>0.2</v>
      </c>
      <c r="R449" s="1124">
        <f t="shared" si="74"/>
        <v>0</v>
      </c>
      <c r="S449" s="698">
        <f t="shared" si="65"/>
        <v>0</v>
      </c>
    </row>
    <row r="450" spans="1:19">
      <c r="A450" s="491"/>
      <c r="B450" s="348"/>
      <c r="C450" s="313">
        <f t="shared" si="66"/>
        <v>1</v>
      </c>
      <c r="D450" s="1128"/>
      <c r="E450" s="313">
        <f t="shared" si="67"/>
        <v>0.05</v>
      </c>
      <c r="F450" s="1128"/>
      <c r="G450" s="313">
        <f t="shared" si="68"/>
        <v>0.1</v>
      </c>
      <c r="H450" s="1128"/>
      <c r="I450" s="313">
        <f t="shared" si="69"/>
        <v>1</v>
      </c>
      <c r="J450" s="1128"/>
      <c r="K450" s="313">
        <f t="shared" si="70"/>
        <v>1</v>
      </c>
      <c r="L450" s="1128"/>
      <c r="M450" s="313">
        <f t="shared" si="71"/>
        <v>1</v>
      </c>
      <c r="N450" s="1128"/>
      <c r="O450" s="313">
        <f t="shared" si="72"/>
        <v>1</v>
      </c>
      <c r="P450" s="1128"/>
      <c r="Q450" s="313">
        <f t="shared" si="73"/>
        <v>0.2</v>
      </c>
      <c r="R450" s="1124">
        <f t="shared" si="74"/>
        <v>0</v>
      </c>
      <c r="S450" s="698">
        <f t="shared" si="65"/>
        <v>0</v>
      </c>
    </row>
    <row r="451" spans="1:19">
      <c r="A451" s="491"/>
      <c r="B451" s="348"/>
      <c r="C451" s="313">
        <f t="shared" si="66"/>
        <v>1</v>
      </c>
      <c r="D451" s="1128"/>
      <c r="E451" s="313">
        <f t="shared" si="67"/>
        <v>0.05</v>
      </c>
      <c r="F451" s="1128"/>
      <c r="G451" s="313">
        <f t="shared" si="68"/>
        <v>0.1</v>
      </c>
      <c r="H451" s="1128"/>
      <c r="I451" s="313">
        <f t="shared" si="69"/>
        <v>1</v>
      </c>
      <c r="J451" s="1128"/>
      <c r="K451" s="313">
        <f t="shared" si="70"/>
        <v>1</v>
      </c>
      <c r="L451" s="1128"/>
      <c r="M451" s="313">
        <f t="shared" si="71"/>
        <v>1</v>
      </c>
      <c r="N451" s="1128"/>
      <c r="O451" s="313">
        <f t="shared" si="72"/>
        <v>1</v>
      </c>
      <c r="P451" s="1128"/>
      <c r="Q451" s="313">
        <f t="shared" si="73"/>
        <v>0.2</v>
      </c>
      <c r="R451" s="1124">
        <f t="shared" si="74"/>
        <v>0</v>
      </c>
      <c r="S451" s="698">
        <f t="shared" si="65"/>
        <v>0</v>
      </c>
    </row>
    <row r="452" spans="1:19">
      <c r="A452" s="491"/>
      <c r="B452" s="348"/>
      <c r="C452" s="313">
        <f t="shared" si="66"/>
        <v>1</v>
      </c>
      <c r="D452" s="1128"/>
      <c r="E452" s="313">
        <f t="shared" si="67"/>
        <v>0.05</v>
      </c>
      <c r="F452" s="1128"/>
      <c r="G452" s="313">
        <f t="shared" si="68"/>
        <v>0.1</v>
      </c>
      <c r="H452" s="1128"/>
      <c r="I452" s="313">
        <f t="shared" si="69"/>
        <v>1</v>
      </c>
      <c r="J452" s="1128"/>
      <c r="K452" s="313">
        <f t="shared" si="70"/>
        <v>1</v>
      </c>
      <c r="L452" s="1128"/>
      <c r="M452" s="313">
        <f t="shared" si="71"/>
        <v>1</v>
      </c>
      <c r="N452" s="1128"/>
      <c r="O452" s="313">
        <f t="shared" si="72"/>
        <v>1</v>
      </c>
      <c r="P452" s="1128"/>
      <c r="Q452" s="313">
        <f t="shared" si="73"/>
        <v>0.2</v>
      </c>
      <c r="R452" s="1124">
        <f t="shared" si="74"/>
        <v>0</v>
      </c>
      <c r="S452" s="698">
        <f t="shared" si="65"/>
        <v>0</v>
      </c>
    </row>
    <row r="453" spans="1:19">
      <c r="A453" s="491"/>
      <c r="B453" s="348"/>
      <c r="C453" s="313">
        <f t="shared" si="66"/>
        <v>1</v>
      </c>
      <c r="D453" s="1128"/>
      <c r="E453" s="313">
        <f t="shared" si="67"/>
        <v>0.05</v>
      </c>
      <c r="F453" s="1128"/>
      <c r="G453" s="313">
        <f t="shared" si="68"/>
        <v>0.1</v>
      </c>
      <c r="H453" s="1128"/>
      <c r="I453" s="313">
        <f t="shared" si="69"/>
        <v>1</v>
      </c>
      <c r="J453" s="1128"/>
      <c r="K453" s="313">
        <f t="shared" si="70"/>
        <v>1</v>
      </c>
      <c r="L453" s="1128"/>
      <c r="M453" s="313">
        <f t="shared" si="71"/>
        <v>1</v>
      </c>
      <c r="N453" s="1128"/>
      <c r="O453" s="313">
        <f t="shared" si="72"/>
        <v>1</v>
      </c>
      <c r="P453" s="1128"/>
      <c r="Q453" s="313">
        <f t="shared" si="73"/>
        <v>0.2</v>
      </c>
      <c r="R453" s="1124">
        <f t="shared" si="74"/>
        <v>0</v>
      </c>
      <c r="S453" s="698">
        <f t="shared" si="65"/>
        <v>0</v>
      </c>
    </row>
    <row r="454" spans="1:19">
      <c r="A454" s="491"/>
      <c r="B454" s="348"/>
      <c r="C454" s="313">
        <f t="shared" si="66"/>
        <v>1</v>
      </c>
      <c r="D454" s="1128"/>
      <c r="E454" s="313">
        <f t="shared" si="67"/>
        <v>0.05</v>
      </c>
      <c r="F454" s="1128"/>
      <c r="G454" s="313">
        <f t="shared" si="68"/>
        <v>0.1</v>
      </c>
      <c r="H454" s="1128"/>
      <c r="I454" s="313">
        <f t="shared" si="69"/>
        <v>1</v>
      </c>
      <c r="J454" s="1128"/>
      <c r="K454" s="313">
        <f t="shared" si="70"/>
        <v>1</v>
      </c>
      <c r="L454" s="1128"/>
      <c r="M454" s="313">
        <f t="shared" si="71"/>
        <v>1</v>
      </c>
      <c r="N454" s="1128"/>
      <c r="O454" s="313">
        <f t="shared" si="72"/>
        <v>1</v>
      </c>
      <c r="P454" s="1128"/>
      <c r="Q454" s="313">
        <f t="shared" si="73"/>
        <v>0.2</v>
      </c>
      <c r="R454" s="1124">
        <f t="shared" si="74"/>
        <v>0</v>
      </c>
      <c r="S454" s="698">
        <f t="shared" si="65"/>
        <v>0</v>
      </c>
    </row>
    <row r="455" spans="1:19">
      <c r="A455" s="491"/>
      <c r="B455" s="348"/>
      <c r="C455" s="313">
        <f t="shared" si="66"/>
        <v>1</v>
      </c>
      <c r="D455" s="1128"/>
      <c r="E455" s="313">
        <f t="shared" si="67"/>
        <v>0.05</v>
      </c>
      <c r="F455" s="1128"/>
      <c r="G455" s="313">
        <f t="shared" si="68"/>
        <v>0.1</v>
      </c>
      <c r="H455" s="1128"/>
      <c r="I455" s="313">
        <f t="shared" si="69"/>
        <v>1</v>
      </c>
      <c r="J455" s="1128"/>
      <c r="K455" s="313">
        <f t="shared" si="70"/>
        <v>1</v>
      </c>
      <c r="L455" s="1128"/>
      <c r="M455" s="313">
        <f t="shared" si="71"/>
        <v>1</v>
      </c>
      <c r="N455" s="1128"/>
      <c r="O455" s="313">
        <f t="shared" si="72"/>
        <v>1</v>
      </c>
      <c r="P455" s="1128"/>
      <c r="Q455" s="313">
        <f t="shared" si="73"/>
        <v>0.2</v>
      </c>
      <c r="R455" s="1124">
        <f t="shared" si="74"/>
        <v>0</v>
      </c>
      <c r="S455" s="698">
        <f t="shared" si="65"/>
        <v>0</v>
      </c>
    </row>
    <row r="456" spans="1:19">
      <c r="A456" s="491"/>
      <c r="B456" s="348"/>
      <c r="C456" s="313">
        <f t="shared" si="66"/>
        <v>1</v>
      </c>
      <c r="D456" s="1128"/>
      <c r="E456" s="313">
        <f t="shared" si="67"/>
        <v>0.05</v>
      </c>
      <c r="F456" s="1128"/>
      <c r="G456" s="313">
        <f t="shared" si="68"/>
        <v>0.1</v>
      </c>
      <c r="H456" s="1128"/>
      <c r="I456" s="313">
        <f t="shared" si="69"/>
        <v>1</v>
      </c>
      <c r="J456" s="1128"/>
      <c r="K456" s="313">
        <f t="shared" si="70"/>
        <v>1</v>
      </c>
      <c r="L456" s="1128"/>
      <c r="M456" s="313">
        <f t="shared" si="71"/>
        <v>1</v>
      </c>
      <c r="N456" s="1128"/>
      <c r="O456" s="313">
        <f t="shared" si="72"/>
        <v>1</v>
      </c>
      <c r="P456" s="1128"/>
      <c r="Q456" s="313">
        <f t="shared" si="73"/>
        <v>0.2</v>
      </c>
      <c r="R456" s="1124">
        <f t="shared" si="74"/>
        <v>0</v>
      </c>
      <c r="S456" s="698">
        <f t="shared" si="65"/>
        <v>0</v>
      </c>
    </row>
    <row r="457" spans="1:19">
      <c r="A457" s="491"/>
      <c r="B457" s="348"/>
      <c r="C457" s="313">
        <f t="shared" si="66"/>
        <v>1</v>
      </c>
      <c r="D457" s="1128"/>
      <c r="E457" s="313">
        <f t="shared" si="67"/>
        <v>0.05</v>
      </c>
      <c r="F457" s="1128"/>
      <c r="G457" s="313">
        <f t="shared" si="68"/>
        <v>0.1</v>
      </c>
      <c r="H457" s="1128"/>
      <c r="I457" s="313">
        <f t="shared" si="69"/>
        <v>1</v>
      </c>
      <c r="J457" s="1128"/>
      <c r="K457" s="313">
        <f t="shared" si="70"/>
        <v>1</v>
      </c>
      <c r="L457" s="1128"/>
      <c r="M457" s="313">
        <f t="shared" si="71"/>
        <v>1</v>
      </c>
      <c r="N457" s="1128"/>
      <c r="O457" s="313">
        <f t="shared" si="72"/>
        <v>1</v>
      </c>
      <c r="P457" s="1128"/>
      <c r="Q457" s="313">
        <f t="shared" si="73"/>
        <v>0.2</v>
      </c>
      <c r="R457" s="1124">
        <f t="shared" si="74"/>
        <v>0</v>
      </c>
      <c r="S457" s="698">
        <f t="shared" si="65"/>
        <v>0</v>
      </c>
    </row>
    <row r="458" spans="1:19">
      <c r="A458" s="491"/>
      <c r="B458" s="348"/>
      <c r="C458" s="313">
        <f t="shared" si="66"/>
        <v>1</v>
      </c>
      <c r="D458" s="1128"/>
      <c r="E458" s="313">
        <f t="shared" si="67"/>
        <v>0.05</v>
      </c>
      <c r="F458" s="1128"/>
      <c r="G458" s="313">
        <f t="shared" si="68"/>
        <v>0.1</v>
      </c>
      <c r="H458" s="1128"/>
      <c r="I458" s="313">
        <f t="shared" si="69"/>
        <v>1</v>
      </c>
      <c r="J458" s="1128"/>
      <c r="K458" s="313">
        <f t="shared" si="70"/>
        <v>1</v>
      </c>
      <c r="L458" s="1128"/>
      <c r="M458" s="313">
        <f t="shared" si="71"/>
        <v>1</v>
      </c>
      <c r="N458" s="1128"/>
      <c r="O458" s="313">
        <f t="shared" si="72"/>
        <v>1</v>
      </c>
      <c r="P458" s="1128"/>
      <c r="Q458" s="313">
        <f t="shared" si="73"/>
        <v>0.2</v>
      </c>
      <c r="R458" s="1124">
        <f t="shared" si="74"/>
        <v>0</v>
      </c>
      <c r="S458" s="698">
        <f t="shared" si="65"/>
        <v>0</v>
      </c>
    </row>
    <row r="459" spans="1:19">
      <c r="A459" s="491"/>
      <c r="B459" s="348"/>
      <c r="C459" s="313">
        <f t="shared" si="66"/>
        <v>1</v>
      </c>
      <c r="D459" s="1128"/>
      <c r="E459" s="313">
        <f t="shared" si="67"/>
        <v>0.05</v>
      </c>
      <c r="F459" s="1128"/>
      <c r="G459" s="313">
        <f t="shared" si="68"/>
        <v>0.1</v>
      </c>
      <c r="H459" s="1128"/>
      <c r="I459" s="313">
        <f t="shared" si="69"/>
        <v>1</v>
      </c>
      <c r="J459" s="1128"/>
      <c r="K459" s="313">
        <f t="shared" si="70"/>
        <v>1</v>
      </c>
      <c r="L459" s="1128"/>
      <c r="M459" s="313">
        <f t="shared" si="71"/>
        <v>1</v>
      </c>
      <c r="N459" s="1128"/>
      <c r="O459" s="313">
        <f t="shared" si="72"/>
        <v>1</v>
      </c>
      <c r="P459" s="1128"/>
      <c r="Q459" s="313">
        <f t="shared" si="73"/>
        <v>0.2</v>
      </c>
      <c r="R459" s="1124">
        <f t="shared" si="74"/>
        <v>0</v>
      </c>
      <c r="S459" s="698">
        <f t="shared" si="65"/>
        <v>0</v>
      </c>
    </row>
    <row r="460" spans="1:19">
      <c r="A460" s="491"/>
      <c r="B460" s="348"/>
      <c r="C460" s="313">
        <f t="shared" si="66"/>
        <v>1</v>
      </c>
      <c r="D460" s="1128"/>
      <c r="E460" s="313">
        <f t="shared" si="67"/>
        <v>0.05</v>
      </c>
      <c r="F460" s="1128"/>
      <c r="G460" s="313">
        <f t="shared" si="68"/>
        <v>0.1</v>
      </c>
      <c r="H460" s="1128"/>
      <c r="I460" s="313">
        <f t="shared" si="69"/>
        <v>1</v>
      </c>
      <c r="J460" s="1128"/>
      <c r="K460" s="313">
        <f t="shared" si="70"/>
        <v>1</v>
      </c>
      <c r="L460" s="1128"/>
      <c r="M460" s="313">
        <f t="shared" si="71"/>
        <v>1</v>
      </c>
      <c r="N460" s="1128"/>
      <c r="O460" s="313">
        <f t="shared" si="72"/>
        <v>1</v>
      </c>
      <c r="P460" s="1128"/>
      <c r="Q460" s="313">
        <f t="shared" si="73"/>
        <v>0.2</v>
      </c>
      <c r="R460" s="1124">
        <f t="shared" si="74"/>
        <v>0</v>
      </c>
      <c r="S460" s="698">
        <f t="shared" si="65"/>
        <v>0</v>
      </c>
    </row>
    <row r="461" spans="1:19">
      <c r="A461" s="491"/>
      <c r="B461" s="348"/>
      <c r="C461" s="313">
        <f t="shared" si="66"/>
        <v>1</v>
      </c>
      <c r="D461" s="1128"/>
      <c r="E461" s="313">
        <f t="shared" si="67"/>
        <v>0.05</v>
      </c>
      <c r="F461" s="1128"/>
      <c r="G461" s="313">
        <f t="shared" si="68"/>
        <v>0.1</v>
      </c>
      <c r="H461" s="1128"/>
      <c r="I461" s="313">
        <f t="shared" si="69"/>
        <v>1</v>
      </c>
      <c r="J461" s="1128"/>
      <c r="K461" s="313">
        <f t="shared" si="70"/>
        <v>1</v>
      </c>
      <c r="L461" s="1128"/>
      <c r="M461" s="313">
        <f t="shared" si="71"/>
        <v>1</v>
      </c>
      <c r="N461" s="1128"/>
      <c r="O461" s="313">
        <f t="shared" si="72"/>
        <v>1</v>
      </c>
      <c r="P461" s="1128"/>
      <c r="Q461" s="313">
        <f t="shared" si="73"/>
        <v>0.2</v>
      </c>
      <c r="R461" s="1124">
        <f t="shared" si="74"/>
        <v>0</v>
      </c>
      <c r="S461" s="698">
        <f t="shared" si="65"/>
        <v>0</v>
      </c>
    </row>
    <row r="462" spans="1:19">
      <c r="A462" s="491"/>
      <c r="B462" s="348"/>
      <c r="C462" s="313">
        <f t="shared" si="66"/>
        <v>1</v>
      </c>
      <c r="D462" s="1128"/>
      <c r="E462" s="313">
        <f t="shared" si="67"/>
        <v>0.05</v>
      </c>
      <c r="F462" s="1128"/>
      <c r="G462" s="313">
        <f t="shared" si="68"/>
        <v>0.1</v>
      </c>
      <c r="H462" s="1128"/>
      <c r="I462" s="313">
        <f t="shared" si="69"/>
        <v>1</v>
      </c>
      <c r="J462" s="1128"/>
      <c r="K462" s="313">
        <f t="shared" si="70"/>
        <v>1</v>
      </c>
      <c r="L462" s="1128"/>
      <c r="M462" s="313">
        <f t="shared" si="71"/>
        <v>1</v>
      </c>
      <c r="N462" s="1128"/>
      <c r="O462" s="313">
        <f t="shared" si="72"/>
        <v>1</v>
      </c>
      <c r="P462" s="1128"/>
      <c r="Q462" s="313">
        <f t="shared" si="73"/>
        <v>0.2</v>
      </c>
      <c r="R462" s="1124">
        <f t="shared" si="74"/>
        <v>0</v>
      </c>
      <c r="S462" s="698">
        <f t="shared" si="65"/>
        <v>0</v>
      </c>
    </row>
    <row r="463" spans="1:19">
      <c r="A463" s="491"/>
      <c r="B463" s="348"/>
      <c r="C463" s="313">
        <f t="shared" si="66"/>
        <v>1</v>
      </c>
      <c r="D463" s="1128"/>
      <c r="E463" s="313">
        <f t="shared" si="67"/>
        <v>0.05</v>
      </c>
      <c r="F463" s="1128"/>
      <c r="G463" s="313">
        <f t="shared" si="68"/>
        <v>0.1</v>
      </c>
      <c r="H463" s="1128"/>
      <c r="I463" s="313">
        <f t="shared" si="69"/>
        <v>1</v>
      </c>
      <c r="J463" s="1128"/>
      <c r="K463" s="313">
        <f t="shared" si="70"/>
        <v>1</v>
      </c>
      <c r="L463" s="1128"/>
      <c r="M463" s="313">
        <f t="shared" si="71"/>
        <v>1</v>
      </c>
      <c r="N463" s="1128"/>
      <c r="O463" s="313">
        <f t="shared" si="72"/>
        <v>1</v>
      </c>
      <c r="P463" s="1128"/>
      <c r="Q463" s="313">
        <f t="shared" si="73"/>
        <v>0.2</v>
      </c>
      <c r="R463" s="1124">
        <f t="shared" si="74"/>
        <v>0</v>
      </c>
      <c r="S463" s="698">
        <f t="shared" si="65"/>
        <v>0</v>
      </c>
    </row>
    <row r="464" spans="1:19">
      <c r="A464" s="491"/>
      <c r="B464" s="348"/>
      <c r="C464" s="313">
        <f t="shared" si="66"/>
        <v>1</v>
      </c>
      <c r="D464" s="1128"/>
      <c r="E464" s="313">
        <f t="shared" si="67"/>
        <v>0.05</v>
      </c>
      <c r="F464" s="1128"/>
      <c r="G464" s="313">
        <f t="shared" si="68"/>
        <v>0.1</v>
      </c>
      <c r="H464" s="1128"/>
      <c r="I464" s="313">
        <f t="shared" si="69"/>
        <v>1</v>
      </c>
      <c r="J464" s="1128"/>
      <c r="K464" s="313">
        <f t="shared" si="70"/>
        <v>1</v>
      </c>
      <c r="L464" s="1128"/>
      <c r="M464" s="313">
        <f t="shared" si="71"/>
        <v>1</v>
      </c>
      <c r="N464" s="1128"/>
      <c r="O464" s="313">
        <f t="shared" si="72"/>
        <v>1</v>
      </c>
      <c r="P464" s="1128"/>
      <c r="Q464" s="313">
        <f t="shared" si="73"/>
        <v>0.2</v>
      </c>
      <c r="R464" s="1124">
        <f t="shared" si="74"/>
        <v>0</v>
      </c>
      <c r="S464" s="698">
        <f t="shared" si="65"/>
        <v>0</v>
      </c>
    </row>
    <row r="465" spans="1:19">
      <c r="A465" s="491"/>
      <c r="B465" s="348"/>
      <c r="C465" s="313">
        <f t="shared" si="66"/>
        <v>1</v>
      </c>
      <c r="D465" s="1128"/>
      <c r="E465" s="313">
        <f t="shared" si="67"/>
        <v>0.05</v>
      </c>
      <c r="F465" s="1128"/>
      <c r="G465" s="313">
        <f t="shared" si="68"/>
        <v>0.1</v>
      </c>
      <c r="H465" s="1128"/>
      <c r="I465" s="313">
        <f t="shared" si="69"/>
        <v>1</v>
      </c>
      <c r="J465" s="1128"/>
      <c r="K465" s="313">
        <f t="shared" si="70"/>
        <v>1</v>
      </c>
      <c r="L465" s="1128"/>
      <c r="M465" s="313">
        <f t="shared" si="71"/>
        <v>1</v>
      </c>
      <c r="N465" s="1128"/>
      <c r="O465" s="313">
        <f t="shared" si="72"/>
        <v>1</v>
      </c>
      <c r="P465" s="1128"/>
      <c r="Q465" s="313">
        <f t="shared" si="73"/>
        <v>0.2</v>
      </c>
      <c r="R465" s="1124">
        <f t="shared" si="74"/>
        <v>0</v>
      </c>
      <c r="S465" s="698">
        <f t="shared" si="65"/>
        <v>0</v>
      </c>
    </row>
    <row r="466" spans="1:19">
      <c r="A466" s="491"/>
      <c r="B466" s="348"/>
      <c r="C466" s="313">
        <f t="shared" si="66"/>
        <v>1</v>
      </c>
      <c r="D466" s="1128"/>
      <c r="E466" s="313">
        <f t="shared" si="67"/>
        <v>0.05</v>
      </c>
      <c r="F466" s="1128"/>
      <c r="G466" s="313">
        <f t="shared" si="68"/>
        <v>0.1</v>
      </c>
      <c r="H466" s="1128"/>
      <c r="I466" s="313">
        <f t="shared" si="69"/>
        <v>1</v>
      </c>
      <c r="J466" s="1128"/>
      <c r="K466" s="313">
        <f t="shared" si="70"/>
        <v>1</v>
      </c>
      <c r="L466" s="1128"/>
      <c r="M466" s="313">
        <f t="shared" si="71"/>
        <v>1</v>
      </c>
      <c r="N466" s="1128"/>
      <c r="O466" s="313">
        <f t="shared" si="72"/>
        <v>1</v>
      </c>
      <c r="P466" s="1128"/>
      <c r="Q466" s="313">
        <f t="shared" si="73"/>
        <v>0.2</v>
      </c>
      <c r="R466" s="1124">
        <f t="shared" si="74"/>
        <v>0</v>
      </c>
      <c r="S466" s="698">
        <f t="shared" si="65"/>
        <v>0</v>
      </c>
    </row>
    <row r="467" spans="1:19">
      <c r="A467" s="491"/>
      <c r="B467" s="348"/>
      <c r="C467" s="313">
        <f t="shared" si="66"/>
        <v>1</v>
      </c>
      <c r="D467" s="1128"/>
      <c r="E467" s="313">
        <f t="shared" si="67"/>
        <v>0.05</v>
      </c>
      <c r="F467" s="1128"/>
      <c r="G467" s="313">
        <f t="shared" si="68"/>
        <v>0.1</v>
      </c>
      <c r="H467" s="1128"/>
      <c r="I467" s="313">
        <f t="shared" si="69"/>
        <v>1</v>
      </c>
      <c r="J467" s="1128"/>
      <c r="K467" s="313">
        <f t="shared" si="70"/>
        <v>1</v>
      </c>
      <c r="L467" s="1128"/>
      <c r="M467" s="313">
        <f t="shared" si="71"/>
        <v>1</v>
      </c>
      <c r="N467" s="1128"/>
      <c r="O467" s="313">
        <f t="shared" si="72"/>
        <v>1</v>
      </c>
      <c r="P467" s="1128"/>
      <c r="Q467" s="313">
        <f t="shared" si="73"/>
        <v>0.2</v>
      </c>
      <c r="R467" s="1124">
        <f t="shared" si="74"/>
        <v>0</v>
      </c>
      <c r="S467" s="698">
        <f t="shared" si="65"/>
        <v>0</v>
      </c>
    </row>
    <row r="468" spans="1:19">
      <c r="A468" s="491"/>
      <c r="B468" s="348"/>
      <c r="C468" s="313">
        <f t="shared" si="66"/>
        <v>1</v>
      </c>
      <c r="D468" s="1128"/>
      <c r="E468" s="313">
        <f t="shared" si="67"/>
        <v>0.05</v>
      </c>
      <c r="F468" s="1128"/>
      <c r="G468" s="313">
        <f t="shared" si="68"/>
        <v>0.1</v>
      </c>
      <c r="H468" s="1128"/>
      <c r="I468" s="313">
        <f t="shared" si="69"/>
        <v>1</v>
      </c>
      <c r="J468" s="1128"/>
      <c r="K468" s="313">
        <f t="shared" si="70"/>
        <v>1</v>
      </c>
      <c r="L468" s="1128"/>
      <c r="M468" s="313">
        <f t="shared" si="71"/>
        <v>1</v>
      </c>
      <c r="N468" s="1128"/>
      <c r="O468" s="313">
        <f t="shared" si="72"/>
        <v>1</v>
      </c>
      <c r="P468" s="1128"/>
      <c r="Q468" s="313">
        <f t="shared" si="73"/>
        <v>0.2</v>
      </c>
      <c r="R468" s="1124">
        <f t="shared" si="74"/>
        <v>0</v>
      </c>
      <c r="S468" s="698">
        <f t="shared" si="65"/>
        <v>0</v>
      </c>
    </row>
    <row r="469" spans="1:19">
      <c r="A469" s="491"/>
      <c r="B469" s="348"/>
      <c r="C469" s="313">
        <f t="shared" si="66"/>
        <v>1</v>
      </c>
      <c r="D469" s="1128"/>
      <c r="E469" s="313">
        <f t="shared" si="67"/>
        <v>0.05</v>
      </c>
      <c r="F469" s="1128"/>
      <c r="G469" s="313">
        <f t="shared" si="68"/>
        <v>0.1</v>
      </c>
      <c r="H469" s="1128"/>
      <c r="I469" s="313">
        <f t="shared" si="69"/>
        <v>1</v>
      </c>
      <c r="J469" s="1128"/>
      <c r="K469" s="313">
        <f t="shared" si="70"/>
        <v>1</v>
      </c>
      <c r="L469" s="1128"/>
      <c r="M469" s="313">
        <f t="shared" si="71"/>
        <v>1</v>
      </c>
      <c r="N469" s="1128"/>
      <c r="O469" s="313">
        <f t="shared" si="72"/>
        <v>1</v>
      </c>
      <c r="P469" s="1128"/>
      <c r="Q469" s="313">
        <f t="shared" si="73"/>
        <v>0.2</v>
      </c>
      <c r="R469" s="1124">
        <f t="shared" si="74"/>
        <v>0</v>
      </c>
      <c r="S469" s="698">
        <f t="shared" si="65"/>
        <v>0</v>
      </c>
    </row>
    <row r="470" spans="1:19">
      <c r="A470" s="491"/>
      <c r="B470" s="348"/>
      <c r="C470" s="313">
        <f t="shared" si="66"/>
        <v>1</v>
      </c>
      <c r="D470" s="1128"/>
      <c r="E470" s="313">
        <f t="shared" si="67"/>
        <v>0.05</v>
      </c>
      <c r="F470" s="1128"/>
      <c r="G470" s="313">
        <f t="shared" si="68"/>
        <v>0.1</v>
      </c>
      <c r="H470" s="1128"/>
      <c r="I470" s="313">
        <f t="shared" si="69"/>
        <v>1</v>
      </c>
      <c r="J470" s="1128"/>
      <c r="K470" s="313">
        <f t="shared" si="70"/>
        <v>1</v>
      </c>
      <c r="L470" s="1128"/>
      <c r="M470" s="313">
        <f t="shared" si="71"/>
        <v>1</v>
      </c>
      <c r="N470" s="1128"/>
      <c r="O470" s="313">
        <f t="shared" si="72"/>
        <v>1</v>
      </c>
      <c r="P470" s="1128"/>
      <c r="Q470" s="313">
        <f t="shared" si="73"/>
        <v>0.2</v>
      </c>
      <c r="R470" s="1124">
        <f t="shared" si="74"/>
        <v>0</v>
      </c>
      <c r="S470" s="698">
        <f t="shared" si="65"/>
        <v>0</v>
      </c>
    </row>
    <row r="471" spans="1:19">
      <c r="A471" s="491"/>
      <c r="B471" s="348"/>
      <c r="C471" s="313">
        <f t="shared" si="66"/>
        <v>1</v>
      </c>
      <c r="D471" s="1128"/>
      <c r="E471" s="313">
        <f t="shared" si="67"/>
        <v>0.05</v>
      </c>
      <c r="F471" s="1128"/>
      <c r="G471" s="313">
        <f t="shared" si="68"/>
        <v>0.1</v>
      </c>
      <c r="H471" s="1128"/>
      <c r="I471" s="313">
        <f t="shared" si="69"/>
        <v>1</v>
      </c>
      <c r="J471" s="1128"/>
      <c r="K471" s="313">
        <f t="shared" si="70"/>
        <v>1</v>
      </c>
      <c r="L471" s="1128"/>
      <c r="M471" s="313">
        <f t="shared" si="71"/>
        <v>1</v>
      </c>
      <c r="N471" s="1128"/>
      <c r="O471" s="313">
        <f t="shared" si="72"/>
        <v>1</v>
      </c>
      <c r="P471" s="1128"/>
      <c r="Q471" s="313">
        <f t="shared" si="73"/>
        <v>0.2</v>
      </c>
      <c r="R471" s="1124">
        <f t="shared" si="74"/>
        <v>0</v>
      </c>
      <c r="S471" s="698">
        <f t="shared" si="65"/>
        <v>0</v>
      </c>
    </row>
    <row r="472" spans="1:19">
      <c r="A472" s="491"/>
      <c r="B472" s="348"/>
      <c r="C472" s="313">
        <f t="shared" si="66"/>
        <v>1</v>
      </c>
      <c r="D472" s="1128"/>
      <c r="E472" s="313">
        <f t="shared" si="67"/>
        <v>0.05</v>
      </c>
      <c r="F472" s="1128"/>
      <c r="G472" s="313">
        <f t="shared" si="68"/>
        <v>0.1</v>
      </c>
      <c r="H472" s="1128"/>
      <c r="I472" s="313">
        <f t="shared" si="69"/>
        <v>1</v>
      </c>
      <c r="J472" s="1128"/>
      <c r="K472" s="313">
        <f t="shared" si="70"/>
        <v>1</v>
      </c>
      <c r="L472" s="1128"/>
      <c r="M472" s="313">
        <f t="shared" si="71"/>
        <v>1</v>
      </c>
      <c r="N472" s="1128"/>
      <c r="O472" s="313">
        <f t="shared" si="72"/>
        <v>1</v>
      </c>
      <c r="P472" s="1128"/>
      <c r="Q472" s="313">
        <f t="shared" si="73"/>
        <v>0.2</v>
      </c>
      <c r="R472" s="1124">
        <f t="shared" si="74"/>
        <v>0</v>
      </c>
      <c r="S472" s="698">
        <f t="shared" ref="S472:S524" si="75">ROUND(R472*B472/10000,0)</f>
        <v>0</v>
      </c>
    </row>
    <row r="473" spans="1:19">
      <c r="A473" s="491"/>
      <c r="B473" s="348"/>
      <c r="C473" s="313">
        <f t="shared" si="66"/>
        <v>1</v>
      </c>
      <c r="D473" s="1128"/>
      <c r="E473" s="313">
        <f t="shared" si="67"/>
        <v>0.05</v>
      </c>
      <c r="F473" s="1128"/>
      <c r="G473" s="313">
        <f t="shared" si="68"/>
        <v>0.1</v>
      </c>
      <c r="H473" s="1128"/>
      <c r="I473" s="313">
        <f t="shared" si="69"/>
        <v>1</v>
      </c>
      <c r="J473" s="1128"/>
      <c r="K473" s="313">
        <f t="shared" si="70"/>
        <v>1</v>
      </c>
      <c r="L473" s="1128"/>
      <c r="M473" s="313">
        <f t="shared" si="71"/>
        <v>1</v>
      </c>
      <c r="N473" s="1128"/>
      <c r="O473" s="313">
        <f t="shared" si="72"/>
        <v>1</v>
      </c>
      <c r="P473" s="1128"/>
      <c r="Q473" s="313">
        <f t="shared" si="73"/>
        <v>0.2</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0.05</v>
      </c>
      <c r="F474" s="1128"/>
      <c r="G474" s="313">
        <f t="shared" ref="G474:G524" si="78">(SUMIF($7:$7,F474,$8:$8)-SUMIF($7:$7,$F$24,$8:$8)+100)/100</f>
        <v>0.1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0.2</v>
      </c>
      <c r="R474" s="1124">
        <f t="shared" ref="R474:R524" si="84">IF(B474="",0,ROUND($R$24*C474*E474*G474*I474*K474*M474*O474*Q474,0))</f>
        <v>0</v>
      </c>
      <c r="S474" s="698">
        <f t="shared" si="75"/>
        <v>0</v>
      </c>
    </row>
    <row r="475" spans="1:19">
      <c r="A475" s="491"/>
      <c r="B475" s="348"/>
      <c r="C475" s="313">
        <f t="shared" si="76"/>
        <v>1</v>
      </c>
      <c r="D475" s="1128"/>
      <c r="E475" s="313">
        <f t="shared" si="77"/>
        <v>0.05</v>
      </c>
      <c r="F475" s="1128"/>
      <c r="G475" s="313">
        <f t="shared" si="78"/>
        <v>0.1</v>
      </c>
      <c r="H475" s="1128"/>
      <c r="I475" s="313">
        <f t="shared" si="79"/>
        <v>1</v>
      </c>
      <c r="J475" s="1128"/>
      <c r="K475" s="313">
        <f t="shared" si="80"/>
        <v>1</v>
      </c>
      <c r="L475" s="1128"/>
      <c r="M475" s="313">
        <f t="shared" si="81"/>
        <v>1</v>
      </c>
      <c r="N475" s="1128"/>
      <c r="O475" s="313">
        <f t="shared" si="82"/>
        <v>1</v>
      </c>
      <c r="P475" s="1128"/>
      <c r="Q475" s="313">
        <f t="shared" si="83"/>
        <v>0.2</v>
      </c>
      <c r="R475" s="1124">
        <f t="shared" si="84"/>
        <v>0</v>
      </c>
      <c r="S475" s="698">
        <f t="shared" si="75"/>
        <v>0</v>
      </c>
    </row>
    <row r="476" spans="1:19">
      <c r="A476" s="491"/>
      <c r="B476" s="348"/>
      <c r="C476" s="313">
        <f t="shared" si="76"/>
        <v>1</v>
      </c>
      <c r="D476" s="1128"/>
      <c r="E476" s="313">
        <f t="shared" si="77"/>
        <v>0.05</v>
      </c>
      <c r="F476" s="1128"/>
      <c r="G476" s="313">
        <f t="shared" si="78"/>
        <v>0.1</v>
      </c>
      <c r="H476" s="1128"/>
      <c r="I476" s="313">
        <f t="shared" si="79"/>
        <v>1</v>
      </c>
      <c r="J476" s="1128"/>
      <c r="K476" s="313">
        <f t="shared" si="80"/>
        <v>1</v>
      </c>
      <c r="L476" s="1128"/>
      <c r="M476" s="313">
        <f t="shared" si="81"/>
        <v>1</v>
      </c>
      <c r="N476" s="1128"/>
      <c r="O476" s="313">
        <f t="shared" si="82"/>
        <v>1</v>
      </c>
      <c r="P476" s="1128"/>
      <c r="Q476" s="313">
        <f t="shared" si="83"/>
        <v>0.2</v>
      </c>
      <c r="R476" s="1124">
        <f t="shared" si="84"/>
        <v>0</v>
      </c>
      <c r="S476" s="698">
        <f t="shared" si="75"/>
        <v>0</v>
      </c>
    </row>
    <row r="477" spans="1:19">
      <c r="A477" s="491"/>
      <c r="B477" s="348"/>
      <c r="C477" s="313">
        <f t="shared" si="76"/>
        <v>1</v>
      </c>
      <c r="D477" s="1128"/>
      <c r="E477" s="313">
        <f t="shared" si="77"/>
        <v>0.05</v>
      </c>
      <c r="F477" s="1128"/>
      <c r="G477" s="313">
        <f t="shared" si="78"/>
        <v>0.1</v>
      </c>
      <c r="H477" s="1128"/>
      <c r="I477" s="313">
        <f t="shared" si="79"/>
        <v>1</v>
      </c>
      <c r="J477" s="1128"/>
      <c r="K477" s="313">
        <f t="shared" si="80"/>
        <v>1</v>
      </c>
      <c r="L477" s="1128"/>
      <c r="M477" s="313">
        <f t="shared" si="81"/>
        <v>1</v>
      </c>
      <c r="N477" s="1128"/>
      <c r="O477" s="313">
        <f t="shared" si="82"/>
        <v>1</v>
      </c>
      <c r="P477" s="1128"/>
      <c r="Q477" s="313">
        <f t="shared" si="83"/>
        <v>0.2</v>
      </c>
      <c r="R477" s="1124">
        <f t="shared" si="84"/>
        <v>0</v>
      </c>
      <c r="S477" s="698">
        <f t="shared" si="75"/>
        <v>0</v>
      </c>
    </row>
    <row r="478" spans="1:19">
      <c r="A478" s="491"/>
      <c r="B478" s="348"/>
      <c r="C478" s="313">
        <f t="shared" si="76"/>
        <v>1</v>
      </c>
      <c r="D478" s="1128"/>
      <c r="E478" s="313">
        <f t="shared" si="77"/>
        <v>0.05</v>
      </c>
      <c r="F478" s="1128"/>
      <c r="G478" s="313">
        <f t="shared" si="78"/>
        <v>0.1</v>
      </c>
      <c r="H478" s="1128"/>
      <c r="I478" s="313">
        <f t="shared" si="79"/>
        <v>1</v>
      </c>
      <c r="J478" s="1128"/>
      <c r="K478" s="313">
        <f t="shared" si="80"/>
        <v>1</v>
      </c>
      <c r="L478" s="1128"/>
      <c r="M478" s="313">
        <f t="shared" si="81"/>
        <v>1</v>
      </c>
      <c r="N478" s="1128"/>
      <c r="O478" s="313">
        <f t="shared" si="82"/>
        <v>1</v>
      </c>
      <c r="P478" s="1128"/>
      <c r="Q478" s="313">
        <f t="shared" si="83"/>
        <v>0.2</v>
      </c>
      <c r="R478" s="1124">
        <f t="shared" si="84"/>
        <v>0</v>
      </c>
      <c r="S478" s="698">
        <f t="shared" si="75"/>
        <v>0</v>
      </c>
    </row>
    <row r="479" spans="1:19">
      <c r="A479" s="491"/>
      <c r="B479" s="348"/>
      <c r="C479" s="313">
        <f t="shared" si="76"/>
        <v>1</v>
      </c>
      <c r="D479" s="1128"/>
      <c r="E479" s="313">
        <f t="shared" si="77"/>
        <v>0.05</v>
      </c>
      <c r="F479" s="1128"/>
      <c r="G479" s="313">
        <f t="shared" si="78"/>
        <v>0.1</v>
      </c>
      <c r="H479" s="1128"/>
      <c r="I479" s="313">
        <f t="shared" si="79"/>
        <v>1</v>
      </c>
      <c r="J479" s="1128"/>
      <c r="K479" s="313">
        <f t="shared" si="80"/>
        <v>1</v>
      </c>
      <c r="L479" s="1128"/>
      <c r="M479" s="313">
        <f t="shared" si="81"/>
        <v>1</v>
      </c>
      <c r="N479" s="1128"/>
      <c r="O479" s="313">
        <f t="shared" si="82"/>
        <v>1</v>
      </c>
      <c r="P479" s="1128"/>
      <c r="Q479" s="313">
        <f t="shared" si="83"/>
        <v>0.2</v>
      </c>
      <c r="R479" s="1124">
        <f t="shared" si="84"/>
        <v>0</v>
      </c>
      <c r="S479" s="698">
        <f t="shared" si="75"/>
        <v>0</v>
      </c>
    </row>
    <row r="480" spans="1:19">
      <c r="A480" s="491"/>
      <c r="B480" s="348"/>
      <c r="C480" s="313">
        <f t="shared" si="76"/>
        <v>1</v>
      </c>
      <c r="D480" s="1128"/>
      <c r="E480" s="313">
        <f t="shared" si="77"/>
        <v>0.05</v>
      </c>
      <c r="F480" s="1128"/>
      <c r="G480" s="313">
        <f t="shared" si="78"/>
        <v>0.1</v>
      </c>
      <c r="H480" s="1128"/>
      <c r="I480" s="313">
        <f t="shared" si="79"/>
        <v>1</v>
      </c>
      <c r="J480" s="1128"/>
      <c r="K480" s="313">
        <f t="shared" si="80"/>
        <v>1</v>
      </c>
      <c r="L480" s="1128"/>
      <c r="M480" s="313">
        <f t="shared" si="81"/>
        <v>1</v>
      </c>
      <c r="N480" s="1128"/>
      <c r="O480" s="313">
        <f t="shared" si="82"/>
        <v>1</v>
      </c>
      <c r="P480" s="1128"/>
      <c r="Q480" s="313">
        <f t="shared" si="83"/>
        <v>0.2</v>
      </c>
      <c r="R480" s="1124">
        <f t="shared" si="84"/>
        <v>0</v>
      </c>
      <c r="S480" s="698">
        <f t="shared" si="75"/>
        <v>0</v>
      </c>
    </row>
    <row r="481" spans="1:19">
      <c r="A481" s="491"/>
      <c r="B481" s="348"/>
      <c r="C481" s="313">
        <f t="shared" si="76"/>
        <v>1</v>
      </c>
      <c r="D481" s="1128"/>
      <c r="E481" s="313">
        <f t="shared" si="77"/>
        <v>0.05</v>
      </c>
      <c r="F481" s="1128"/>
      <c r="G481" s="313">
        <f t="shared" si="78"/>
        <v>0.1</v>
      </c>
      <c r="H481" s="1128"/>
      <c r="I481" s="313">
        <f t="shared" si="79"/>
        <v>1</v>
      </c>
      <c r="J481" s="1128"/>
      <c r="K481" s="313">
        <f t="shared" si="80"/>
        <v>1</v>
      </c>
      <c r="L481" s="1128"/>
      <c r="M481" s="313">
        <f t="shared" si="81"/>
        <v>1</v>
      </c>
      <c r="N481" s="1128"/>
      <c r="O481" s="313">
        <f t="shared" si="82"/>
        <v>1</v>
      </c>
      <c r="P481" s="1128"/>
      <c r="Q481" s="313">
        <f t="shared" si="83"/>
        <v>0.2</v>
      </c>
      <c r="R481" s="1124">
        <f t="shared" si="84"/>
        <v>0</v>
      </c>
      <c r="S481" s="698">
        <f t="shared" si="75"/>
        <v>0</v>
      </c>
    </row>
    <row r="482" spans="1:19">
      <c r="A482" s="491"/>
      <c r="B482" s="348"/>
      <c r="C482" s="313">
        <f t="shared" si="76"/>
        <v>1</v>
      </c>
      <c r="D482" s="1128"/>
      <c r="E482" s="313">
        <f t="shared" si="77"/>
        <v>0.05</v>
      </c>
      <c r="F482" s="1128"/>
      <c r="G482" s="313">
        <f t="shared" si="78"/>
        <v>0.1</v>
      </c>
      <c r="H482" s="1128"/>
      <c r="I482" s="313">
        <f t="shared" si="79"/>
        <v>1</v>
      </c>
      <c r="J482" s="1128"/>
      <c r="K482" s="313">
        <f t="shared" si="80"/>
        <v>1</v>
      </c>
      <c r="L482" s="1128"/>
      <c r="M482" s="313">
        <f t="shared" si="81"/>
        <v>1</v>
      </c>
      <c r="N482" s="1128"/>
      <c r="O482" s="313">
        <f t="shared" si="82"/>
        <v>1</v>
      </c>
      <c r="P482" s="1128"/>
      <c r="Q482" s="313">
        <f t="shared" si="83"/>
        <v>0.2</v>
      </c>
      <c r="R482" s="1124">
        <f t="shared" si="84"/>
        <v>0</v>
      </c>
      <c r="S482" s="698">
        <f t="shared" si="75"/>
        <v>0</v>
      </c>
    </row>
    <row r="483" spans="1:19">
      <c r="A483" s="491"/>
      <c r="B483" s="348"/>
      <c r="C483" s="313">
        <f t="shared" si="76"/>
        <v>1</v>
      </c>
      <c r="D483" s="1128"/>
      <c r="E483" s="313">
        <f t="shared" si="77"/>
        <v>0.05</v>
      </c>
      <c r="F483" s="1128"/>
      <c r="G483" s="313">
        <f t="shared" si="78"/>
        <v>0.1</v>
      </c>
      <c r="H483" s="1128"/>
      <c r="I483" s="313">
        <f t="shared" si="79"/>
        <v>1</v>
      </c>
      <c r="J483" s="1128"/>
      <c r="K483" s="313">
        <f t="shared" si="80"/>
        <v>1</v>
      </c>
      <c r="L483" s="1128"/>
      <c r="M483" s="313">
        <f t="shared" si="81"/>
        <v>1</v>
      </c>
      <c r="N483" s="1128"/>
      <c r="O483" s="313">
        <f t="shared" si="82"/>
        <v>1</v>
      </c>
      <c r="P483" s="1128"/>
      <c r="Q483" s="313">
        <f t="shared" si="83"/>
        <v>0.2</v>
      </c>
      <c r="R483" s="1124">
        <f t="shared" si="84"/>
        <v>0</v>
      </c>
      <c r="S483" s="698">
        <f t="shared" si="75"/>
        <v>0</v>
      </c>
    </row>
    <row r="484" spans="1:19">
      <c r="A484" s="491"/>
      <c r="B484" s="348"/>
      <c r="C484" s="313">
        <f t="shared" si="76"/>
        <v>1</v>
      </c>
      <c r="D484" s="1128"/>
      <c r="E484" s="313">
        <f t="shared" si="77"/>
        <v>0.05</v>
      </c>
      <c r="F484" s="1128"/>
      <c r="G484" s="313">
        <f t="shared" si="78"/>
        <v>0.1</v>
      </c>
      <c r="H484" s="1128"/>
      <c r="I484" s="313">
        <f t="shared" si="79"/>
        <v>1</v>
      </c>
      <c r="J484" s="1128"/>
      <c r="K484" s="313">
        <f t="shared" si="80"/>
        <v>1</v>
      </c>
      <c r="L484" s="1128"/>
      <c r="M484" s="313">
        <f t="shared" si="81"/>
        <v>1</v>
      </c>
      <c r="N484" s="1128"/>
      <c r="O484" s="313">
        <f t="shared" si="82"/>
        <v>1</v>
      </c>
      <c r="P484" s="1128"/>
      <c r="Q484" s="313">
        <f t="shared" si="83"/>
        <v>0.2</v>
      </c>
      <c r="R484" s="1124">
        <f t="shared" si="84"/>
        <v>0</v>
      </c>
      <c r="S484" s="698">
        <f t="shared" si="75"/>
        <v>0</v>
      </c>
    </row>
    <row r="485" spans="1:19">
      <c r="A485" s="491"/>
      <c r="B485" s="348"/>
      <c r="C485" s="313">
        <f t="shared" si="76"/>
        <v>1</v>
      </c>
      <c r="D485" s="1128"/>
      <c r="E485" s="313">
        <f t="shared" si="77"/>
        <v>0.05</v>
      </c>
      <c r="F485" s="1128"/>
      <c r="G485" s="313">
        <f t="shared" si="78"/>
        <v>0.1</v>
      </c>
      <c r="H485" s="1128"/>
      <c r="I485" s="313">
        <f t="shared" si="79"/>
        <v>1</v>
      </c>
      <c r="J485" s="1128"/>
      <c r="K485" s="313">
        <f t="shared" si="80"/>
        <v>1</v>
      </c>
      <c r="L485" s="1128"/>
      <c r="M485" s="313">
        <f t="shared" si="81"/>
        <v>1</v>
      </c>
      <c r="N485" s="1128"/>
      <c r="O485" s="313">
        <f t="shared" si="82"/>
        <v>1</v>
      </c>
      <c r="P485" s="1128"/>
      <c r="Q485" s="313">
        <f t="shared" si="83"/>
        <v>0.2</v>
      </c>
      <c r="R485" s="1124">
        <f t="shared" si="84"/>
        <v>0</v>
      </c>
      <c r="S485" s="698">
        <f t="shared" si="75"/>
        <v>0</v>
      </c>
    </row>
    <row r="486" spans="1:19">
      <c r="A486" s="491"/>
      <c r="B486" s="348"/>
      <c r="C486" s="313">
        <f t="shared" si="76"/>
        <v>1</v>
      </c>
      <c r="D486" s="1128"/>
      <c r="E486" s="313">
        <f t="shared" si="77"/>
        <v>0.05</v>
      </c>
      <c r="F486" s="1128"/>
      <c r="G486" s="313">
        <f t="shared" si="78"/>
        <v>0.1</v>
      </c>
      <c r="H486" s="1128"/>
      <c r="I486" s="313">
        <f t="shared" si="79"/>
        <v>1</v>
      </c>
      <c r="J486" s="1128"/>
      <c r="K486" s="313">
        <f t="shared" si="80"/>
        <v>1</v>
      </c>
      <c r="L486" s="1128"/>
      <c r="M486" s="313">
        <f t="shared" si="81"/>
        <v>1</v>
      </c>
      <c r="N486" s="1128"/>
      <c r="O486" s="313">
        <f t="shared" si="82"/>
        <v>1</v>
      </c>
      <c r="P486" s="1128"/>
      <c r="Q486" s="313">
        <f t="shared" si="83"/>
        <v>0.2</v>
      </c>
      <c r="R486" s="1124">
        <f t="shared" si="84"/>
        <v>0</v>
      </c>
      <c r="S486" s="698">
        <f t="shared" si="75"/>
        <v>0</v>
      </c>
    </row>
    <row r="487" spans="1:19">
      <c r="A487" s="491"/>
      <c r="B487" s="348"/>
      <c r="C487" s="313">
        <f t="shared" si="76"/>
        <v>1</v>
      </c>
      <c r="D487" s="1128"/>
      <c r="E487" s="313">
        <f t="shared" si="77"/>
        <v>0.05</v>
      </c>
      <c r="F487" s="1128"/>
      <c r="G487" s="313">
        <f t="shared" si="78"/>
        <v>0.1</v>
      </c>
      <c r="H487" s="1128"/>
      <c r="I487" s="313">
        <f t="shared" si="79"/>
        <v>1</v>
      </c>
      <c r="J487" s="1128"/>
      <c r="K487" s="313">
        <f t="shared" si="80"/>
        <v>1</v>
      </c>
      <c r="L487" s="1128"/>
      <c r="M487" s="313">
        <f t="shared" si="81"/>
        <v>1</v>
      </c>
      <c r="N487" s="1128"/>
      <c r="O487" s="313">
        <f t="shared" si="82"/>
        <v>1</v>
      </c>
      <c r="P487" s="1128"/>
      <c r="Q487" s="313">
        <f t="shared" si="83"/>
        <v>0.2</v>
      </c>
      <c r="R487" s="1124">
        <f t="shared" si="84"/>
        <v>0</v>
      </c>
      <c r="S487" s="698">
        <f t="shared" si="75"/>
        <v>0</v>
      </c>
    </row>
    <row r="488" spans="1:19">
      <c r="A488" s="491"/>
      <c r="B488" s="348"/>
      <c r="C488" s="313">
        <f t="shared" si="76"/>
        <v>1</v>
      </c>
      <c r="D488" s="1128"/>
      <c r="E488" s="313">
        <f t="shared" si="77"/>
        <v>0.05</v>
      </c>
      <c r="F488" s="1128"/>
      <c r="G488" s="313">
        <f t="shared" si="78"/>
        <v>0.1</v>
      </c>
      <c r="H488" s="1128"/>
      <c r="I488" s="313">
        <f t="shared" si="79"/>
        <v>1</v>
      </c>
      <c r="J488" s="1128"/>
      <c r="K488" s="313">
        <f t="shared" si="80"/>
        <v>1</v>
      </c>
      <c r="L488" s="1128"/>
      <c r="M488" s="313">
        <f t="shared" si="81"/>
        <v>1</v>
      </c>
      <c r="N488" s="1128"/>
      <c r="O488" s="313">
        <f t="shared" si="82"/>
        <v>1</v>
      </c>
      <c r="P488" s="1128"/>
      <c r="Q488" s="313">
        <f t="shared" si="83"/>
        <v>0.2</v>
      </c>
      <c r="R488" s="1124">
        <f t="shared" si="84"/>
        <v>0</v>
      </c>
      <c r="S488" s="698">
        <f t="shared" si="75"/>
        <v>0</v>
      </c>
    </row>
    <row r="489" spans="1:19">
      <c r="A489" s="491"/>
      <c r="B489" s="348"/>
      <c r="C489" s="313">
        <f t="shared" si="76"/>
        <v>1</v>
      </c>
      <c r="D489" s="1128"/>
      <c r="E489" s="313">
        <f t="shared" si="77"/>
        <v>0.05</v>
      </c>
      <c r="F489" s="1128"/>
      <c r="G489" s="313">
        <f t="shared" si="78"/>
        <v>0.1</v>
      </c>
      <c r="H489" s="1128"/>
      <c r="I489" s="313">
        <f t="shared" si="79"/>
        <v>1</v>
      </c>
      <c r="J489" s="1128"/>
      <c r="K489" s="313">
        <f t="shared" si="80"/>
        <v>1</v>
      </c>
      <c r="L489" s="1128"/>
      <c r="M489" s="313">
        <f t="shared" si="81"/>
        <v>1</v>
      </c>
      <c r="N489" s="1128"/>
      <c r="O489" s="313">
        <f t="shared" si="82"/>
        <v>1</v>
      </c>
      <c r="P489" s="1128"/>
      <c r="Q489" s="313">
        <f t="shared" si="83"/>
        <v>0.2</v>
      </c>
      <c r="R489" s="1124">
        <f t="shared" si="84"/>
        <v>0</v>
      </c>
      <c r="S489" s="698">
        <f t="shared" si="75"/>
        <v>0</v>
      </c>
    </row>
    <row r="490" spans="1:19">
      <c r="A490" s="491"/>
      <c r="B490" s="348"/>
      <c r="C490" s="313">
        <f t="shared" si="76"/>
        <v>1</v>
      </c>
      <c r="D490" s="1128"/>
      <c r="E490" s="313">
        <f t="shared" si="77"/>
        <v>0.05</v>
      </c>
      <c r="F490" s="1128"/>
      <c r="G490" s="313">
        <f t="shared" si="78"/>
        <v>0.1</v>
      </c>
      <c r="H490" s="1128"/>
      <c r="I490" s="313">
        <f t="shared" si="79"/>
        <v>1</v>
      </c>
      <c r="J490" s="1128"/>
      <c r="K490" s="313">
        <f t="shared" si="80"/>
        <v>1</v>
      </c>
      <c r="L490" s="1128"/>
      <c r="M490" s="313">
        <f t="shared" si="81"/>
        <v>1</v>
      </c>
      <c r="N490" s="1128"/>
      <c r="O490" s="313">
        <f t="shared" si="82"/>
        <v>1</v>
      </c>
      <c r="P490" s="1128"/>
      <c r="Q490" s="313">
        <f t="shared" si="83"/>
        <v>0.2</v>
      </c>
      <c r="R490" s="1124">
        <f t="shared" si="84"/>
        <v>0</v>
      </c>
      <c r="S490" s="698">
        <f t="shared" si="75"/>
        <v>0</v>
      </c>
    </row>
    <row r="491" spans="1:19">
      <c r="A491" s="491"/>
      <c r="B491" s="348"/>
      <c r="C491" s="313">
        <f t="shared" si="76"/>
        <v>1</v>
      </c>
      <c r="D491" s="1128"/>
      <c r="E491" s="313">
        <f t="shared" si="77"/>
        <v>0.05</v>
      </c>
      <c r="F491" s="1128"/>
      <c r="G491" s="313">
        <f t="shared" si="78"/>
        <v>0.1</v>
      </c>
      <c r="H491" s="1128"/>
      <c r="I491" s="313">
        <f t="shared" si="79"/>
        <v>1</v>
      </c>
      <c r="J491" s="1128"/>
      <c r="K491" s="313">
        <f t="shared" si="80"/>
        <v>1</v>
      </c>
      <c r="L491" s="1128"/>
      <c r="M491" s="313">
        <f t="shared" si="81"/>
        <v>1</v>
      </c>
      <c r="N491" s="1128"/>
      <c r="O491" s="313">
        <f t="shared" si="82"/>
        <v>1</v>
      </c>
      <c r="P491" s="1128"/>
      <c r="Q491" s="313">
        <f t="shared" si="83"/>
        <v>0.2</v>
      </c>
      <c r="R491" s="1124">
        <f t="shared" si="84"/>
        <v>0</v>
      </c>
      <c r="S491" s="698">
        <f t="shared" si="75"/>
        <v>0</v>
      </c>
    </row>
    <row r="492" spans="1:19">
      <c r="A492" s="491"/>
      <c r="B492" s="348"/>
      <c r="C492" s="313">
        <f t="shared" si="76"/>
        <v>1</v>
      </c>
      <c r="D492" s="1128"/>
      <c r="E492" s="313">
        <f t="shared" si="77"/>
        <v>0.05</v>
      </c>
      <c r="F492" s="1128"/>
      <c r="G492" s="313">
        <f t="shared" si="78"/>
        <v>0.1</v>
      </c>
      <c r="H492" s="1128"/>
      <c r="I492" s="313">
        <f t="shared" si="79"/>
        <v>1</v>
      </c>
      <c r="J492" s="1128"/>
      <c r="K492" s="313">
        <f t="shared" si="80"/>
        <v>1</v>
      </c>
      <c r="L492" s="1128"/>
      <c r="M492" s="313">
        <f t="shared" si="81"/>
        <v>1</v>
      </c>
      <c r="N492" s="1128"/>
      <c r="O492" s="313">
        <f t="shared" si="82"/>
        <v>1</v>
      </c>
      <c r="P492" s="1128"/>
      <c r="Q492" s="313">
        <f t="shared" si="83"/>
        <v>0.2</v>
      </c>
      <c r="R492" s="1124">
        <f t="shared" si="84"/>
        <v>0</v>
      </c>
      <c r="S492" s="698">
        <f t="shared" si="75"/>
        <v>0</v>
      </c>
    </row>
    <row r="493" spans="1:19">
      <c r="A493" s="491"/>
      <c r="B493" s="348"/>
      <c r="C493" s="313">
        <f t="shared" si="76"/>
        <v>1</v>
      </c>
      <c r="D493" s="1128"/>
      <c r="E493" s="313">
        <f t="shared" si="77"/>
        <v>0.05</v>
      </c>
      <c r="F493" s="1128"/>
      <c r="G493" s="313">
        <f t="shared" si="78"/>
        <v>0.1</v>
      </c>
      <c r="H493" s="1128"/>
      <c r="I493" s="313">
        <f t="shared" si="79"/>
        <v>1</v>
      </c>
      <c r="J493" s="1128"/>
      <c r="K493" s="313">
        <f t="shared" si="80"/>
        <v>1</v>
      </c>
      <c r="L493" s="1128"/>
      <c r="M493" s="313">
        <f t="shared" si="81"/>
        <v>1</v>
      </c>
      <c r="N493" s="1128"/>
      <c r="O493" s="313">
        <f t="shared" si="82"/>
        <v>1</v>
      </c>
      <c r="P493" s="1128"/>
      <c r="Q493" s="313">
        <f t="shared" si="83"/>
        <v>0.2</v>
      </c>
      <c r="R493" s="1124">
        <f t="shared" si="84"/>
        <v>0</v>
      </c>
      <c r="S493" s="698">
        <f t="shared" si="75"/>
        <v>0</v>
      </c>
    </row>
    <row r="494" spans="1:19">
      <c r="A494" s="491"/>
      <c r="B494" s="348"/>
      <c r="C494" s="313">
        <f t="shared" si="76"/>
        <v>1</v>
      </c>
      <c r="D494" s="1128"/>
      <c r="E494" s="313">
        <f t="shared" si="77"/>
        <v>0.05</v>
      </c>
      <c r="F494" s="1128"/>
      <c r="G494" s="313">
        <f t="shared" si="78"/>
        <v>0.1</v>
      </c>
      <c r="H494" s="1128"/>
      <c r="I494" s="313">
        <f t="shared" si="79"/>
        <v>1</v>
      </c>
      <c r="J494" s="1128"/>
      <c r="K494" s="313">
        <f t="shared" si="80"/>
        <v>1</v>
      </c>
      <c r="L494" s="1128"/>
      <c r="M494" s="313">
        <f t="shared" si="81"/>
        <v>1</v>
      </c>
      <c r="N494" s="1128"/>
      <c r="O494" s="313">
        <f t="shared" si="82"/>
        <v>1</v>
      </c>
      <c r="P494" s="1128"/>
      <c r="Q494" s="313">
        <f t="shared" si="83"/>
        <v>0.2</v>
      </c>
      <c r="R494" s="1124">
        <f t="shared" si="84"/>
        <v>0</v>
      </c>
      <c r="S494" s="698">
        <f t="shared" si="75"/>
        <v>0</v>
      </c>
    </row>
    <row r="495" spans="1:19">
      <c r="A495" s="491"/>
      <c r="B495" s="348"/>
      <c r="C495" s="313">
        <f t="shared" si="76"/>
        <v>1</v>
      </c>
      <c r="D495" s="1128"/>
      <c r="E495" s="313">
        <f t="shared" si="77"/>
        <v>0.05</v>
      </c>
      <c r="F495" s="1128"/>
      <c r="G495" s="313">
        <f t="shared" si="78"/>
        <v>0.1</v>
      </c>
      <c r="H495" s="1128"/>
      <c r="I495" s="313">
        <f t="shared" si="79"/>
        <v>1</v>
      </c>
      <c r="J495" s="1128"/>
      <c r="K495" s="313">
        <f t="shared" si="80"/>
        <v>1</v>
      </c>
      <c r="L495" s="1128"/>
      <c r="M495" s="313">
        <f t="shared" si="81"/>
        <v>1</v>
      </c>
      <c r="N495" s="1128"/>
      <c r="O495" s="313">
        <f t="shared" si="82"/>
        <v>1</v>
      </c>
      <c r="P495" s="1128"/>
      <c r="Q495" s="313">
        <f t="shared" si="83"/>
        <v>0.2</v>
      </c>
      <c r="R495" s="1124">
        <f t="shared" si="84"/>
        <v>0</v>
      </c>
      <c r="S495" s="698">
        <f t="shared" si="75"/>
        <v>0</v>
      </c>
    </row>
    <row r="496" spans="1:19">
      <c r="A496" s="491"/>
      <c r="B496" s="348"/>
      <c r="C496" s="313">
        <f t="shared" si="76"/>
        <v>1</v>
      </c>
      <c r="D496" s="1128"/>
      <c r="E496" s="313">
        <f t="shared" si="77"/>
        <v>0.05</v>
      </c>
      <c r="F496" s="1128"/>
      <c r="G496" s="313">
        <f t="shared" si="78"/>
        <v>0.1</v>
      </c>
      <c r="H496" s="1128"/>
      <c r="I496" s="313">
        <f t="shared" si="79"/>
        <v>1</v>
      </c>
      <c r="J496" s="1128"/>
      <c r="K496" s="313">
        <f t="shared" si="80"/>
        <v>1</v>
      </c>
      <c r="L496" s="1128"/>
      <c r="M496" s="313">
        <f t="shared" si="81"/>
        <v>1</v>
      </c>
      <c r="N496" s="1128"/>
      <c r="O496" s="313">
        <f t="shared" si="82"/>
        <v>1</v>
      </c>
      <c r="P496" s="1128"/>
      <c r="Q496" s="313">
        <f t="shared" si="83"/>
        <v>0.2</v>
      </c>
      <c r="R496" s="1124">
        <f t="shared" si="84"/>
        <v>0</v>
      </c>
      <c r="S496" s="698">
        <f t="shared" si="75"/>
        <v>0</v>
      </c>
    </row>
    <row r="497" spans="1:19">
      <c r="A497" s="491"/>
      <c r="B497" s="348"/>
      <c r="C497" s="313">
        <f t="shared" si="76"/>
        <v>1</v>
      </c>
      <c r="D497" s="1128"/>
      <c r="E497" s="313">
        <f t="shared" si="77"/>
        <v>0.05</v>
      </c>
      <c r="F497" s="1128"/>
      <c r="G497" s="313">
        <f t="shared" si="78"/>
        <v>0.1</v>
      </c>
      <c r="H497" s="1128"/>
      <c r="I497" s="313">
        <f t="shared" si="79"/>
        <v>1</v>
      </c>
      <c r="J497" s="1128"/>
      <c r="K497" s="313">
        <f t="shared" si="80"/>
        <v>1</v>
      </c>
      <c r="L497" s="1128"/>
      <c r="M497" s="313">
        <f t="shared" si="81"/>
        <v>1</v>
      </c>
      <c r="N497" s="1128"/>
      <c r="O497" s="313">
        <f t="shared" si="82"/>
        <v>1</v>
      </c>
      <c r="P497" s="1128"/>
      <c r="Q497" s="313">
        <f t="shared" si="83"/>
        <v>0.2</v>
      </c>
      <c r="R497" s="1124">
        <f t="shared" si="84"/>
        <v>0</v>
      </c>
      <c r="S497" s="698">
        <f t="shared" si="75"/>
        <v>0</v>
      </c>
    </row>
    <row r="498" spans="1:19">
      <c r="A498" s="491"/>
      <c r="B498" s="348"/>
      <c r="C498" s="313">
        <f t="shared" si="76"/>
        <v>1</v>
      </c>
      <c r="D498" s="1128"/>
      <c r="E498" s="313">
        <f t="shared" si="77"/>
        <v>0.05</v>
      </c>
      <c r="F498" s="1128"/>
      <c r="G498" s="313">
        <f t="shared" si="78"/>
        <v>0.1</v>
      </c>
      <c r="H498" s="1128"/>
      <c r="I498" s="313">
        <f t="shared" si="79"/>
        <v>1</v>
      </c>
      <c r="J498" s="1128"/>
      <c r="K498" s="313">
        <f t="shared" si="80"/>
        <v>1</v>
      </c>
      <c r="L498" s="1128"/>
      <c r="M498" s="313">
        <f t="shared" si="81"/>
        <v>1</v>
      </c>
      <c r="N498" s="1128"/>
      <c r="O498" s="313">
        <f t="shared" si="82"/>
        <v>1</v>
      </c>
      <c r="P498" s="1128"/>
      <c r="Q498" s="313">
        <f t="shared" si="83"/>
        <v>0.2</v>
      </c>
      <c r="R498" s="1124">
        <f t="shared" si="84"/>
        <v>0</v>
      </c>
      <c r="S498" s="698">
        <f t="shared" si="75"/>
        <v>0</v>
      </c>
    </row>
    <row r="499" spans="1:19">
      <c r="A499" s="491"/>
      <c r="B499" s="348"/>
      <c r="C499" s="313">
        <f t="shared" si="76"/>
        <v>1</v>
      </c>
      <c r="D499" s="1128"/>
      <c r="E499" s="313">
        <f t="shared" si="77"/>
        <v>0.05</v>
      </c>
      <c r="F499" s="1128"/>
      <c r="G499" s="313">
        <f t="shared" si="78"/>
        <v>0.1</v>
      </c>
      <c r="H499" s="1128"/>
      <c r="I499" s="313">
        <f t="shared" si="79"/>
        <v>1</v>
      </c>
      <c r="J499" s="1128"/>
      <c r="K499" s="313">
        <f t="shared" si="80"/>
        <v>1</v>
      </c>
      <c r="L499" s="1128"/>
      <c r="M499" s="313">
        <f t="shared" si="81"/>
        <v>1</v>
      </c>
      <c r="N499" s="1128"/>
      <c r="O499" s="313">
        <f t="shared" si="82"/>
        <v>1</v>
      </c>
      <c r="P499" s="1128"/>
      <c r="Q499" s="313">
        <f t="shared" si="83"/>
        <v>0.2</v>
      </c>
      <c r="R499" s="1124">
        <f t="shared" si="84"/>
        <v>0</v>
      </c>
      <c r="S499" s="698">
        <f t="shared" si="75"/>
        <v>0</v>
      </c>
    </row>
    <row r="500" spans="1:19">
      <c r="A500" s="491"/>
      <c r="B500" s="348"/>
      <c r="C500" s="313">
        <f t="shared" si="76"/>
        <v>1</v>
      </c>
      <c r="D500" s="1128"/>
      <c r="E500" s="313">
        <f t="shared" si="77"/>
        <v>0.05</v>
      </c>
      <c r="F500" s="1128"/>
      <c r="G500" s="313">
        <f t="shared" si="78"/>
        <v>0.1</v>
      </c>
      <c r="H500" s="1128"/>
      <c r="I500" s="313">
        <f t="shared" si="79"/>
        <v>1</v>
      </c>
      <c r="J500" s="1128"/>
      <c r="K500" s="313">
        <f t="shared" si="80"/>
        <v>1</v>
      </c>
      <c r="L500" s="1128"/>
      <c r="M500" s="313">
        <f t="shared" si="81"/>
        <v>1</v>
      </c>
      <c r="N500" s="1128"/>
      <c r="O500" s="313">
        <f t="shared" si="82"/>
        <v>1</v>
      </c>
      <c r="P500" s="1128"/>
      <c r="Q500" s="313">
        <f t="shared" si="83"/>
        <v>0.2</v>
      </c>
      <c r="R500" s="1124">
        <f t="shared" si="84"/>
        <v>0</v>
      </c>
      <c r="S500" s="698">
        <f t="shared" si="75"/>
        <v>0</v>
      </c>
    </row>
    <row r="501" spans="1:19">
      <c r="A501" s="491"/>
      <c r="B501" s="348"/>
      <c r="C501" s="313">
        <f t="shared" si="76"/>
        <v>1</v>
      </c>
      <c r="D501" s="1128"/>
      <c r="E501" s="313">
        <f t="shared" si="77"/>
        <v>0.05</v>
      </c>
      <c r="F501" s="1128"/>
      <c r="G501" s="313">
        <f t="shared" si="78"/>
        <v>0.1</v>
      </c>
      <c r="H501" s="1128"/>
      <c r="I501" s="313">
        <f t="shared" si="79"/>
        <v>1</v>
      </c>
      <c r="J501" s="1128"/>
      <c r="K501" s="313">
        <f t="shared" si="80"/>
        <v>1</v>
      </c>
      <c r="L501" s="1128"/>
      <c r="M501" s="313">
        <f t="shared" si="81"/>
        <v>1</v>
      </c>
      <c r="N501" s="1128"/>
      <c r="O501" s="313">
        <f t="shared" si="82"/>
        <v>1</v>
      </c>
      <c r="P501" s="1128"/>
      <c r="Q501" s="313">
        <f t="shared" si="83"/>
        <v>0.2</v>
      </c>
      <c r="R501" s="1124">
        <f t="shared" si="84"/>
        <v>0</v>
      </c>
      <c r="S501" s="698">
        <f t="shared" si="75"/>
        <v>0</v>
      </c>
    </row>
    <row r="502" spans="1:19">
      <c r="A502" s="491"/>
      <c r="B502" s="348"/>
      <c r="C502" s="313">
        <f t="shared" si="76"/>
        <v>1</v>
      </c>
      <c r="D502" s="1128"/>
      <c r="E502" s="313">
        <f t="shared" si="77"/>
        <v>0.05</v>
      </c>
      <c r="F502" s="1128"/>
      <c r="G502" s="313">
        <f t="shared" si="78"/>
        <v>0.1</v>
      </c>
      <c r="H502" s="1128"/>
      <c r="I502" s="313">
        <f t="shared" si="79"/>
        <v>1</v>
      </c>
      <c r="J502" s="1128"/>
      <c r="K502" s="313">
        <f t="shared" si="80"/>
        <v>1</v>
      </c>
      <c r="L502" s="1128"/>
      <c r="M502" s="313">
        <f t="shared" si="81"/>
        <v>1</v>
      </c>
      <c r="N502" s="1128"/>
      <c r="O502" s="313">
        <f t="shared" si="82"/>
        <v>1</v>
      </c>
      <c r="P502" s="1128"/>
      <c r="Q502" s="313">
        <f t="shared" si="83"/>
        <v>0.2</v>
      </c>
      <c r="R502" s="1124">
        <f t="shared" si="84"/>
        <v>0</v>
      </c>
      <c r="S502" s="698">
        <f t="shared" si="75"/>
        <v>0</v>
      </c>
    </row>
    <row r="503" spans="1:19">
      <c r="A503" s="491"/>
      <c r="B503" s="348"/>
      <c r="C503" s="313">
        <f t="shared" si="76"/>
        <v>1</v>
      </c>
      <c r="D503" s="1128"/>
      <c r="E503" s="313">
        <f t="shared" si="77"/>
        <v>0.05</v>
      </c>
      <c r="F503" s="1128"/>
      <c r="G503" s="313">
        <f t="shared" si="78"/>
        <v>0.1</v>
      </c>
      <c r="H503" s="1128"/>
      <c r="I503" s="313">
        <f t="shared" si="79"/>
        <v>1</v>
      </c>
      <c r="J503" s="1128"/>
      <c r="K503" s="313">
        <f t="shared" si="80"/>
        <v>1</v>
      </c>
      <c r="L503" s="1128"/>
      <c r="M503" s="313">
        <f t="shared" si="81"/>
        <v>1</v>
      </c>
      <c r="N503" s="1128"/>
      <c r="O503" s="313">
        <f t="shared" si="82"/>
        <v>1</v>
      </c>
      <c r="P503" s="1128"/>
      <c r="Q503" s="313">
        <f t="shared" si="83"/>
        <v>0.2</v>
      </c>
      <c r="R503" s="1124">
        <f t="shared" si="84"/>
        <v>0</v>
      </c>
      <c r="S503" s="698">
        <f t="shared" si="75"/>
        <v>0</v>
      </c>
    </row>
    <row r="504" spans="1:19">
      <c r="A504" s="491"/>
      <c r="B504" s="348"/>
      <c r="C504" s="313">
        <f t="shared" si="76"/>
        <v>1</v>
      </c>
      <c r="D504" s="1128"/>
      <c r="E504" s="313">
        <f t="shared" si="77"/>
        <v>0.05</v>
      </c>
      <c r="F504" s="1128"/>
      <c r="G504" s="313">
        <f t="shared" si="78"/>
        <v>0.1</v>
      </c>
      <c r="H504" s="1128"/>
      <c r="I504" s="313">
        <f t="shared" si="79"/>
        <v>1</v>
      </c>
      <c r="J504" s="1128"/>
      <c r="K504" s="313">
        <f t="shared" si="80"/>
        <v>1</v>
      </c>
      <c r="L504" s="1128"/>
      <c r="M504" s="313">
        <f t="shared" si="81"/>
        <v>1</v>
      </c>
      <c r="N504" s="1128"/>
      <c r="O504" s="313">
        <f t="shared" si="82"/>
        <v>1</v>
      </c>
      <c r="P504" s="1128"/>
      <c r="Q504" s="313">
        <f t="shared" si="83"/>
        <v>0.2</v>
      </c>
      <c r="R504" s="1124">
        <f t="shared" si="84"/>
        <v>0</v>
      </c>
      <c r="S504" s="698">
        <f t="shared" si="75"/>
        <v>0</v>
      </c>
    </row>
    <row r="505" spans="1:19">
      <c r="A505" s="491"/>
      <c r="B505" s="348"/>
      <c r="C505" s="313">
        <f t="shared" si="76"/>
        <v>1</v>
      </c>
      <c r="D505" s="1128"/>
      <c r="E505" s="313">
        <f t="shared" si="77"/>
        <v>0.05</v>
      </c>
      <c r="F505" s="1128"/>
      <c r="G505" s="313">
        <f t="shared" si="78"/>
        <v>0.1</v>
      </c>
      <c r="H505" s="1128"/>
      <c r="I505" s="313">
        <f t="shared" si="79"/>
        <v>1</v>
      </c>
      <c r="J505" s="1128"/>
      <c r="K505" s="313">
        <f t="shared" si="80"/>
        <v>1</v>
      </c>
      <c r="L505" s="1128"/>
      <c r="M505" s="313">
        <f t="shared" si="81"/>
        <v>1</v>
      </c>
      <c r="N505" s="1128"/>
      <c r="O505" s="313">
        <f t="shared" si="82"/>
        <v>1</v>
      </c>
      <c r="P505" s="1128"/>
      <c r="Q505" s="313">
        <f t="shared" si="83"/>
        <v>0.2</v>
      </c>
      <c r="R505" s="1124">
        <f t="shared" si="84"/>
        <v>0</v>
      </c>
      <c r="S505" s="698">
        <f t="shared" si="75"/>
        <v>0</v>
      </c>
    </row>
    <row r="506" spans="1:19">
      <c r="A506" s="491"/>
      <c r="B506" s="348"/>
      <c r="C506" s="313">
        <f t="shared" si="76"/>
        <v>1</v>
      </c>
      <c r="D506" s="1128"/>
      <c r="E506" s="313">
        <f t="shared" si="77"/>
        <v>0.05</v>
      </c>
      <c r="F506" s="1128"/>
      <c r="G506" s="313">
        <f t="shared" si="78"/>
        <v>0.1</v>
      </c>
      <c r="H506" s="1128"/>
      <c r="I506" s="313">
        <f t="shared" si="79"/>
        <v>1</v>
      </c>
      <c r="J506" s="1128"/>
      <c r="K506" s="313">
        <f t="shared" si="80"/>
        <v>1</v>
      </c>
      <c r="L506" s="1128"/>
      <c r="M506" s="313">
        <f t="shared" si="81"/>
        <v>1</v>
      </c>
      <c r="N506" s="1128"/>
      <c r="O506" s="313">
        <f t="shared" si="82"/>
        <v>1</v>
      </c>
      <c r="P506" s="1128"/>
      <c r="Q506" s="313">
        <f t="shared" si="83"/>
        <v>0.2</v>
      </c>
      <c r="R506" s="1124">
        <f t="shared" si="84"/>
        <v>0</v>
      </c>
      <c r="S506" s="698">
        <f t="shared" si="75"/>
        <v>0</v>
      </c>
    </row>
    <row r="507" spans="1:19">
      <c r="A507" s="491"/>
      <c r="B507" s="348"/>
      <c r="C507" s="313">
        <f t="shared" si="76"/>
        <v>1</v>
      </c>
      <c r="D507" s="1128"/>
      <c r="E507" s="313">
        <f t="shared" si="77"/>
        <v>0.05</v>
      </c>
      <c r="F507" s="1128"/>
      <c r="G507" s="313">
        <f t="shared" si="78"/>
        <v>0.1</v>
      </c>
      <c r="H507" s="1128"/>
      <c r="I507" s="313">
        <f t="shared" si="79"/>
        <v>1</v>
      </c>
      <c r="J507" s="1128"/>
      <c r="K507" s="313">
        <f t="shared" si="80"/>
        <v>1</v>
      </c>
      <c r="L507" s="1128"/>
      <c r="M507" s="313">
        <f t="shared" si="81"/>
        <v>1</v>
      </c>
      <c r="N507" s="1128"/>
      <c r="O507" s="313">
        <f t="shared" si="82"/>
        <v>1</v>
      </c>
      <c r="P507" s="1128"/>
      <c r="Q507" s="313">
        <f t="shared" si="83"/>
        <v>0.2</v>
      </c>
      <c r="R507" s="1124">
        <f t="shared" si="84"/>
        <v>0</v>
      </c>
      <c r="S507" s="698">
        <f t="shared" si="75"/>
        <v>0</v>
      </c>
    </row>
    <row r="508" spans="1:19">
      <c r="A508" s="491"/>
      <c r="B508" s="348"/>
      <c r="C508" s="313">
        <f t="shared" si="76"/>
        <v>1</v>
      </c>
      <c r="D508" s="1128"/>
      <c r="E508" s="313">
        <f t="shared" si="77"/>
        <v>0.05</v>
      </c>
      <c r="F508" s="1128"/>
      <c r="G508" s="313">
        <f t="shared" si="78"/>
        <v>0.1</v>
      </c>
      <c r="H508" s="1128"/>
      <c r="I508" s="313">
        <f t="shared" si="79"/>
        <v>1</v>
      </c>
      <c r="J508" s="1128"/>
      <c r="K508" s="313">
        <f t="shared" si="80"/>
        <v>1</v>
      </c>
      <c r="L508" s="1128"/>
      <c r="M508" s="313">
        <f t="shared" si="81"/>
        <v>1</v>
      </c>
      <c r="N508" s="1128"/>
      <c r="O508" s="313">
        <f t="shared" si="82"/>
        <v>1</v>
      </c>
      <c r="P508" s="1128"/>
      <c r="Q508" s="313">
        <f t="shared" si="83"/>
        <v>0.2</v>
      </c>
      <c r="R508" s="1124">
        <f t="shared" si="84"/>
        <v>0</v>
      </c>
      <c r="S508" s="698">
        <f t="shared" si="75"/>
        <v>0</v>
      </c>
    </row>
    <row r="509" spans="1:19">
      <c r="A509" s="491"/>
      <c r="B509" s="348"/>
      <c r="C509" s="313">
        <f t="shared" si="76"/>
        <v>1</v>
      </c>
      <c r="D509" s="1128"/>
      <c r="E509" s="313">
        <f t="shared" si="77"/>
        <v>0.05</v>
      </c>
      <c r="F509" s="1128"/>
      <c r="G509" s="313">
        <f t="shared" si="78"/>
        <v>0.1</v>
      </c>
      <c r="H509" s="1128"/>
      <c r="I509" s="313">
        <f t="shared" si="79"/>
        <v>1</v>
      </c>
      <c r="J509" s="1128"/>
      <c r="K509" s="313">
        <f t="shared" si="80"/>
        <v>1</v>
      </c>
      <c r="L509" s="1128"/>
      <c r="M509" s="313">
        <f t="shared" si="81"/>
        <v>1</v>
      </c>
      <c r="N509" s="1128"/>
      <c r="O509" s="313">
        <f t="shared" si="82"/>
        <v>1</v>
      </c>
      <c r="P509" s="1128"/>
      <c r="Q509" s="313">
        <f t="shared" si="83"/>
        <v>0.2</v>
      </c>
      <c r="R509" s="1124">
        <f t="shared" si="84"/>
        <v>0</v>
      </c>
      <c r="S509" s="698">
        <f t="shared" si="75"/>
        <v>0</v>
      </c>
    </row>
    <row r="510" spans="1:19">
      <c r="A510" s="491"/>
      <c r="B510" s="348"/>
      <c r="C510" s="313">
        <f t="shared" si="76"/>
        <v>1</v>
      </c>
      <c r="D510" s="1128"/>
      <c r="E510" s="313">
        <f t="shared" si="77"/>
        <v>0.05</v>
      </c>
      <c r="F510" s="1128"/>
      <c r="G510" s="313">
        <f t="shared" si="78"/>
        <v>0.1</v>
      </c>
      <c r="H510" s="1128"/>
      <c r="I510" s="313">
        <f t="shared" si="79"/>
        <v>1</v>
      </c>
      <c r="J510" s="1128"/>
      <c r="K510" s="313">
        <f t="shared" si="80"/>
        <v>1</v>
      </c>
      <c r="L510" s="1128"/>
      <c r="M510" s="313">
        <f t="shared" si="81"/>
        <v>1</v>
      </c>
      <c r="N510" s="1128"/>
      <c r="O510" s="313">
        <f t="shared" si="82"/>
        <v>1</v>
      </c>
      <c r="P510" s="1128"/>
      <c r="Q510" s="313">
        <f t="shared" si="83"/>
        <v>0.2</v>
      </c>
      <c r="R510" s="1124">
        <f t="shared" si="84"/>
        <v>0</v>
      </c>
      <c r="S510" s="698">
        <f t="shared" si="75"/>
        <v>0</v>
      </c>
    </row>
    <row r="511" spans="1:19">
      <c r="A511" s="491"/>
      <c r="B511" s="348"/>
      <c r="C511" s="313">
        <f t="shared" si="76"/>
        <v>1</v>
      </c>
      <c r="D511" s="1128"/>
      <c r="E511" s="313">
        <f t="shared" si="77"/>
        <v>0.05</v>
      </c>
      <c r="F511" s="1128"/>
      <c r="G511" s="313">
        <f t="shared" si="78"/>
        <v>0.1</v>
      </c>
      <c r="H511" s="1128"/>
      <c r="I511" s="313">
        <f t="shared" si="79"/>
        <v>1</v>
      </c>
      <c r="J511" s="1128"/>
      <c r="K511" s="313">
        <f t="shared" si="80"/>
        <v>1</v>
      </c>
      <c r="L511" s="1128"/>
      <c r="M511" s="313">
        <f t="shared" si="81"/>
        <v>1</v>
      </c>
      <c r="N511" s="1128"/>
      <c r="O511" s="313">
        <f t="shared" si="82"/>
        <v>1</v>
      </c>
      <c r="P511" s="1128"/>
      <c r="Q511" s="313">
        <f t="shared" si="83"/>
        <v>0.2</v>
      </c>
      <c r="R511" s="1124">
        <f t="shared" si="84"/>
        <v>0</v>
      </c>
      <c r="S511" s="698">
        <f t="shared" si="75"/>
        <v>0</v>
      </c>
    </row>
    <row r="512" spans="1:19">
      <c r="A512" s="491"/>
      <c r="B512" s="348"/>
      <c r="C512" s="313">
        <f t="shared" si="76"/>
        <v>1</v>
      </c>
      <c r="D512" s="1128"/>
      <c r="E512" s="313">
        <f t="shared" si="77"/>
        <v>0.05</v>
      </c>
      <c r="F512" s="1128"/>
      <c r="G512" s="313">
        <f t="shared" si="78"/>
        <v>0.1</v>
      </c>
      <c r="H512" s="1128"/>
      <c r="I512" s="313">
        <f t="shared" si="79"/>
        <v>1</v>
      </c>
      <c r="J512" s="1128"/>
      <c r="K512" s="313">
        <f t="shared" si="80"/>
        <v>1</v>
      </c>
      <c r="L512" s="1128"/>
      <c r="M512" s="313">
        <f t="shared" si="81"/>
        <v>1</v>
      </c>
      <c r="N512" s="1128"/>
      <c r="O512" s="313">
        <f t="shared" si="82"/>
        <v>1</v>
      </c>
      <c r="P512" s="1128"/>
      <c r="Q512" s="313">
        <f t="shared" si="83"/>
        <v>0.2</v>
      </c>
      <c r="R512" s="1124">
        <f t="shared" si="84"/>
        <v>0</v>
      </c>
      <c r="S512" s="698">
        <f t="shared" si="75"/>
        <v>0</v>
      </c>
    </row>
    <row r="513" spans="1:19">
      <c r="A513" s="491"/>
      <c r="B513" s="348"/>
      <c r="C513" s="313">
        <f t="shared" si="76"/>
        <v>1</v>
      </c>
      <c r="D513" s="1128"/>
      <c r="E513" s="313">
        <f t="shared" si="77"/>
        <v>0.05</v>
      </c>
      <c r="F513" s="1128"/>
      <c r="G513" s="313">
        <f t="shared" si="78"/>
        <v>0.1</v>
      </c>
      <c r="H513" s="1128"/>
      <c r="I513" s="313">
        <f t="shared" si="79"/>
        <v>1</v>
      </c>
      <c r="J513" s="1128"/>
      <c r="K513" s="313">
        <f t="shared" si="80"/>
        <v>1</v>
      </c>
      <c r="L513" s="1128"/>
      <c r="M513" s="313">
        <f t="shared" si="81"/>
        <v>1</v>
      </c>
      <c r="N513" s="1128"/>
      <c r="O513" s="313">
        <f t="shared" si="82"/>
        <v>1</v>
      </c>
      <c r="P513" s="1128"/>
      <c r="Q513" s="313">
        <f t="shared" si="83"/>
        <v>0.2</v>
      </c>
      <c r="R513" s="1124">
        <f t="shared" si="84"/>
        <v>0</v>
      </c>
      <c r="S513" s="698">
        <f t="shared" si="75"/>
        <v>0</v>
      </c>
    </row>
    <row r="514" spans="1:19">
      <c r="A514" s="491"/>
      <c r="B514" s="348"/>
      <c r="C514" s="313">
        <f t="shared" si="76"/>
        <v>1</v>
      </c>
      <c r="D514" s="1128"/>
      <c r="E514" s="313">
        <f t="shared" si="77"/>
        <v>0.05</v>
      </c>
      <c r="F514" s="1128"/>
      <c r="G514" s="313">
        <f t="shared" si="78"/>
        <v>0.1</v>
      </c>
      <c r="H514" s="1128"/>
      <c r="I514" s="313">
        <f t="shared" si="79"/>
        <v>1</v>
      </c>
      <c r="J514" s="1128"/>
      <c r="K514" s="313">
        <f t="shared" si="80"/>
        <v>1</v>
      </c>
      <c r="L514" s="1128"/>
      <c r="M514" s="313">
        <f t="shared" si="81"/>
        <v>1</v>
      </c>
      <c r="N514" s="1128"/>
      <c r="O514" s="313">
        <f t="shared" si="82"/>
        <v>1</v>
      </c>
      <c r="P514" s="1128"/>
      <c r="Q514" s="313">
        <f t="shared" si="83"/>
        <v>0.2</v>
      </c>
      <c r="R514" s="1124">
        <f t="shared" si="84"/>
        <v>0</v>
      </c>
      <c r="S514" s="698">
        <f t="shared" si="75"/>
        <v>0</v>
      </c>
    </row>
    <row r="515" spans="1:19">
      <c r="A515" s="491"/>
      <c r="B515" s="348"/>
      <c r="C515" s="313">
        <f t="shared" si="76"/>
        <v>1</v>
      </c>
      <c r="D515" s="1128"/>
      <c r="E515" s="313">
        <f t="shared" si="77"/>
        <v>0.05</v>
      </c>
      <c r="F515" s="1128"/>
      <c r="G515" s="313">
        <f t="shared" si="78"/>
        <v>0.1</v>
      </c>
      <c r="H515" s="1128"/>
      <c r="I515" s="313">
        <f t="shared" si="79"/>
        <v>1</v>
      </c>
      <c r="J515" s="1128"/>
      <c r="K515" s="313">
        <f t="shared" si="80"/>
        <v>1</v>
      </c>
      <c r="L515" s="1128"/>
      <c r="M515" s="313">
        <f t="shared" si="81"/>
        <v>1</v>
      </c>
      <c r="N515" s="1128"/>
      <c r="O515" s="313">
        <f t="shared" si="82"/>
        <v>1</v>
      </c>
      <c r="P515" s="1128"/>
      <c r="Q515" s="313">
        <f t="shared" si="83"/>
        <v>0.2</v>
      </c>
      <c r="R515" s="1124">
        <f t="shared" si="84"/>
        <v>0</v>
      </c>
      <c r="S515" s="698">
        <f t="shared" si="75"/>
        <v>0</v>
      </c>
    </row>
    <row r="516" spans="1:19">
      <c r="A516" s="491"/>
      <c r="B516" s="348"/>
      <c r="C516" s="313">
        <f t="shared" si="76"/>
        <v>1</v>
      </c>
      <c r="D516" s="1128"/>
      <c r="E516" s="313">
        <f t="shared" si="77"/>
        <v>0.05</v>
      </c>
      <c r="F516" s="1128"/>
      <c r="G516" s="313">
        <f t="shared" si="78"/>
        <v>0.1</v>
      </c>
      <c r="H516" s="1128"/>
      <c r="I516" s="313">
        <f t="shared" si="79"/>
        <v>1</v>
      </c>
      <c r="J516" s="1128"/>
      <c r="K516" s="313">
        <f t="shared" si="80"/>
        <v>1</v>
      </c>
      <c r="L516" s="1128"/>
      <c r="M516" s="313">
        <f t="shared" si="81"/>
        <v>1</v>
      </c>
      <c r="N516" s="1128"/>
      <c r="O516" s="313">
        <f t="shared" si="82"/>
        <v>1</v>
      </c>
      <c r="P516" s="1128"/>
      <c r="Q516" s="313">
        <f t="shared" si="83"/>
        <v>0.2</v>
      </c>
      <c r="R516" s="1124">
        <f t="shared" si="84"/>
        <v>0</v>
      </c>
      <c r="S516" s="698">
        <f t="shared" si="75"/>
        <v>0</v>
      </c>
    </row>
    <row r="517" spans="1:19">
      <c r="A517" s="491"/>
      <c r="B517" s="348"/>
      <c r="C517" s="313">
        <f t="shared" si="76"/>
        <v>1</v>
      </c>
      <c r="D517" s="1128"/>
      <c r="E517" s="313">
        <f t="shared" si="77"/>
        <v>0.05</v>
      </c>
      <c r="F517" s="1128"/>
      <c r="G517" s="313">
        <f t="shared" si="78"/>
        <v>0.1</v>
      </c>
      <c r="H517" s="1128"/>
      <c r="I517" s="313">
        <f t="shared" si="79"/>
        <v>1</v>
      </c>
      <c r="J517" s="1128"/>
      <c r="K517" s="313">
        <f t="shared" si="80"/>
        <v>1</v>
      </c>
      <c r="L517" s="1128"/>
      <c r="M517" s="313">
        <f t="shared" si="81"/>
        <v>1</v>
      </c>
      <c r="N517" s="1128"/>
      <c r="O517" s="313">
        <f t="shared" si="82"/>
        <v>1</v>
      </c>
      <c r="P517" s="1128"/>
      <c r="Q517" s="313">
        <f t="shared" si="83"/>
        <v>0.2</v>
      </c>
      <c r="R517" s="1124">
        <f t="shared" si="84"/>
        <v>0</v>
      </c>
      <c r="S517" s="698">
        <f t="shared" si="75"/>
        <v>0</v>
      </c>
    </row>
    <row r="518" spans="1:19">
      <c r="A518" s="491"/>
      <c r="B518" s="348"/>
      <c r="C518" s="313">
        <f t="shared" si="76"/>
        <v>1</v>
      </c>
      <c r="D518" s="1128"/>
      <c r="E518" s="313">
        <f t="shared" si="77"/>
        <v>0.05</v>
      </c>
      <c r="F518" s="1128"/>
      <c r="G518" s="313">
        <f t="shared" si="78"/>
        <v>0.1</v>
      </c>
      <c r="H518" s="1128"/>
      <c r="I518" s="313">
        <f t="shared" si="79"/>
        <v>1</v>
      </c>
      <c r="J518" s="1128"/>
      <c r="K518" s="313">
        <f t="shared" si="80"/>
        <v>1</v>
      </c>
      <c r="L518" s="1128"/>
      <c r="M518" s="313">
        <f t="shared" si="81"/>
        <v>1</v>
      </c>
      <c r="N518" s="1128"/>
      <c r="O518" s="313">
        <f t="shared" si="82"/>
        <v>1</v>
      </c>
      <c r="P518" s="1128"/>
      <c r="Q518" s="313">
        <f t="shared" si="83"/>
        <v>0.2</v>
      </c>
      <c r="R518" s="1124">
        <f t="shared" si="84"/>
        <v>0</v>
      </c>
      <c r="S518" s="698">
        <f t="shared" si="75"/>
        <v>0</v>
      </c>
    </row>
    <row r="519" spans="1:19">
      <c r="A519" s="491"/>
      <c r="B519" s="348"/>
      <c r="C519" s="313">
        <f t="shared" si="76"/>
        <v>1</v>
      </c>
      <c r="D519" s="1128"/>
      <c r="E519" s="313">
        <f t="shared" si="77"/>
        <v>0.05</v>
      </c>
      <c r="F519" s="1128"/>
      <c r="G519" s="313">
        <f t="shared" si="78"/>
        <v>0.1</v>
      </c>
      <c r="H519" s="1128"/>
      <c r="I519" s="313">
        <f t="shared" si="79"/>
        <v>1</v>
      </c>
      <c r="J519" s="1128"/>
      <c r="K519" s="313">
        <f t="shared" si="80"/>
        <v>1</v>
      </c>
      <c r="L519" s="1128"/>
      <c r="M519" s="313">
        <f t="shared" si="81"/>
        <v>1</v>
      </c>
      <c r="N519" s="1128"/>
      <c r="O519" s="313">
        <f t="shared" si="82"/>
        <v>1</v>
      </c>
      <c r="P519" s="1128"/>
      <c r="Q519" s="313">
        <f t="shared" si="83"/>
        <v>0.2</v>
      </c>
      <c r="R519" s="1124">
        <f t="shared" si="84"/>
        <v>0</v>
      </c>
      <c r="S519" s="698">
        <f t="shared" si="75"/>
        <v>0</v>
      </c>
    </row>
    <row r="520" spans="1:19">
      <c r="A520" s="491"/>
      <c r="B520" s="348"/>
      <c r="C520" s="313">
        <f t="shared" si="76"/>
        <v>1</v>
      </c>
      <c r="D520" s="1128"/>
      <c r="E520" s="313">
        <f t="shared" si="77"/>
        <v>0.05</v>
      </c>
      <c r="F520" s="1128"/>
      <c r="G520" s="313">
        <f t="shared" si="78"/>
        <v>0.1</v>
      </c>
      <c r="H520" s="1128"/>
      <c r="I520" s="313">
        <f t="shared" si="79"/>
        <v>1</v>
      </c>
      <c r="J520" s="1128"/>
      <c r="K520" s="313">
        <f t="shared" si="80"/>
        <v>1</v>
      </c>
      <c r="L520" s="1128"/>
      <c r="M520" s="313">
        <f t="shared" si="81"/>
        <v>1</v>
      </c>
      <c r="N520" s="1128"/>
      <c r="O520" s="313">
        <f t="shared" si="82"/>
        <v>1</v>
      </c>
      <c r="P520" s="1128"/>
      <c r="Q520" s="313">
        <f t="shared" si="83"/>
        <v>0.2</v>
      </c>
      <c r="R520" s="1124">
        <f t="shared" si="84"/>
        <v>0</v>
      </c>
      <c r="S520" s="698">
        <f t="shared" si="75"/>
        <v>0</v>
      </c>
    </row>
    <row r="521" spans="1:19">
      <c r="A521" s="491"/>
      <c r="B521" s="348"/>
      <c r="C521" s="313">
        <f t="shared" si="76"/>
        <v>1</v>
      </c>
      <c r="D521" s="1128"/>
      <c r="E521" s="313">
        <f t="shared" si="77"/>
        <v>0.05</v>
      </c>
      <c r="F521" s="1128"/>
      <c r="G521" s="313">
        <f t="shared" si="78"/>
        <v>0.1</v>
      </c>
      <c r="H521" s="1128"/>
      <c r="I521" s="313">
        <f t="shared" si="79"/>
        <v>1</v>
      </c>
      <c r="J521" s="1128"/>
      <c r="K521" s="313">
        <f t="shared" si="80"/>
        <v>1</v>
      </c>
      <c r="L521" s="1128"/>
      <c r="M521" s="313">
        <f t="shared" si="81"/>
        <v>1</v>
      </c>
      <c r="N521" s="1128"/>
      <c r="O521" s="313">
        <f t="shared" si="82"/>
        <v>1</v>
      </c>
      <c r="P521" s="1128"/>
      <c r="Q521" s="313">
        <f t="shared" si="83"/>
        <v>0.2</v>
      </c>
      <c r="R521" s="1124">
        <f t="shared" si="84"/>
        <v>0</v>
      </c>
      <c r="S521" s="698">
        <f t="shared" si="75"/>
        <v>0</v>
      </c>
    </row>
    <row r="522" spans="1:19">
      <c r="A522" s="491"/>
      <c r="B522" s="348"/>
      <c r="C522" s="313">
        <f t="shared" si="76"/>
        <v>1</v>
      </c>
      <c r="D522" s="1128"/>
      <c r="E522" s="313">
        <f t="shared" si="77"/>
        <v>0.05</v>
      </c>
      <c r="F522" s="1128"/>
      <c r="G522" s="313">
        <f t="shared" si="78"/>
        <v>0.1</v>
      </c>
      <c r="H522" s="1128"/>
      <c r="I522" s="313">
        <f t="shared" si="79"/>
        <v>1</v>
      </c>
      <c r="J522" s="1128"/>
      <c r="K522" s="313">
        <f t="shared" si="80"/>
        <v>1</v>
      </c>
      <c r="L522" s="1128"/>
      <c r="M522" s="313">
        <f t="shared" si="81"/>
        <v>1</v>
      </c>
      <c r="N522" s="1128"/>
      <c r="O522" s="313">
        <f t="shared" si="82"/>
        <v>1</v>
      </c>
      <c r="P522" s="1128"/>
      <c r="Q522" s="313">
        <f t="shared" si="83"/>
        <v>0.2</v>
      </c>
      <c r="R522" s="1124">
        <f t="shared" si="84"/>
        <v>0</v>
      </c>
      <c r="S522" s="698">
        <f t="shared" si="75"/>
        <v>0</v>
      </c>
    </row>
    <row r="523" spans="1:19">
      <c r="A523" s="491"/>
      <c r="B523" s="348"/>
      <c r="C523" s="313">
        <f t="shared" si="76"/>
        <v>1</v>
      </c>
      <c r="D523" s="1128"/>
      <c r="E523" s="313">
        <f t="shared" si="77"/>
        <v>0.05</v>
      </c>
      <c r="F523" s="1128"/>
      <c r="G523" s="313">
        <f t="shared" si="78"/>
        <v>0.1</v>
      </c>
      <c r="H523" s="1128"/>
      <c r="I523" s="313">
        <f t="shared" si="79"/>
        <v>1</v>
      </c>
      <c r="J523" s="1128"/>
      <c r="K523" s="313">
        <f t="shared" si="80"/>
        <v>1</v>
      </c>
      <c r="L523" s="1128"/>
      <c r="M523" s="313">
        <f t="shared" si="81"/>
        <v>1</v>
      </c>
      <c r="N523" s="1128"/>
      <c r="O523" s="313">
        <f t="shared" si="82"/>
        <v>1</v>
      </c>
      <c r="P523" s="1128"/>
      <c r="Q523" s="313">
        <f t="shared" si="83"/>
        <v>0.2</v>
      </c>
      <c r="R523" s="1124">
        <f t="shared" si="84"/>
        <v>0</v>
      </c>
      <c r="S523" s="698">
        <f t="shared" si="75"/>
        <v>0</v>
      </c>
    </row>
    <row r="524" spans="1:19">
      <c r="A524" s="491"/>
      <c r="B524" s="348"/>
      <c r="C524" s="313">
        <f t="shared" si="76"/>
        <v>1</v>
      </c>
      <c r="D524" s="1128"/>
      <c r="E524" s="313">
        <f t="shared" si="77"/>
        <v>0.05</v>
      </c>
      <c r="F524" s="1128"/>
      <c r="G524" s="313">
        <f t="shared" si="78"/>
        <v>0.1</v>
      </c>
      <c r="H524" s="1128"/>
      <c r="I524" s="313">
        <f t="shared" si="79"/>
        <v>1</v>
      </c>
      <c r="J524" s="1128"/>
      <c r="K524" s="313">
        <f t="shared" si="80"/>
        <v>1</v>
      </c>
      <c r="L524" s="1128"/>
      <c r="M524" s="313">
        <f t="shared" si="81"/>
        <v>1</v>
      </c>
      <c r="N524" s="1128"/>
      <c r="O524" s="313">
        <f t="shared" si="82"/>
        <v>1</v>
      </c>
      <c r="P524" s="1128"/>
      <c r="Q524" s="313">
        <f t="shared" si="83"/>
        <v>0.2</v>
      </c>
      <c r="R524" s="1124">
        <f t="shared" si="84"/>
        <v>0</v>
      </c>
      <c r="S524" s="698">
        <f t="shared" si="75"/>
        <v>0</v>
      </c>
    </row>
  </sheetData>
  <sheetProtection password="C66D" sheet="1" objects="1" scenarios="1" formatCells="0" formatColumns="0" formatRows="0"/>
  <mergeCells count="2">
    <mergeCell ref="C1:S1"/>
    <mergeCell ref="C22:Q22"/>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34613</v>
      </c>
      <c r="C2" s="85" t="s">
        <v>867</v>
      </c>
      <c r="D2" s="575"/>
      <c r="E2" s="575"/>
      <c r="F2" s="575"/>
      <c r="G2" s="575"/>
    </row>
    <row r="3" spans="1:7" s="576" customFormat="1" ht="18" customHeight="1" thickBot="1">
      <c r="A3" s="579" t="s">
        <v>819</v>
      </c>
      <c r="B3" s="580">
        <f ca="1">ROUND(B2*10000/'数据-汇总表'!E3,0)</f>
        <v>11057</v>
      </c>
      <c r="C3" s="85" t="s">
        <v>868</v>
      </c>
      <c r="D3" s="575"/>
      <c r="E3" s="575"/>
      <c r="F3" s="575"/>
      <c r="G3" s="575"/>
    </row>
    <row r="4" spans="1:7" s="584" customFormat="1" ht="15.75">
      <c r="A4" s="581" t="s">
        <v>820</v>
      </c>
      <c r="B4" s="582"/>
      <c r="C4" s="582"/>
      <c r="D4" s="582"/>
      <c r="E4" s="582"/>
      <c r="F4" s="582"/>
      <c r="G4" s="583"/>
    </row>
    <row r="5" spans="1:7" s="590" customFormat="1" ht="13.5" customHeight="1">
      <c r="A5" s="631" t="s">
        <v>2513</v>
      </c>
      <c r="B5" s="586" t="s">
        <v>821</v>
      </c>
      <c r="C5" s="587">
        <f>C6+C7+C8</f>
        <v>20610</v>
      </c>
      <c r="D5" s="587" t="s">
        <v>822</v>
      </c>
      <c r="E5" s="588" t="s">
        <v>823</v>
      </c>
      <c r="F5" s="588" t="s">
        <v>824</v>
      </c>
      <c r="G5" s="589"/>
    </row>
    <row r="6" spans="1:7" s="590" customFormat="1" ht="13.5" customHeight="1">
      <c r="A6" s="1800" t="s">
        <v>1923</v>
      </c>
      <c r="B6" s="591" t="s">
        <v>825</v>
      </c>
      <c r="C6" s="592">
        <v>20000</v>
      </c>
      <c r="D6" s="593"/>
      <c r="E6" s="594"/>
      <c r="F6" s="594"/>
      <c r="G6" s="595"/>
    </row>
    <row r="7" spans="1:7" s="590" customFormat="1" ht="13.5" customHeight="1">
      <c r="A7" s="1800" t="s">
        <v>1924</v>
      </c>
      <c r="B7" s="591" t="s">
        <v>347</v>
      </c>
      <c r="C7" s="596">
        <f>ROUND(C6*F7,0)</f>
        <v>610</v>
      </c>
      <c r="D7" s="596"/>
      <c r="E7" s="594"/>
      <c r="F7" s="597">
        <f>'数据-取费表'!B48+'数据-取费表'!B49</f>
        <v>3.0499999999999999E-2</v>
      </c>
      <c r="G7" s="595"/>
    </row>
    <row r="8" spans="1:7" s="599" customFormat="1">
      <c r="A8" s="1800" t="s">
        <v>1925</v>
      </c>
      <c r="B8" s="591" t="s">
        <v>826</v>
      </c>
      <c r="C8" s="596" t="str">
        <f>IF(G8="已包含在土地购买价格中","0",'数据-取费表'!B29)</f>
        <v>0</v>
      </c>
      <c r="D8" s="598"/>
      <c r="E8" s="596"/>
      <c r="F8" s="597"/>
      <c r="G8" s="84" t="s">
        <v>2690</v>
      </c>
    </row>
    <row r="9" spans="1:7" s="590" customFormat="1" ht="13.5" customHeight="1">
      <c r="A9" s="1801" t="s">
        <v>1932</v>
      </c>
      <c r="B9" s="600" t="s">
        <v>827</v>
      </c>
      <c r="C9" s="601">
        <f>ROUND(D9*E9/10000,0)</f>
        <v>0</v>
      </c>
      <c r="D9" s="1905">
        <f>'数据-汇总表'!E5</f>
        <v>0</v>
      </c>
      <c r="E9" s="601">
        <f>'数据-取费表'!B27</f>
        <v>0</v>
      </c>
      <c r="F9" s="597"/>
      <c r="G9" s="602"/>
    </row>
    <row r="10" spans="1:7" s="590" customFormat="1" ht="13.5" customHeight="1">
      <c r="A10" s="1801" t="s">
        <v>1933</v>
      </c>
      <c r="B10" s="600" t="s">
        <v>828</v>
      </c>
      <c r="C10" s="601">
        <f>ROUND(D10*E10/10000,0)</f>
        <v>344</v>
      </c>
      <c r="D10" s="1905">
        <f>'数据-汇总表'!E6</f>
        <v>31303.89</v>
      </c>
      <c r="E10" s="601">
        <f>'数据-取费表'!B28</f>
        <v>110</v>
      </c>
      <c r="F10" s="597"/>
      <c r="G10" s="602"/>
    </row>
    <row r="11" spans="1:7" s="590" customFormat="1" ht="13.5" hidden="1" customHeight="1">
      <c r="A11" s="603" t="s">
        <v>42</v>
      </c>
      <c r="B11" s="591" t="s">
        <v>829</v>
      </c>
      <c r="C11" s="587"/>
      <c r="D11" s="1907"/>
      <c r="E11" s="594"/>
      <c r="F11" s="594"/>
      <c r="G11" s="595"/>
    </row>
    <row r="12" spans="1:7" s="590" customFormat="1" ht="13.5" hidden="1" customHeight="1">
      <c r="A12" s="603" t="s">
        <v>43</v>
      </c>
      <c r="B12" s="591" t="s">
        <v>830</v>
      </c>
      <c r="C12" s="587">
        <v>0</v>
      </c>
      <c r="D12" s="1907"/>
      <c r="E12" s="604"/>
      <c r="F12" s="597">
        <v>3.0499999999999999E-2</v>
      </c>
      <c r="G12" s="595"/>
    </row>
    <row r="13" spans="1:7" s="590" customFormat="1" ht="13.5" hidden="1" customHeight="1">
      <c r="A13" s="603" t="s">
        <v>44</v>
      </c>
      <c r="B13" s="591" t="s">
        <v>831</v>
      </c>
      <c r="C13" s="587"/>
      <c r="D13" s="1907"/>
      <c r="E13" s="594"/>
      <c r="F13" s="594"/>
      <c r="G13" s="595"/>
    </row>
    <row r="14" spans="1:7" s="590" customFormat="1" ht="13.5" hidden="1" customHeight="1">
      <c r="A14" s="603" t="s">
        <v>45</v>
      </c>
      <c r="B14" s="591" t="s">
        <v>826</v>
      </c>
      <c r="C14" s="587"/>
      <c r="D14" s="1907"/>
      <c r="E14" s="594"/>
      <c r="F14" s="594"/>
      <c r="G14" s="595" t="s">
        <v>832</v>
      </c>
    </row>
    <row r="15" spans="1:7" s="590" customFormat="1" ht="13.5" hidden="1" customHeight="1">
      <c r="A15" s="603" t="s">
        <v>46</v>
      </c>
      <c r="B15" s="591" t="s">
        <v>833</v>
      </c>
      <c r="C15" s="596"/>
      <c r="D15" s="1907"/>
      <c r="E15" s="594"/>
      <c r="F15" s="594"/>
      <c r="G15" s="595" t="s">
        <v>834</v>
      </c>
    </row>
    <row r="16" spans="1:7"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2514</v>
      </c>
      <c r="B19" s="586" t="s">
        <v>845</v>
      </c>
      <c r="C19" s="587">
        <f>IF(G19="已包含在土地取得成本中","0",ROUND(D19*E19/10000,0))</f>
        <v>626</v>
      </c>
      <c r="D19" s="1909">
        <f>'数据-汇总表'!E3</f>
        <v>31303.89</v>
      </c>
      <c r="E19" s="587">
        <f>'数据-取费表'!B31</f>
        <v>200</v>
      </c>
      <c r="F19" s="607"/>
      <c r="G19" s="84" t="s">
        <v>2536</v>
      </c>
    </row>
    <row r="20" spans="1:7" s="590" customFormat="1" ht="13.5" customHeight="1">
      <c r="A20" s="1799" t="s">
        <v>2516</v>
      </c>
      <c r="B20" s="586" t="s">
        <v>838</v>
      </c>
      <c r="C20" s="608">
        <f>ROUND((C5+C19)*F20,0)</f>
        <v>319</v>
      </c>
      <c r="D20" s="608"/>
      <c r="E20" s="608"/>
      <c r="F20" s="609">
        <f>'数据-取费表'!B37</f>
        <v>1.4999999999999999E-2</v>
      </c>
      <c r="G20" s="2617" t="s">
        <v>2527</v>
      </c>
    </row>
    <row r="21" spans="1:7" s="590" customFormat="1" ht="13.5" customHeight="1">
      <c r="A21" s="1799" t="s">
        <v>2518</v>
      </c>
      <c r="B21" s="586" t="s">
        <v>839</v>
      </c>
      <c r="C21" s="611">
        <f>F21</f>
        <v>0.01</v>
      </c>
      <c r="D21" s="612" t="s">
        <v>860</v>
      </c>
      <c r="E21" s="608"/>
      <c r="F21" s="609">
        <f>'数据-取费表'!B38</f>
        <v>0.01</v>
      </c>
      <c r="G21" s="610" t="s">
        <v>840</v>
      </c>
    </row>
    <row r="22" spans="1:7" s="590" customFormat="1" ht="13.5" customHeight="1">
      <c r="A22" s="1799" t="s">
        <v>1918</v>
      </c>
      <c r="B22" s="586" t="s">
        <v>841</v>
      </c>
      <c r="C22" s="2696">
        <f ca="1">ROUND(SUM(C23:C25),0)</f>
        <v>2631</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1926</v>
      </c>
      <c r="B23" s="591" t="s">
        <v>2520</v>
      </c>
      <c r="C23" s="2697">
        <f ca="1">ROUND(IF('数据-取费表'!B22&lt;=1,C5*F22*'数据-取费表'!B23,C5*(POWER((1+F22),'数据-取费表'!B23)-1)),0)</f>
        <v>2535</v>
      </c>
      <c r="D23" s="614"/>
      <c r="E23" s="614"/>
      <c r="F23" s="615"/>
      <c r="G23" s="616" t="s">
        <v>842</v>
      </c>
    </row>
    <row r="24" spans="1:7" s="590" customFormat="1" ht="13.5" customHeight="1">
      <c r="A24" s="1802" t="s">
        <v>1924</v>
      </c>
      <c r="B24" s="591" t="s">
        <v>2515</v>
      </c>
      <c r="C24" s="2697">
        <f ca="1">ROUND(IF('数据-取费表'!B22&lt;=1,C19*F22*('数据-取费表'!B19/2+'数据-取费表'!B21),C19*(POWER((1+F22),('数据-取费表'!B19/2+'数据-取费表'!B21))-1)),0)</f>
        <v>77</v>
      </c>
      <c r="D24" s="614"/>
      <c r="E24" s="614"/>
      <c r="F24" s="615"/>
      <c r="G24" s="616" t="s">
        <v>843</v>
      </c>
    </row>
    <row r="25" spans="1:7" s="590" customFormat="1" ht="24">
      <c r="A25" s="1802" t="s">
        <v>1925</v>
      </c>
      <c r="B25" s="591" t="s">
        <v>2517</v>
      </c>
      <c r="C25" s="2697">
        <f ca="1">ROUND(IF('数据-取费表'!B22&lt;=1,C20*F22*'数据-取费表'!B23/2,C20*(POWER((1+F22),'数据-取费表'!B23/2)-1)),0)</f>
        <v>19</v>
      </c>
      <c r="D25" s="614"/>
      <c r="E25" s="617"/>
      <c r="F25" s="615"/>
      <c r="G25" s="618" t="s">
        <v>844</v>
      </c>
    </row>
    <row r="26" spans="1:7" s="590" customFormat="1">
      <c r="A26" s="1802" t="s">
        <v>1927</v>
      </c>
      <c r="B26" s="591" t="s">
        <v>2519</v>
      </c>
      <c r="C26" s="614">
        <f ca="1">ROUND(IF('数据-取费表'!B22&lt;=1,F21*F22*'数据-取费表'!B23/2,F21*(POWER((1+F22),'数据-取费表'!B23/2)-1)),4)</f>
        <v>5.9999999999999995E-4</v>
      </c>
      <c r="D26" s="614"/>
      <c r="E26" s="617"/>
      <c r="F26" s="615"/>
      <c r="G26" s="619"/>
    </row>
    <row r="27" spans="1:7" s="590" customFormat="1" ht="24.75">
      <c r="A27" s="1799" t="s">
        <v>1919</v>
      </c>
      <c r="B27" s="620" t="s">
        <v>846</v>
      </c>
      <c r="C27" s="621">
        <f>C28</f>
        <v>1078</v>
      </c>
      <c r="D27" s="611">
        <f>C29</f>
        <v>5.0000000000000001E-4</v>
      </c>
      <c r="E27" s="612" t="s">
        <v>860</v>
      </c>
      <c r="F27" s="622">
        <f>'数据-取费表'!Q16</f>
        <v>0.05</v>
      </c>
      <c r="G27" s="623" t="s">
        <v>2528</v>
      </c>
    </row>
    <row r="28" spans="1:7" s="590" customFormat="1" ht="13.5" customHeight="1">
      <c r="A28" s="1802" t="s">
        <v>1926</v>
      </c>
      <c r="B28" s="624" t="s">
        <v>2521</v>
      </c>
      <c r="C28" s="625">
        <f>ROUND((C5+C19+C20)*F27*'数据-取费表'!B21/'数据-取费表'!B20,0)</f>
        <v>1078</v>
      </c>
      <c r="D28" s="611"/>
      <c r="E28" s="612"/>
      <c r="F28" s="622"/>
      <c r="G28" s="623"/>
    </row>
    <row r="29" spans="1:7" s="590" customFormat="1" ht="13.5" customHeight="1">
      <c r="A29" s="1802" t="s">
        <v>1924</v>
      </c>
      <c r="B29" s="624" t="s">
        <v>2522</v>
      </c>
      <c r="C29" s="614">
        <f>ROUND(C21*F27*'数据-取费表'!B21/'数据-取费表'!B20,4)</f>
        <v>5.0000000000000001E-4</v>
      </c>
      <c r="D29" s="611"/>
      <c r="E29" s="612"/>
      <c r="F29" s="622"/>
      <c r="G29" s="623"/>
    </row>
    <row r="30" spans="1:7" s="590" customFormat="1" ht="13.5" customHeight="1">
      <c r="A30" s="1799" t="s">
        <v>1920</v>
      </c>
      <c r="B30" s="586" t="s">
        <v>348</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27004</v>
      </c>
      <c r="D31" s="606"/>
      <c r="E31" s="587"/>
      <c r="F31" s="626"/>
      <c r="G31" s="610" t="s">
        <v>2529</v>
      </c>
    </row>
    <row r="32" spans="1:7" s="584" customFormat="1" ht="15.75">
      <c r="A32" s="628" t="s">
        <v>848</v>
      </c>
      <c r="B32" s="629"/>
      <c r="C32" s="629"/>
      <c r="D32" s="629"/>
      <c r="E32" s="629"/>
      <c r="F32" s="629"/>
      <c r="G32" s="630"/>
    </row>
    <row r="33" spans="1:7" s="590" customFormat="1" ht="13.5" customHeight="1">
      <c r="A33" s="631" t="s">
        <v>1914</v>
      </c>
      <c r="B33" s="586" t="s">
        <v>849</v>
      </c>
      <c r="C33" s="632">
        <f>SUM(C34:C38)</f>
        <v>6515</v>
      </c>
      <c r="D33" s="608"/>
      <c r="E33" s="588"/>
      <c r="F33" s="617"/>
      <c r="G33" s="610"/>
    </row>
    <row r="34" spans="1:7" s="634" customFormat="1" ht="13.5" customHeight="1">
      <c r="A34" s="1802" t="s">
        <v>1926</v>
      </c>
      <c r="B34" s="591" t="s">
        <v>349</v>
      </c>
      <c r="C34" s="596">
        <f>IF(F34=100%,'数据-取费表'!M16-SUMIF('数据-取费表'!C:C,"公共配套",'数据-取费表'!M:M),'数据-取费表'!O16-SUMIF('数据-取费表'!C:C,"公共配套",'数据-取费表'!O:O))</f>
        <v>5635</v>
      </c>
      <c r="D34" s="593"/>
      <c r="E34" s="596"/>
      <c r="F34" s="633">
        <f>IF('数据-取费表'!B24=0,1,'数据-取费表'!N16)</f>
        <v>1</v>
      </c>
      <c r="G34" s="595" t="s">
        <v>850</v>
      </c>
    </row>
    <row r="35" spans="1:7" ht="13.5" customHeight="1">
      <c r="A35" s="1802" t="s">
        <v>1928</v>
      </c>
      <c r="B35" s="591" t="s">
        <v>350</v>
      </c>
      <c r="C35" s="596">
        <f>ROUND(C34*F35,0)</f>
        <v>169</v>
      </c>
      <c r="D35" s="596"/>
      <c r="E35" s="596"/>
      <c r="F35" s="635">
        <f>'数据-取费表'!B33</f>
        <v>0.03</v>
      </c>
      <c r="G35" s="595" t="s">
        <v>851</v>
      </c>
    </row>
    <row r="36" spans="1:7" ht="24">
      <c r="A36" s="1802" t="s">
        <v>1929</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2" t="s">
        <v>1930</v>
      </c>
      <c r="B37" s="591" t="s">
        <v>852</v>
      </c>
      <c r="C37" s="625">
        <f>ROUND(E37*D37*F34/10000,0)</f>
        <v>626</v>
      </c>
      <c r="D37" s="593">
        <f>'数据-汇总表'!E3</f>
        <v>31303.89</v>
      </c>
      <c r="E37" s="625">
        <f>'数据-取费表'!B35</f>
        <v>200</v>
      </c>
      <c r="F37" s="635"/>
      <c r="G37" s="637" t="s">
        <v>853</v>
      </c>
    </row>
    <row r="38" spans="1:7" ht="13.5" customHeight="1">
      <c r="A38" s="1802" t="s">
        <v>1931</v>
      </c>
      <c r="B38" s="591" t="s">
        <v>353</v>
      </c>
      <c r="C38" s="596">
        <f>ROUND(C34*F38,0)</f>
        <v>85</v>
      </c>
      <c r="D38" s="596"/>
      <c r="E38" s="596"/>
      <c r="F38" s="635">
        <f>'数据-取费表'!B36</f>
        <v>1.4999999999999999E-2</v>
      </c>
      <c r="G38" s="595" t="s">
        <v>851</v>
      </c>
    </row>
    <row r="39" spans="1:7" s="590" customFormat="1" ht="13.5" customHeight="1">
      <c r="A39" s="1799" t="s">
        <v>1915</v>
      </c>
      <c r="B39" s="586" t="s">
        <v>838</v>
      </c>
      <c r="C39" s="608">
        <f>ROUND(C33*F20,0)</f>
        <v>98</v>
      </c>
      <c r="D39" s="608"/>
      <c r="E39" s="608"/>
      <c r="F39" s="609"/>
      <c r="G39" s="2617" t="s">
        <v>2530</v>
      </c>
    </row>
    <row r="40" spans="1:7" s="590" customFormat="1" ht="13.5" customHeight="1">
      <c r="A40" s="1799" t="s">
        <v>1916</v>
      </c>
      <c r="B40" s="586" t="s">
        <v>839</v>
      </c>
      <c r="C40" s="638">
        <f>F21</f>
        <v>0.01</v>
      </c>
      <c r="D40" s="612" t="s">
        <v>863</v>
      </c>
      <c r="E40" s="608"/>
      <c r="F40" s="609"/>
      <c r="G40" s="610" t="s">
        <v>854</v>
      </c>
    </row>
    <row r="41" spans="1:7" s="590" customFormat="1" ht="13.5" customHeight="1">
      <c r="A41" s="1799" t="s">
        <v>1917</v>
      </c>
      <c r="B41" s="586" t="s">
        <v>841</v>
      </c>
      <c r="C41" s="608">
        <f ca="1">ROUND(SUM(C42:C43),0)</f>
        <v>395</v>
      </c>
      <c r="D41" s="611">
        <f ca="1">C44</f>
        <v>5.9999999999999995E-4</v>
      </c>
      <c r="E41" s="612" t="s">
        <v>863</v>
      </c>
      <c r="F41" s="613"/>
      <c r="G41" s="2617" t="str">
        <f>IF('数据-取费表'!B22&lt;=1,"单利计息","复利计息")</f>
        <v>复利计息</v>
      </c>
    </row>
    <row r="42" spans="1:7" ht="13.5" customHeight="1">
      <c r="A42" s="1802" t="s">
        <v>1926</v>
      </c>
      <c r="B42" s="591" t="s">
        <v>2520</v>
      </c>
      <c r="C42" s="614">
        <f ca="1">ROUND(IF('数据-取费表'!B22&lt;=1,C33*F22*'数据-取费表'!B21/2,C33*(POWER((1+F22),'数据-取费表'!B21/2)-1)),0)</f>
        <v>389</v>
      </c>
      <c r="D42" s="614"/>
      <c r="E42" s="614"/>
      <c r="F42" s="615"/>
      <c r="G42" s="3707" t="s">
        <v>855</v>
      </c>
    </row>
    <row r="43" spans="1:7" ht="13.5" customHeight="1">
      <c r="A43" s="1802" t="s">
        <v>1924</v>
      </c>
      <c r="B43" s="591" t="s">
        <v>2523</v>
      </c>
      <c r="C43" s="614">
        <f ca="1">ROUND(IF('数据-取费表'!B22&lt;=1,C39*F22*'数据-取费表'!B21/2,C39*(POWER((1+F22),'数据-取费表'!B21/2)-1)),0)</f>
        <v>6</v>
      </c>
      <c r="D43" s="614"/>
      <c r="E43" s="614"/>
      <c r="F43" s="615"/>
      <c r="G43" s="3708"/>
    </row>
    <row r="44" spans="1:7" ht="13.5" customHeight="1">
      <c r="A44" s="1802" t="s">
        <v>1925</v>
      </c>
      <c r="B44" s="591" t="s">
        <v>2525</v>
      </c>
      <c r="C44" s="614">
        <f ca="1">ROUND(IF('数据-取费表'!B22&lt;=1,C40*F22*'数据-取费表'!B21/2,C40*(POWER((1+F22),'数据-取费表'!B21/2)-1)),4)</f>
        <v>5.9999999999999995E-4</v>
      </c>
      <c r="D44" s="614"/>
      <c r="E44" s="614"/>
      <c r="F44" s="615"/>
      <c r="G44" s="3709"/>
    </row>
    <row r="45" spans="1:7" s="590" customFormat="1" ht="13.5" customHeight="1">
      <c r="A45" s="1799" t="s">
        <v>1918</v>
      </c>
      <c r="B45" s="620" t="s">
        <v>846</v>
      </c>
      <c r="C45" s="621">
        <f>C46</f>
        <v>331</v>
      </c>
      <c r="D45" s="611">
        <f>C47</f>
        <v>5.0000000000000001E-4</v>
      </c>
      <c r="E45" s="612" t="s">
        <v>863</v>
      </c>
      <c r="F45" s="622"/>
      <c r="G45" s="623" t="s">
        <v>2531</v>
      </c>
    </row>
    <row r="46" spans="1:7" s="590" customFormat="1" ht="13.5" customHeight="1">
      <c r="A46" s="1802" t="s">
        <v>1926</v>
      </c>
      <c r="B46" s="624" t="s">
        <v>2524</v>
      </c>
      <c r="C46" s="625">
        <f>ROUND((C33+C39)*F27,0)</f>
        <v>331</v>
      </c>
      <c r="D46" s="639"/>
      <c r="E46" s="612"/>
      <c r="F46" s="622"/>
      <c r="G46" s="623"/>
    </row>
    <row r="47" spans="1:7" s="590" customFormat="1" ht="13.5" customHeight="1">
      <c r="A47" s="1802" t="s">
        <v>1924</v>
      </c>
      <c r="B47" s="624" t="s">
        <v>2526</v>
      </c>
      <c r="C47" s="614">
        <f>ROUND(C40*F27,4)</f>
        <v>5.0000000000000001E-4</v>
      </c>
      <c r="D47" s="639"/>
      <c r="E47" s="612"/>
      <c r="F47" s="622"/>
      <c r="G47" s="623"/>
    </row>
    <row r="48" spans="1:7" s="590" customFormat="1" ht="13.5" customHeight="1">
      <c r="A48" s="1799" t="s">
        <v>1919</v>
      </c>
      <c r="B48" s="586" t="s">
        <v>856</v>
      </c>
      <c r="C48" s="638">
        <f>F30</f>
        <v>5.6000000000000001E-2</v>
      </c>
      <c r="D48" s="612" t="s">
        <v>864</v>
      </c>
      <c r="E48" s="608"/>
      <c r="F48" s="613"/>
      <c r="G48" s="610" t="s">
        <v>857</v>
      </c>
    </row>
    <row r="49" spans="1:7" ht="16.5" customHeight="1">
      <c r="A49" s="1799" t="s">
        <v>1920</v>
      </c>
      <c r="B49" s="586" t="s">
        <v>865</v>
      </c>
      <c r="C49" s="608">
        <f ca="1">ROUND((C33+C39+C41+C45)/(1-C40-D41-D45-C48/(1+'数据-取费表'!B42)),0)</f>
        <v>7844</v>
      </c>
      <c r="D49" s="608"/>
      <c r="E49" s="608"/>
      <c r="F49" s="640"/>
      <c r="G49" s="610" t="s">
        <v>2532</v>
      </c>
    </row>
    <row r="50" spans="1:7" s="634" customFormat="1" ht="24">
      <c r="A50" s="1799" t="s">
        <v>1921</v>
      </c>
      <c r="B50" s="586" t="s">
        <v>858</v>
      </c>
      <c r="C50" s="608"/>
      <c r="D50" s="608"/>
      <c r="E50" s="608"/>
      <c r="F50" s="640">
        <f>IF('数据-取费表'!B24=0,'数据-取费表'!N16,1)</f>
        <v>0.97</v>
      </c>
      <c r="G50" s="623" t="s">
        <v>859</v>
      </c>
    </row>
    <row r="51" spans="1:7" ht="16.5" customHeight="1">
      <c r="A51" s="1799" t="s">
        <v>1922</v>
      </c>
      <c r="B51" s="586" t="s">
        <v>866</v>
      </c>
      <c r="C51" s="608">
        <f ca="1">ROUND(C49*F50,0)</f>
        <v>7609</v>
      </c>
      <c r="D51" s="608"/>
      <c r="E51" s="608"/>
      <c r="F51" s="640"/>
      <c r="G51" s="610" t="s">
        <v>354</v>
      </c>
    </row>
    <row r="52" spans="1:7" s="584" customFormat="1" ht="16.5" thickBot="1">
      <c r="A52" s="641" t="s">
        <v>355</v>
      </c>
      <c r="B52" s="642"/>
      <c r="C52" s="643">
        <f ca="1">C31+C51</f>
        <v>34613</v>
      </c>
      <c r="D52" s="642"/>
      <c r="E52" s="642"/>
      <c r="F52" s="642"/>
      <c r="G52" s="644"/>
    </row>
    <row r="55" spans="1:7" ht="15">
      <c r="B55" s="646" t="s">
        <v>356</v>
      </c>
      <c r="C55" s="647"/>
    </row>
    <row r="56" spans="1:7">
      <c r="B56" s="649" t="s">
        <v>357</v>
      </c>
      <c r="C56" s="650">
        <f ca="1">ROUND(C51/C52,3)</f>
        <v>0.22</v>
      </c>
    </row>
    <row r="57" spans="1:7">
      <c r="B57" s="649" t="s">
        <v>358</v>
      </c>
      <c r="C57" s="651">
        <f ca="1">1-C56</f>
        <v>0.78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89" t="s">
        <v>1172</v>
      </c>
      <c r="B1" s="3789"/>
      <c r="C1" s="3789"/>
      <c r="D1" s="3789"/>
      <c r="E1" s="3789"/>
      <c r="F1" s="3789"/>
      <c r="H1" s="1516" t="s">
        <v>1173</v>
      </c>
      <c r="I1" s="1517" t="s">
        <v>1174</v>
      </c>
      <c r="J1" s="1517" t="s">
        <v>1175</v>
      </c>
      <c r="K1" s="1517" t="s">
        <v>1176</v>
      </c>
      <c r="L1" s="1517" t="s">
        <v>1177</v>
      </c>
      <c r="M1" s="1517" t="s">
        <v>1178</v>
      </c>
      <c r="N1" s="1517" t="s">
        <v>1179</v>
      </c>
      <c r="O1" s="1517" t="s">
        <v>1180</v>
      </c>
      <c r="P1" s="1517" t="s">
        <v>1181</v>
      </c>
      <c r="Q1" s="1517" t="s">
        <v>1182</v>
      </c>
      <c r="R1" s="1517" t="s">
        <v>1183</v>
      </c>
      <c r="S1" s="1518" t="s">
        <v>1184</v>
      </c>
    </row>
    <row r="2" spans="1:19" ht="14.25" thickBot="1">
      <c r="A2" s="3790" t="s">
        <v>1185</v>
      </c>
      <c r="B2" s="3790"/>
      <c r="C2" s="3790"/>
      <c r="D2" s="3790"/>
      <c r="E2" s="3790"/>
      <c r="F2" s="3790"/>
      <c r="H2" s="1519" t="s">
        <v>1186</v>
      </c>
      <c r="I2" s="1520" t="s">
        <v>1187</v>
      </c>
      <c r="J2" s="1520" t="s">
        <v>1188</v>
      </c>
      <c r="K2" s="1520" t="s">
        <v>1189</v>
      </c>
      <c r="L2" s="1520" t="s">
        <v>1190</v>
      </c>
      <c r="M2" s="1520" t="s">
        <v>1191</v>
      </c>
      <c r="N2" s="1520" t="s">
        <v>1192</v>
      </c>
      <c r="O2" s="1520" t="s">
        <v>1193</v>
      </c>
      <c r="P2" s="1520" t="s">
        <v>1194</v>
      </c>
      <c r="Q2" s="1520" t="s">
        <v>1195</v>
      </c>
      <c r="R2" s="1520" t="s">
        <v>1196</v>
      </c>
      <c r="S2" s="1520" t="s">
        <v>1197</v>
      </c>
    </row>
    <row r="3" spans="1:19" s="1515" customFormat="1" ht="19.5" customHeight="1">
      <c r="A3" s="3791" t="s">
        <v>1198</v>
      </c>
      <c r="B3" s="1521"/>
      <c r="C3" s="1522" t="s">
        <v>1199</v>
      </c>
      <c r="D3" s="1522" t="s">
        <v>1200</v>
      </c>
      <c r="E3" s="1522" t="s">
        <v>1847</v>
      </c>
      <c r="F3" s="1522" t="s">
        <v>1202</v>
      </c>
      <c r="G3" s="1523"/>
      <c r="H3" s="1519" t="s">
        <v>1203</v>
      </c>
      <c r="I3" s="1520" t="s">
        <v>1204</v>
      </c>
      <c r="J3" s="1520" t="s">
        <v>1205</v>
      </c>
      <c r="K3" s="1520" t="s">
        <v>1206</v>
      </c>
      <c r="L3" s="1520" t="s">
        <v>1207</v>
      </c>
      <c r="M3" s="1520" t="s">
        <v>1208</v>
      </c>
      <c r="N3" s="1520" t="s">
        <v>1209</v>
      </c>
      <c r="O3" s="1520" t="s">
        <v>1210</v>
      </c>
      <c r="P3" s="1520" t="s">
        <v>1211</v>
      </c>
      <c r="Q3" s="1520" t="s">
        <v>1212</v>
      </c>
      <c r="R3" s="1520" t="s">
        <v>1213</v>
      </c>
      <c r="S3" s="1520" t="s">
        <v>1214</v>
      </c>
    </row>
    <row r="4" spans="1:19" s="1515" customFormat="1" ht="19.5" customHeight="1" thickBot="1">
      <c r="A4" s="3792"/>
      <c r="B4" s="1524" t="s">
        <v>1215</v>
      </c>
      <c r="C4" s="1524" t="s">
        <v>1216</v>
      </c>
      <c r="D4" s="1524" t="s">
        <v>1216</v>
      </c>
      <c r="E4" s="1524" t="s">
        <v>1216</v>
      </c>
      <c r="F4" s="1525" t="s">
        <v>1216</v>
      </c>
      <c r="G4" s="1523"/>
      <c r="H4" s="1519" t="s">
        <v>1217</v>
      </c>
      <c r="I4" s="1520" t="s">
        <v>1140</v>
      </c>
      <c r="J4" s="1520" t="s">
        <v>1218</v>
      </c>
      <c r="K4" s="1520" t="s">
        <v>1219</v>
      </c>
      <c r="L4" s="1520" t="s">
        <v>1220</v>
      </c>
      <c r="M4" s="1520" t="s">
        <v>1221</v>
      </c>
      <c r="N4" s="1520" t="s">
        <v>1222</v>
      </c>
      <c r="O4" s="1520" t="s">
        <v>1223</v>
      </c>
      <c r="P4" s="1520" t="s">
        <v>1224</v>
      </c>
      <c r="Q4" s="1520" t="s">
        <v>1225</v>
      </c>
      <c r="R4" s="1520" t="s">
        <v>1226</v>
      </c>
      <c r="S4" s="1520" t="s">
        <v>1227</v>
      </c>
    </row>
    <row r="5" spans="1:19" ht="14.25" customHeight="1" thickBot="1">
      <c r="A5" s="1526" t="s">
        <v>1954</v>
      </c>
      <c r="B5" s="1527" t="s">
        <v>1955</v>
      </c>
      <c r="C5" s="1527">
        <v>29530</v>
      </c>
      <c r="D5" s="1527">
        <v>28130</v>
      </c>
      <c r="E5" s="1527">
        <v>27930</v>
      </c>
      <c r="F5" s="1528">
        <v>11300</v>
      </c>
      <c r="G5" s="1523"/>
      <c r="H5" s="1519" t="s">
        <v>1229</v>
      </c>
      <c r="I5" s="1520" t="s">
        <v>1230</v>
      </c>
      <c r="J5" s="1520" t="s">
        <v>1231</v>
      </c>
      <c r="K5" s="1520" t="s">
        <v>1232</v>
      </c>
      <c r="L5" s="1520" t="s">
        <v>1233</v>
      </c>
      <c r="M5" s="1520" t="s">
        <v>1234</v>
      </c>
      <c r="N5" s="1520" t="s">
        <v>1235</v>
      </c>
      <c r="O5" s="1520" t="s">
        <v>1236</v>
      </c>
      <c r="P5" s="1520" t="s">
        <v>1237</v>
      </c>
      <c r="Q5" s="1520" t="s">
        <v>1238</v>
      </c>
      <c r="R5" s="1520" t="s">
        <v>1239</v>
      </c>
      <c r="S5" s="1520" t="s">
        <v>1240</v>
      </c>
    </row>
    <row r="6" spans="1:19" ht="14.25" customHeight="1" thickBot="1">
      <c r="A6" s="1526" t="s">
        <v>1228</v>
      </c>
      <c r="B6" s="1520" t="s">
        <v>1203</v>
      </c>
      <c r="C6" s="1520">
        <v>30290</v>
      </c>
      <c r="D6" s="1520">
        <v>29210</v>
      </c>
      <c r="E6" s="1520">
        <v>28860</v>
      </c>
      <c r="F6" s="1529">
        <v>12600</v>
      </c>
      <c r="G6" s="1523"/>
      <c r="H6" s="1519" t="s">
        <v>1241</v>
      </c>
      <c r="I6" s="1520" t="s">
        <v>1242</v>
      </c>
      <c r="J6" s="1520" t="s">
        <v>1243</v>
      </c>
      <c r="K6" s="1520" t="s">
        <v>1244</v>
      </c>
      <c r="L6" s="1520" t="s">
        <v>1245</v>
      </c>
      <c r="M6" s="1520" t="s">
        <v>1246</v>
      </c>
      <c r="N6" s="1520" t="s">
        <v>1247</v>
      </c>
      <c r="O6" s="1520" t="s">
        <v>1248</v>
      </c>
      <c r="P6" s="1520" t="s">
        <v>1249</v>
      </c>
      <c r="Q6" s="1520" t="s">
        <v>1250</v>
      </c>
      <c r="R6" s="1520" t="s">
        <v>1251</v>
      </c>
      <c r="S6" s="1520" t="s">
        <v>1252</v>
      </c>
    </row>
    <row r="7" spans="1:19" ht="14.25" customHeight="1" thickBot="1">
      <c r="A7" s="1526" t="s">
        <v>1228</v>
      </c>
      <c r="B7" s="1530" t="s">
        <v>1217</v>
      </c>
      <c r="C7" s="1520">
        <v>29350</v>
      </c>
      <c r="D7" s="1520">
        <v>28410</v>
      </c>
      <c r="E7" s="1520">
        <v>27990</v>
      </c>
      <c r="F7" s="1529">
        <v>12300</v>
      </c>
      <c r="G7" s="1523"/>
      <c r="I7" s="1520" t="s">
        <v>1253</v>
      </c>
      <c r="J7" s="1520" t="s">
        <v>1254</v>
      </c>
      <c r="K7" s="1520" t="s">
        <v>1255</v>
      </c>
      <c r="L7" s="1520" t="s">
        <v>1256</v>
      </c>
      <c r="M7" s="1520" t="s">
        <v>1257</v>
      </c>
      <c r="N7" s="1520" t="s">
        <v>1258</v>
      </c>
      <c r="O7" s="1520" t="s">
        <v>1259</v>
      </c>
      <c r="P7" s="1520" t="s">
        <v>1260</v>
      </c>
      <c r="Q7" s="1520" t="s">
        <v>1261</v>
      </c>
      <c r="R7" s="1520" t="s">
        <v>1262</v>
      </c>
      <c r="S7" s="1530" t="s">
        <v>1263</v>
      </c>
    </row>
    <row r="8" spans="1:19" ht="14.25" customHeight="1" thickBot="1">
      <c r="A8" s="1526" t="s">
        <v>1228</v>
      </c>
      <c r="B8" s="1520" t="s">
        <v>1229</v>
      </c>
      <c r="C8" s="1520">
        <v>30890</v>
      </c>
      <c r="D8" s="1520">
        <v>29780</v>
      </c>
      <c r="E8" s="1520">
        <v>29270</v>
      </c>
      <c r="F8" s="1529">
        <v>11600</v>
      </c>
      <c r="G8" s="1523"/>
      <c r="I8" s="1520" t="s">
        <v>1264</v>
      </c>
      <c r="J8" s="1520" t="s">
        <v>1265</v>
      </c>
      <c r="K8" s="1520" t="s">
        <v>1266</v>
      </c>
      <c r="L8" s="1520" t="s">
        <v>1267</v>
      </c>
      <c r="M8" s="1520" t="s">
        <v>1268</v>
      </c>
      <c r="N8" s="1520" t="s">
        <v>1269</v>
      </c>
      <c r="O8" s="1520" t="s">
        <v>1270</v>
      </c>
      <c r="P8" s="1520" t="s">
        <v>1271</v>
      </c>
      <c r="Q8" s="1520" t="s">
        <v>1272</v>
      </c>
      <c r="R8" s="1520" t="s">
        <v>1273</v>
      </c>
      <c r="S8" s="1520" t="s">
        <v>1274</v>
      </c>
    </row>
    <row r="9" spans="1:19" ht="14.25" customHeight="1" thickBot="1">
      <c r="A9" s="1526" t="s">
        <v>1228</v>
      </c>
      <c r="B9" s="1531" t="s">
        <v>1241</v>
      </c>
      <c r="C9" s="1532">
        <v>28140</v>
      </c>
      <c r="D9" s="1532"/>
      <c r="E9" s="1532"/>
      <c r="F9" s="1533"/>
      <c r="G9" s="1523"/>
      <c r="I9" s="1520" t="s">
        <v>1275</v>
      </c>
      <c r="J9" s="1520" t="s">
        <v>1276</v>
      </c>
      <c r="K9" s="1520" t="s">
        <v>1277</v>
      </c>
      <c r="L9" s="1520" t="s">
        <v>1278</v>
      </c>
      <c r="M9" s="1520" t="s">
        <v>1279</v>
      </c>
      <c r="N9" s="1520" t="s">
        <v>1280</v>
      </c>
      <c r="O9" s="1520" t="s">
        <v>1281</v>
      </c>
      <c r="P9" s="1520" t="s">
        <v>1282</v>
      </c>
      <c r="Q9" s="1520" t="s">
        <v>1283</v>
      </c>
      <c r="R9" s="1520" t="s">
        <v>1284</v>
      </c>
    </row>
    <row r="10" spans="1:19" ht="14.25" customHeight="1" thickBot="1">
      <c r="A10" s="1526" t="s">
        <v>1285</v>
      </c>
      <c r="B10" s="1527" t="s">
        <v>1286</v>
      </c>
      <c r="C10" s="1527">
        <v>27450</v>
      </c>
      <c r="D10" s="1527">
        <v>26180</v>
      </c>
      <c r="E10" s="1527">
        <v>25980</v>
      </c>
      <c r="F10" s="1528">
        <v>8910</v>
      </c>
      <c r="G10" s="1523"/>
      <c r="I10" s="1520" t="s">
        <v>1287</v>
      </c>
      <c r="J10" s="1520" t="s">
        <v>1288</v>
      </c>
      <c r="K10" s="1520" t="s">
        <v>1289</v>
      </c>
      <c r="L10" s="1520" t="s">
        <v>1290</v>
      </c>
      <c r="M10" s="1520" t="s">
        <v>1291</v>
      </c>
      <c r="N10" s="1520" t="s">
        <v>1292</v>
      </c>
      <c r="O10" s="1520" t="s">
        <v>1293</v>
      </c>
      <c r="P10" s="1520" t="s">
        <v>1294</v>
      </c>
      <c r="Q10" s="1520" t="s">
        <v>1295</v>
      </c>
      <c r="R10" s="1520" t="s">
        <v>1296</v>
      </c>
    </row>
    <row r="11" spans="1:19" ht="14.25" customHeight="1" thickBot="1">
      <c r="A11" s="1526" t="s">
        <v>1285</v>
      </c>
      <c r="B11" s="1530" t="s">
        <v>1204</v>
      </c>
      <c r="C11" s="1520">
        <v>22950</v>
      </c>
      <c r="D11" s="1520">
        <v>22630</v>
      </c>
      <c r="E11" s="1520">
        <v>22030</v>
      </c>
      <c r="F11" s="1534">
        <v>8330</v>
      </c>
      <c r="G11" s="1523"/>
      <c r="I11" s="1520" t="s">
        <v>1297</v>
      </c>
      <c r="J11" s="1520" t="s">
        <v>1298</v>
      </c>
      <c r="K11" s="1520" t="s">
        <v>1299</v>
      </c>
      <c r="L11" s="1520" t="s">
        <v>1300</v>
      </c>
      <c r="M11" s="1520" t="s">
        <v>1301</v>
      </c>
      <c r="N11" s="1520" t="s">
        <v>1302</v>
      </c>
      <c r="O11" s="1520" t="s">
        <v>1303</v>
      </c>
      <c r="P11" s="1520" t="s">
        <v>1304</v>
      </c>
      <c r="Q11" s="1520" t="s">
        <v>1305</v>
      </c>
      <c r="R11" s="1520" t="s">
        <v>1306</v>
      </c>
    </row>
    <row r="12" spans="1:19" ht="14.25" customHeight="1" thickBot="1">
      <c r="A12" s="1526" t="s">
        <v>1285</v>
      </c>
      <c r="B12" s="1530" t="s">
        <v>1140</v>
      </c>
      <c r="C12" s="1520">
        <v>24940</v>
      </c>
      <c r="D12" s="1520">
        <v>23180</v>
      </c>
      <c r="E12" s="1520">
        <v>22910</v>
      </c>
      <c r="F12" s="1534">
        <v>7180</v>
      </c>
      <c r="G12" s="1523"/>
      <c r="I12" s="1520" t="s">
        <v>1307</v>
      </c>
      <c r="J12" s="1520" t="s">
        <v>1308</v>
      </c>
      <c r="K12" s="1520" t="s">
        <v>1309</v>
      </c>
      <c r="L12" s="1520" t="s">
        <v>1310</v>
      </c>
      <c r="M12" s="1520" t="s">
        <v>1311</v>
      </c>
      <c r="N12" s="1520" t="s">
        <v>1312</v>
      </c>
      <c r="O12" s="1520" t="s">
        <v>1313</v>
      </c>
      <c r="P12" s="1520" t="s">
        <v>1314</v>
      </c>
      <c r="Q12" s="1520" t="s">
        <v>1315</v>
      </c>
      <c r="R12" s="1520" t="s">
        <v>1316</v>
      </c>
    </row>
    <row r="13" spans="1:19" ht="14.25" customHeight="1" thickBot="1">
      <c r="A13" s="1526" t="s">
        <v>1285</v>
      </c>
      <c r="B13" s="1530" t="s">
        <v>1230</v>
      </c>
      <c r="C13" s="1520">
        <v>24140</v>
      </c>
      <c r="D13" s="1520">
        <v>22270</v>
      </c>
      <c r="E13" s="1520">
        <v>21950</v>
      </c>
      <c r="F13" s="1534">
        <v>7600</v>
      </c>
      <c r="G13" s="1523"/>
      <c r="I13" s="1520" t="s">
        <v>1317</v>
      </c>
      <c r="J13" s="1520" t="s">
        <v>1318</v>
      </c>
      <c r="K13" s="1520" t="s">
        <v>1319</v>
      </c>
      <c r="L13" s="1520" t="s">
        <v>1320</v>
      </c>
      <c r="M13" s="1520" t="s">
        <v>1321</v>
      </c>
      <c r="N13" s="1520" t="s">
        <v>1322</v>
      </c>
      <c r="O13" s="1520" t="s">
        <v>1323</v>
      </c>
      <c r="P13" s="1520" t="s">
        <v>1324</v>
      </c>
      <c r="Q13" s="1520" t="s">
        <v>1325</v>
      </c>
      <c r="R13" s="1520" t="s">
        <v>1326</v>
      </c>
    </row>
    <row r="14" spans="1:19" ht="14.25" customHeight="1" thickBot="1">
      <c r="A14" s="1526" t="s">
        <v>1285</v>
      </c>
      <c r="B14" s="1530" t="s">
        <v>1242</v>
      </c>
      <c r="C14" s="1520">
        <v>25600</v>
      </c>
      <c r="D14" s="1520">
        <v>22260</v>
      </c>
      <c r="E14" s="1520">
        <v>22110</v>
      </c>
      <c r="F14" s="1534">
        <v>7630</v>
      </c>
      <c r="G14" s="1523"/>
      <c r="I14" s="1520" t="s">
        <v>1327</v>
      </c>
      <c r="J14" s="1520" t="s">
        <v>1328</v>
      </c>
      <c r="K14" s="1520" t="s">
        <v>1329</v>
      </c>
      <c r="L14" s="1520" t="s">
        <v>1330</v>
      </c>
      <c r="M14" s="1520" t="s">
        <v>1331</v>
      </c>
      <c r="N14" s="1520" t="s">
        <v>1332</v>
      </c>
      <c r="O14" s="1520" t="s">
        <v>1333</v>
      </c>
      <c r="P14" s="1520" t="s">
        <v>1334</v>
      </c>
      <c r="Q14" s="1520" t="s">
        <v>1335</v>
      </c>
      <c r="R14" s="1520" t="s">
        <v>1336</v>
      </c>
    </row>
    <row r="15" spans="1:19" ht="14.25" customHeight="1" thickBot="1">
      <c r="A15" s="1526" t="s">
        <v>1285</v>
      </c>
      <c r="B15" s="1530" t="s">
        <v>1253</v>
      </c>
      <c r="C15" s="1520">
        <v>24760</v>
      </c>
      <c r="D15" s="1520">
        <v>24440</v>
      </c>
      <c r="E15" s="1520">
        <v>24130</v>
      </c>
      <c r="F15" s="1534">
        <v>9480</v>
      </c>
      <c r="G15" s="1523"/>
      <c r="I15" s="1520" t="s">
        <v>1338</v>
      </c>
      <c r="J15" s="1520" t="s">
        <v>1339</v>
      </c>
      <c r="K15" s="1520" t="s">
        <v>1340</v>
      </c>
      <c r="L15" s="1520" t="s">
        <v>1341</v>
      </c>
      <c r="M15" s="1520" t="s">
        <v>1342</v>
      </c>
      <c r="N15" s="1520" t="s">
        <v>1343</v>
      </c>
      <c r="O15" s="1520" t="s">
        <v>1344</v>
      </c>
      <c r="P15" s="1520" t="s">
        <v>1345</v>
      </c>
      <c r="Q15" s="1520" t="s">
        <v>1346</v>
      </c>
      <c r="R15" s="1520" t="s">
        <v>1347</v>
      </c>
    </row>
    <row r="16" spans="1:19" ht="14.25" customHeight="1" thickBot="1">
      <c r="A16" s="1526" t="s">
        <v>1285</v>
      </c>
      <c r="B16" s="1530" t="s">
        <v>1264</v>
      </c>
      <c r="C16" s="1520">
        <v>22220</v>
      </c>
      <c r="D16" s="1520">
        <v>22310</v>
      </c>
      <c r="E16" s="1520">
        <v>22000</v>
      </c>
      <c r="F16" s="1534">
        <v>8900</v>
      </c>
      <c r="G16" s="1523"/>
      <c r="I16" s="1520" t="s">
        <v>1349</v>
      </c>
      <c r="J16" s="1520" t="s">
        <v>1350</v>
      </c>
      <c r="K16" s="1520" t="s">
        <v>1351</v>
      </c>
      <c r="L16" s="1520" t="s">
        <v>1352</v>
      </c>
      <c r="M16" s="1520" t="s">
        <v>1353</v>
      </c>
      <c r="N16" s="1520" t="s">
        <v>1354</v>
      </c>
      <c r="O16" s="1520" t="s">
        <v>1355</v>
      </c>
      <c r="P16" s="1520" t="s">
        <v>1356</v>
      </c>
      <c r="Q16" s="1520" t="s">
        <v>1357</v>
      </c>
      <c r="R16" s="1520" t="s">
        <v>1358</v>
      </c>
    </row>
    <row r="17" spans="1:18" ht="14.25" customHeight="1" thickBot="1">
      <c r="A17" s="1526" t="s">
        <v>1285</v>
      </c>
      <c r="B17" s="1530" t="s">
        <v>1275</v>
      </c>
      <c r="C17" s="1520">
        <v>24700</v>
      </c>
      <c r="D17" s="1520">
        <v>25150</v>
      </c>
      <c r="E17" s="1520">
        <v>24700</v>
      </c>
      <c r="F17" s="1535"/>
      <c r="G17" s="1523"/>
      <c r="I17" s="1520" t="s">
        <v>1359</v>
      </c>
      <c r="J17" s="1520" t="s">
        <v>1360</v>
      </c>
      <c r="K17" s="1520" t="s">
        <v>1361</v>
      </c>
      <c r="L17" s="1520" t="s">
        <v>1362</v>
      </c>
      <c r="M17" s="1520" t="s">
        <v>1363</v>
      </c>
      <c r="N17" s="1520" t="s">
        <v>1364</v>
      </c>
      <c r="O17" s="1520" t="s">
        <v>1365</v>
      </c>
      <c r="P17" s="1520" t="s">
        <v>1366</v>
      </c>
      <c r="Q17" s="1520" t="s">
        <v>1367</v>
      </c>
      <c r="R17" s="1520" t="s">
        <v>1368</v>
      </c>
    </row>
    <row r="18" spans="1:18" ht="14.25" customHeight="1" thickBot="1">
      <c r="A18" s="1526" t="s">
        <v>1285</v>
      </c>
      <c r="B18" s="1530" t="s">
        <v>1287</v>
      </c>
      <c r="C18" s="1520">
        <v>22350</v>
      </c>
      <c r="D18" s="1520">
        <v>24340</v>
      </c>
      <c r="E18" s="1520">
        <v>24100</v>
      </c>
      <c r="F18" s="1535"/>
      <c r="G18" s="1523"/>
      <c r="I18" s="1520" t="s">
        <v>1369</v>
      </c>
      <c r="J18" s="1520" t="s">
        <v>1370</v>
      </c>
      <c r="K18" s="1520" t="s">
        <v>1371</v>
      </c>
      <c r="L18" s="1520" t="s">
        <v>1372</v>
      </c>
      <c r="M18" s="1520" t="s">
        <v>1373</v>
      </c>
      <c r="N18" s="1520" t="s">
        <v>1374</v>
      </c>
      <c r="O18" s="1520" t="s">
        <v>1375</v>
      </c>
      <c r="P18" s="1520" t="s">
        <v>1376</v>
      </c>
      <c r="Q18" s="1520" t="s">
        <v>1377</v>
      </c>
      <c r="R18" s="1520" t="s">
        <v>1378</v>
      </c>
    </row>
    <row r="19" spans="1:18" ht="14.25" customHeight="1" thickBot="1">
      <c r="A19" s="1526" t="s">
        <v>1285</v>
      </c>
      <c r="B19" s="1530" t="s">
        <v>1297</v>
      </c>
      <c r="C19" s="1520">
        <v>23430</v>
      </c>
      <c r="D19" s="1520">
        <v>21580</v>
      </c>
      <c r="E19" s="1520">
        <v>21350</v>
      </c>
      <c r="F19" s="1535"/>
      <c r="G19" s="1523"/>
      <c r="I19" s="1520" t="s">
        <v>1379</v>
      </c>
      <c r="J19" s="1520" t="s">
        <v>1380</v>
      </c>
      <c r="K19" s="1520" t="s">
        <v>1381</v>
      </c>
      <c r="L19" s="1520" t="s">
        <v>1382</v>
      </c>
      <c r="M19" s="1520" t="s">
        <v>1383</v>
      </c>
      <c r="N19" s="1520" t="s">
        <v>1384</v>
      </c>
      <c r="O19" s="1520" t="s">
        <v>1385</v>
      </c>
      <c r="P19" s="1520" t="s">
        <v>1386</v>
      </c>
      <c r="Q19" s="1520" t="s">
        <v>1387</v>
      </c>
      <c r="R19" s="1520" t="s">
        <v>1388</v>
      </c>
    </row>
    <row r="20" spans="1:18" ht="14.25" customHeight="1" thickBot="1">
      <c r="A20" s="1526" t="s">
        <v>1285</v>
      </c>
      <c r="B20" s="1530" t="s">
        <v>1307</v>
      </c>
      <c r="C20" s="1520">
        <v>27660</v>
      </c>
      <c r="D20" s="1520">
        <v>24240</v>
      </c>
      <c r="E20" s="1520">
        <v>24020</v>
      </c>
      <c r="F20" s="1535"/>
      <c r="I20" s="1520" t="s">
        <v>1389</v>
      </c>
      <c r="J20" s="1520" t="s">
        <v>1390</v>
      </c>
      <c r="K20" s="1520" t="s">
        <v>1391</v>
      </c>
      <c r="L20" s="1520" t="s">
        <v>1392</v>
      </c>
      <c r="M20" s="1520" t="s">
        <v>1393</v>
      </c>
      <c r="N20" s="1520" t="s">
        <v>1394</v>
      </c>
      <c r="O20" s="1520" t="s">
        <v>1395</v>
      </c>
      <c r="P20" s="1520" t="s">
        <v>1396</v>
      </c>
      <c r="Q20" s="1520" t="s">
        <v>1397</v>
      </c>
      <c r="R20" s="1520" t="s">
        <v>1398</v>
      </c>
    </row>
    <row r="21" spans="1:18" ht="14.25" customHeight="1" thickBot="1">
      <c r="A21" s="1526" t="s">
        <v>1285</v>
      </c>
      <c r="B21" s="1530" t="s">
        <v>1317</v>
      </c>
      <c r="C21" s="1520">
        <v>24720</v>
      </c>
      <c r="D21" s="1520">
        <v>21670</v>
      </c>
      <c r="E21" s="1520">
        <v>21510</v>
      </c>
      <c r="F21" s="1535"/>
      <c r="J21" s="1520" t="s">
        <v>1399</v>
      </c>
      <c r="K21" s="1520" t="s">
        <v>1400</v>
      </c>
      <c r="L21" s="1520" t="s">
        <v>1401</v>
      </c>
      <c r="M21" s="1520" t="s">
        <v>1402</v>
      </c>
      <c r="N21" s="1520" t="s">
        <v>1403</v>
      </c>
      <c r="O21" s="1520" t="s">
        <v>1404</v>
      </c>
      <c r="P21" s="1520" t="s">
        <v>1405</v>
      </c>
      <c r="Q21" s="1520" t="s">
        <v>1406</v>
      </c>
      <c r="R21" s="1520" t="s">
        <v>1407</v>
      </c>
    </row>
    <row r="22" spans="1:18" ht="14.25" customHeight="1" thickBot="1">
      <c r="A22" s="1526" t="s">
        <v>1285</v>
      </c>
      <c r="B22" s="1530" t="s">
        <v>1408</v>
      </c>
      <c r="C22" s="1520">
        <v>26530</v>
      </c>
      <c r="D22" s="1520">
        <v>22980</v>
      </c>
      <c r="E22" s="1520">
        <v>22650</v>
      </c>
      <c r="F22" s="1535"/>
      <c r="K22" s="1520" t="s">
        <v>1409</v>
      </c>
      <c r="L22" s="1520" t="s">
        <v>1410</v>
      </c>
      <c r="M22" s="1520" t="s">
        <v>1411</v>
      </c>
      <c r="N22" s="1520" t="s">
        <v>1412</v>
      </c>
      <c r="O22" s="1520" t="s">
        <v>1413</v>
      </c>
      <c r="P22" s="1520" t="s">
        <v>1414</v>
      </c>
      <c r="Q22" s="1520" t="s">
        <v>1415</v>
      </c>
      <c r="R22" s="1530" t="s">
        <v>1416</v>
      </c>
    </row>
    <row r="23" spans="1:18" ht="14.25" customHeight="1" thickBot="1">
      <c r="A23" s="1526" t="s">
        <v>1285</v>
      </c>
      <c r="B23" s="1530" t="s">
        <v>1338</v>
      </c>
      <c r="C23" s="1520">
        <v>24700</v>
      </c>
      <c r="D23" s="1520">
        <v>27290</v>
      </c>
      <c r="E23" s="1520">
        <v>26710</v>
      </c>
      <c r="F23" s="1535"/>
      <c r="K23" s="1520" t="s">
        <v>1417</v>
      </c>
      <c r="L23" s="1520" t="s">
        <v>1418</v>
      </c>
      <c r="M23" s="1520" t="s">
        <v>1419</v>
      </c>
      <c r="N23" s="1520" t="s">
        <v>1420</v>
      </c>
      <c r="O23" s="1520" t="s">
        <v>1421</v>
      </c>
      <c r="P23" s="1520" t="s">
        <v>1422</v>
      </c>
      <c r="Q23" s="1520" t="s">
        <v>1423</v>
      </c>
    </row>
    <row r="24" spans="1:18" ht="14.25" customHeight="1" thickBot="1">
      <c r="A24" s="1526" t="s">
        <v>1285</v>
      </c>
      <c r="B24" s="1530" t="s">
        <v>1349</v>
      </c>
      <c r="C24" s="1520">
        <v>23070</v>
      </c>
      <c r="D24" s="1520">
        <v>24130</v>
      </c>
      <c r="E24" s="1520">
        <v>23860</v>
      </c>
      <c r="F24" s="1535"/>
      <c r="K24" s="1520" t="s">
        <v>1424</v>
      </c>
      <c r="L24" s="1520" t="s">
        <v>1425</v>
      </c>
      <c r="M24" s="1520" t="s">
        <v>1426</v>
      </c>
      <c r="N24" s="1520" t="s">
        <v>1427</v>
      </c>
      <c r="O24" s="1520" t="s">
        <v>1428</v>
      </c>
      <c r="P24" s="1520" t="s">
        <v>1429</v>
      </c>
      <c r="Q24" s="1520" t="s">
        <v>1430</v>
      </c>
    </row>
    <row r="25" spans="1:18" ht="14.25" customHeight="1" thickBot="1">
      <c r="A25" s="1526" t="s">
        <v>1285</v>
      </c>
      <c r="B25" s="1530" t="s">
        <v>1359</v>
      </c>
      <c r="C25" s="1520">
        <v>27550</v>
      </c>
      <c r="D25" s="1520">
        <v>25850</v>
      </c>
      <c r="E25" s="1520">
        <v>25340</v>
      </c>
      <c r="F25" s="1535"/>
      <c r="K25" s="1520" t="s">
        <v>1431</v>
      </c>
      <c r="L25" s="1520" t="s">
        <v>1432</v>
      </c>
      <c r="M25" s="1520" t="s">
        <v>1433</v>
      </c>
      <c r="N25" s="1520" t="s">
        <v>1434</v>
      </c>
      <c r="O25" s="1520" t="s">
        <v>1435</v>
      </c>
      <c r="P25" s="1520" t="s">
        <v>1436</v>
      </c>
      <c r="Q25" s="1520" t="s">
        <v>1437</v>
      </c>
    </row>
    <row r="26" spans="1:18" ht="14.25" customHeight="1" thickBot="1">
      <c r="A26" s="1526" t="s">
        <v>1285</v>
      </c>
      <c r="B26" s="1530" t="s">
        <v>1369</v>
      </c>
      <c r="C26" s="1520"/>
      <c r="D26" s="1520">
        <v>23900</v>
      </c>
      <c r="E26" s="1520">
        <v>23590</v>
      </c>
      <c r="F26" s="1535"/>
      <c r="K26" s="1520" t="s">
        <v>1438</v>
      </c>
      <c r="L26" s="1520" t="s">
        <v>1439</v>
      </c>
      <c r="M26" s="1520" t="s">
        <v>1440</v>
      </c>
      <c r="N26" s="1520" t="s">
        <v>1441</v>
      </c>
      <c r="O26" s="1520" t="s">
        <v>1442</v>
      </c>
      <c r="P26" s="1520" t="s">
        <v>1443</v>
      </c>
      <c r="Q26" s="1520" t="s">
        <v>1444</v>
      </c>
    </row>
    <row r="27" spans="1:18" ht="14.25" customHeight="1" thickBot="1">
      <c r="A27" s="1526" t="s">
        <v>1285</v>
      </c>
      <c r="B27" s="1530" t="s">
        <v>1379</v>
      </c>
      <c r="C27" s="1520"/>
      <c r="D27" s="1520">
        <v>22850</v>
      </c>
      <c r="E27" s="1520">
        <v>21920</v>
      </c>
      <c r="F27" s="1535"/>
      <c r="K27" s="1520" t="s">
        <v>1445</v>
      </c>
      <c r="L27" s="1520" t="s">
        <v>1446</v>
      </c>
      <c r="M27" s="1520" t="s">
        <v>1447</v>
      </c>
      <c r="N27" s="1520" t="s">
        <v>1448</v>
      </c>
      <c r="O27" s="1520" t="s">
        <v>1449</v>
      </c>
      <c r="P27" s="1520" t="s">
        <v>1450</v>
      </c>
      <c r="Q27" s="1520" t="s">
        <v>1451</v>
      </c>
    </row>
    <row r="28" spans="1:18" ht="14.25" customHeight="1" thickBot="1">
      <c r="A28" s="1536" t="s">
        <v>1285</v>
      </c>
      <c r="B28" s="1531" t="s">
        <v>1389</v>
      </c>
      <c r="C28" s="1532"/>
      <c r="D28" s="1532">
        <v>26610</v>
      </c>
      <c r="E28" s="1532">
        <v>26370</v>
      </c>
      <c r="F28" s="1533"/>
      <c r="K28" s="1520" t="s">
        <v>1452</v>
      </c>
      <c r="L28" s="1520" t="s">
        <v>1453</v>
      </c>
      <c r="M28" s="1520" t="s">
        <v>1454</v>
      </c>
      <c r="N28" s="1520" t="s">
        <v>1455</v>
      </c>
      <c r="O28" s="1520" t="s">
        <v>1456</v>
      </c>
      <c r="P28" s="1520" t="s">
        <v>1457</v>
      </c>
    </row>
    <row r="29" spans="1:18" ht="14.25" customHeight="1" thickBot="1">
      <c r="A29" s="1526" t="s">
        <v>1458</v>
      </c>
      <c r="B29" s="1527" t="s">
        <v>1459</v>
      </c>
      <c r="C29" s="1527">
        <v>22090</v>
      </c>
      <c r="D29" s="1527">
        <v>21860</v>
      </c>
      <c r="E29" s="1527">
        <v>19380</v>
      </c>
      <c r="F29" s="1528">
        <v>6610</v>
      </c>
      <c r="L29" s="1520" t="s">
        <v>1460</v>
      </c>
      <c r="M29" s="1520" t="s">
        <v>1461</v>
      </c>
      <c r="N29" s="1520" t="s">
        <v>1462</v>
      </c>
      <c r="O29" s="1520" t="s">
        <v>1463</v>
      </c>
      <c r="P29" s="1520" t="s">
        <v>1464</v>
      </c>
    </row>
    <row r="30" spans="1:18" ht="14.25" customHeight="1" thickBot="1">
      <c r="A30" s="1526" t="s">
        <v>1458</v>
      </c>
      <c r="B30" s="1530" t="s">
        <v>1205</v>
      </c>
      <c r="C30" s="1520">
        <v>21380</v>
      </c>
      <c r="D30" s="1520">
        <v>19930</v>
      </c>
      <c r="E30" s="1520">
        <v>19860</v>
      </c>
      <c r="F30" s="1534">
        <v>6010</v>
      </c>
      <c r="L30" s="1520" t="s">
        <v>1465</v>
      </c>
      <c r="M30" s="1520" t="s">
        <v>1466</v>
      </c>
      <c r="N30" s="1520" t="s">
        <v>1467</v>
      </c>
      <c r="O30" s="1520" t="s">
        <v>2505</v>
      </c>
      <c r="P30" s="1520" t="s">
        <v>1468</v>
      </c>
    </row>
    <row r="31" spans="1:18" ht="14.25" customHeight="1" thickBot="1">
      <c r="A31" s="1526" t="s">
        <v>1458</v>
      </c>
      <c r="B31" s="1530" t="s">
        <v>1218</v>
      </c>
      <c r="C31" s="1520">
        <v>21670</v>
      </c>
      <c r="D31" s="1520">
        <v>20660</v>
      </c>
      <c r="E31" s="1520">
        <v>20290</v>
      </c>
      <c r="F31" s="1534">
        <v>5840</v>
      </c>
      <c r="L31" s="1520" t="s">
        <v>1469</v>
      </c>
      <c r="M31" s="1520" t="s">
        <v>1470</v>
      </c>
      <c r="N31" s="1520" t="s">
        <v>1471</v>
      </c>
      <c r="O31" s="1520" t="s">
        <v>1472</v>
      </c>
      <c r="P31" s="1520" t="s">
        <v>1473</v>
      </c>
    </row>
    <row r="32" spans="1:18" ht="14.25" customHeight="1" thickBot="1">
      <c r="A32" s="1526" t="s">
        <v>1458</v>
      </c>
      <c r="B32" s="1530" t="s">
        <v>1231</v>
      </c>
      <c r="C32" s="1520">
        <v>22280</v>
      </c>
      <c r="D32" s="1520">
        <v>21800</v>
      </c>
      <c r="E32" s="1520">
        <v>17650</v>
      </c>
      <c r="F32" s="1534">
        <v>4690</v>
      </c>
      <c r="L32" s="1520" t="s">
        <v>1474</v>
      </c>
      <c r="M32" s="1520" t="s">
        <v>1475</v>
      </c>
      <c r="N32" s="1520" t="s">
        <v>1476</v>
      </c>
      <c r="O32" s="1520" t="s">
        <v>1477</v>
      </c>
      <c r="P32" s="1520" t="s">
        <v>1478</v>
      </c>
    </row>
    <row r="33" spans="1:16" ht="14.25" customHeight="1" thickBot="1">
      <c r="A33" s="1526" t="s">
        <v>1458</v>
      </c>
      <c r="B33" s="1530" t="s">
        <v>1243</v>
      </c>
      <c r="C33" s="1520">
        <v>22130</v>
      </c>
      <c r="D33" s="1520">
        <v>20460</v>
      </c>
      <c r="E33" s="1520">
        <v>18500</v>
      </c>
      <c r="F33" s="1534">
        <v>5340</v>
      </c>
      <c r="L33" s="1520" t="s">
        <v>1479</v>
      </c>
      <c r="M33" s="1520" t="s">
        <v>1480</v>
      </c>
      <c r="N33" s="1520" t="s">
        <v>1481</v>
      </c>
      <c r="O33" s="1520" t="s">
        <v>1482</v>
      </c>
      <c r="P33" s="1520" t="s">
        <v>1483</v>
      </c>
    </row>
    <row r="34" spans="1:16" ht="14.25" customHeight="1" thickBot="1">
      <c r="A34" s="1526" t="s">
        <v>1458</v>
      </c>
      <c r="B34" s="1530" t="s">
        <v>1254</v>
      </c>
      <c r="C34" s="1520">
        <v>22070</v>
      </c>
      <c r="D34" s="1520">
        <v>20110</v>
      </c>
      <c r="E34" s="1520">
        <v>18830</v>
      </c>
      <c r="F34" s="1534">
        <v>5190</v>
      </c>
      <c r="L34" s="1520" t="s">
        <v>1484</v>
      </c>
      <c r="M34" s="1520" t="s">
        <v>1485</v>
      </c>
      <c r="N34" s="1520" t="s">
        <v>1486</v>
      </c>
      <c r="O34" s="1520" t="s">
        <v>1487</v>
      </c>
      <c r="P34" s="1520" t="s">
        <v>1488</v>
      </c>
    </row>
    <row r="35" spans="1:16" ht="14.25" customHeight="1" thickBot="1">
      <c r="A35" s="1526" t="s">
        <v>1458</v>
      </c>
      <c r="B35" s="1530" t="s">
        <v>1265</v>
      </c>
      <c r="C35" s="1520">
        <v>22240</v>
      </c>
      <c r="D35" s="1520">
        <v>19550</v>
      </c>
      <c r="E35" s="1520">
        <v>19220</v>
      </c>
      <c r="F35" s="1534">
        <v>5800</v>
      </c>
      <c r="L35" s="1520" t="s">
        <v>1489</v>
      </c>
      <c r="M35" s="1520" t="s">
        <v>1490</v>
      </c>
      <c r="N35" s="1520" t="s">
        <v>1491</v>
      </c>
      <c r="O35" s="1520" t="s">
        <v>1492</v>
      </c>
      <c r="P35" s="1520" t="s">
        <v>1493</v>
      </c>
    </row>
    <row r="36" spans="1:16" ht="14.25" customHeight="1" thickBot="1">
      <c r="A36" s="1526" t="s">
        <v>1458</v>
      </c>
      <c r="B36" s="1530" t="s">
        <v>1276</v>
      </c>
      <c r="C36" s="1520">
        <v>19750</v>
      </c>
      <c r="D36" s="1520">
        <v>19790</v>
      </c>
      <c r="E36" s="1520">
        <v>18510</v>
      </c>
      <c r="F36" s="1534">
        <v>6520</v>
      </c>
      <c r="M36" s="1520" t="s">
        <v>1494</v>
      </c>
      <c r="N36" s="1520" t="s">
        <v>1495</v>
      </c>
      <c r="O36" s="1520" t="s">
        <v>1496</v>
      </c>
      <c r="P36" s="1520" t="s">
        <v>1497</v>
      </c>
    </row>
    <row r="37" spans="1:16" ht="14.25" customHeight="1" thickBot="1">
      <c r="A37" s="1526" t="s">
        <v>1458</v>
      </c>
      <c r="B37" s="1530" t="s">
        <v>1288</v>
      </c>
      <c r="C37" s="1520">
        <v>22380</v>
      </c>
      <c r="D37" s="1520">
        <v>18530</v>
      </c>
      <c r="E37" s="1520">
        <v>17930</v>
      </c>
      <c r="F37" s="1534">
        <v>6270</v>
      </c>
      <c r="M37" s="1520" t="s">
        <v>1498</v>
      </c>
      <c r="N37" s="1520" t="s">
        <v>1499</v>
      </c>
      <c r="O37" s="1520" t="s">
        <v>1500</v>
      </c>
      <c r="P37" s="1520" t="s">
        <v>1501</v>
      </c>
    </row>
    <row r="38" spans="1:16" ht="14.25" customHeight="1" thickBot="1">
      <c r="A38" s="1526" t="s">
        <v>1458</v>
      </c>
      <c r="B38" s="1530" t="s">
        <v>1298</v>
      </c>
      <c r="C38" s="1520">
        <v>20200</v>
      </c>
      <c r="D38" s="1520">
        <v>20070</v>
      </c>
      <c r="E38" s="1520">
        <v>19950</v>
      </c>
      <c r="F38" s="1534"/>
      <c r="M38" s="1520" t="s">
        <v>1502</v>
      </c>
      <c r="N38" s="1520" t="s">
        <v>1503</v>
      </c>
      <c r="O38" s="1520" t="s">
        <v>1504</v>
      </c>
      <c r="P38" s="1520" t="s">
        <v>1505</v>
      </c>
    </row>
    <row r="39" spans="1:16" ht="14.25" customHeight="1" thickBot="1">
      <c r="A39" s="1526" t="s">
        <v>1458</v>
      </c>
      <c r="B39" s="1530" t="s">
        <v>1308</v>
      </c>
      <c r="C39" s="1520">
        <v>19300</v>
      </c>
      <c r="D39" s="1520">
        <v>20360</v>
      </c>
      <c r="E39" s="1520">
        <v>20230</v>
      </c>
      <c r="F39" s="1534"/>
      <c r="M39" s="1520" t="s">
        <v>1506</v>
      </c>
      <c r="N39" s="1520" t="s">
        <v>1507</v>
      </c>
      <c r="O39" s="1520" t="s">
        <v>1508</v>
      </c>
      <c r="P39" s="1520" t="s">
        <v>1509</v>
      </c>
    </row>
    <row r="40" spans="1:16" ht="14.25" customHeight="1" thickBot="1">
      <c r="A40" s="1526" t="s">
        <v>1458</v>
      </c>
      <c r="B40" s="1530" t="s">
        <v>1318</v>
      </c>
      <c r="C40" s="1520">
        <v>20210</v>
      </c>
      <c r="D40" s="1520">
        <v>19060</v>
      </c>
      <c r="E40" s="1520">
        <v>18890</v>
      </c>
      <c r="F40" s="1534"/>
      <c r="M40" s="1520" t="s">
        <v>1510</v>
      </c>
      <c r="N40" s="1520" t="s">
        <v>1511</v>
      </c>
      <c r="O40" s="1520" t="s">
        <v>1512</v>
      </c>
      <c r="P40" s="1520" t="s">
        <v>1513</v>
      </c>
    </row>
    <row r="41" spans="1:16" ht="14.25" customHeight="1" thickBot="1">
      <c r="A41" s="1526" t="s">
        <v>1458</v>
      </c>
      <c r="B41" s="1530" t="s">
        <v>1328</v>
      </c>
      <c r="C41" s="1520">
        <v>20560</v>
      </c>
      <c r="D41" s="1520">
        <v>21040</v>
      </c>
      <c r="E41" s="1520">
        <v>20740</v>
      </c>
      <c r="F41" s="1534"/>
      <c r="M41" s="1530" t="s">
        <v>1514</v>
      </c>
      <c r="N41" s="1530" t="s">
        <v>1515</v>
      </c>
      <c r="P41" s="1530" t="s">
        <v>1516</v>
      </c>
    </row>
    <row r="42" spans="1:16" ht="14.25" customHeight="1" thickBot="1">
      <c r="A42" s="1526" t="s">
        <v>1458</v>
      </c>
      <c r="B42" s="1530" t="s">
        <v>1339</v>
      </c>
      <c r="C42" s="1520">
        <v>19280</v>
      </c>
      <c r="D42" s="1520">
        <v>22940</v>
      </c>
      <c r="E42" s="1520">
        <v>22500</v>
      </c>
      <c r="F42" s="1534"/>
      <c r="M42" s="1520" t="s">
        <v>1517</v>
      </c>
      <c r="N42" s="1520" t="s">
        <v>1518</v>
      </c>
      <c r="P42" s="1520" t="s">
        <v>1519</v>
      </c>
    </row>
    <row r="43" spans="1:16" ht="14.25" customHeight="1" thickBot="1">
      <c r="A43" s="1526" t="s">
        <v>1458</v>
      </c>
      <c r="B43" s="1530" t="s">
        <v>1350</v>
      </c>
      <c r="C43" s="1520">
        <v>21520</v>
      </c>
      <c r="D43" s="1520">
        <v>19230</v>
      </c>
      <c r="E43" s="1520">
        <v>18540</v>
      </c>
      <c r="F43" s="1534"/>
      <c r="M43" s="1520" t="s">
        <v>1520</v>
      </c>
      <c r="N43" s="1520" t="s">
        <v>1521</v>
      </c>
      <c r="P43" s="1520" t="s">
        <v>1522</v>
      </c>
    </row>
    <row r="44" spans="1:16" ht="14.25" customHeight="1" thickBot="1">
      <c r="A44" s="1526" t="s">
        <v>1458</v>
      </c>
      <c r="B44" s="1530" t="s">
        <v>1360</v>
      </c>
      <c r="C44" s="1520">
        <v>23260</v>
      </c>
      <c r="D44" s="1520">
        <v>21180</v>
      </c>
      <c r="E44" s="1520">
        <v>20730</v>
      </c>
      <c r="F44" s="1534"/>
      <c r="M44" s="1520" t="s">
        <v>1523</v>
      </c>
      <c r="N44" s="1520" t="s">
        <v>1524</v>
      </c>
      <c r="P44" s="1520" t="s">
        <v>1525</v>
      </c>
    </row>
    <row r="45" spans="1:16" ht="14.25" customHeight="1" thickBot="1">
      <c r="A45" s="1526" t="s">
        <v>1458</v>
      </c>
      <c r="B45" s="1530" t="s">
        <v>1370</v>
      </c>
      <c r="C45" s="1520">
        <v>19610</v>
      </c>
      <c r="D45" s="1520">
        <v>18090</v>
      </c>
      <c r="E45" s="1520">
        <v>17970</v>
      </c>
      <c r="F45" s="1534"/>
      <c r="M45" s="1520" t="s">
        <v>1526</v>
      </c>
      <c r="N45" s="1520" t="s">
        <v>1527</v>
      </c>
      <c r="P45" s="1520" t="s">
        <v>1528</v>
      </c>
    </row>
    <row r="46" spans="1:16" ht="14.25" customHeight="1" thickBot="1">
      <c r="A46" s="1526" t="s">
        <v>1458</v>
      </c>
      <c r="B46" s="1530" t="s">
        <v>1380</v>
      </c>
      <c r="C46" s="1520">
        <v>21660</v>
      </c>
      <c r="D46" s="1520">
        <v>19190</v>
      </c>
      <c r="E46" s="1520">
        <v>19790</v>
      </c>
      <c r="F46" s="1534"/>
      <c r="M46" s="1520" t="s">
        <v>1529</v>
      </c>
      <c r="N46" s="1520" t="s">
        <v>1530</v>
      </c>
      <c r="P46" s="1520" t="s">
        <v>1531</v>
      </c>
    </row>
    <row r="47" spans="1:16" ht="14.25" customHeight="1" thickBot="1">
      <c r="A47" s="1526" t="s">
        <v>1458</v>
      </c>
      <c r="B47" s="1530" t="s">
        <v>1390</v>
      </c>
      <c r="C47" s="1520">
        <v>18220</v>
      </c>
      <c r="D47" s="1520"/>
      <c r="E47" s="1520">
        <v>17220</v>
      </c>
      <c r="F47" s="1534"/>
      <c r="M47" s="1520" t="s">
        <v>1532</v>
      </c>
      <c r="N47" s="1520" t="s">
        <v>1533</v>
      </c>
    </row>
    <row r="48" spans="1:16" ht="14.25" customHeight="1" thickBot="1">
      <c r="A48" s="1526" t="s">
        <v>1458</v>
      </c>
      <c r="B48" s="1531" t="s">
        <v>1399</v>
      </c>
      <c r="C48" s="1532">
        <v>19430</v>
      </c>
      <c r="D48" s="1532"/>
      <c r="E48" s="1532">
        <v>17830</v>
      </c>
      <c r="F48" s="1537"/>
      <c r="M48" s="1520" t="s">
        <v>1534</v>
      </c>
      <c r="N48" s="1520" t="s">
        <v>1535</v>
      </c>
    </row>
    <row r="49" spans="1:14" ht="14.25" customHeight="1" thickBot="1">
      <c r="A49" s="1526" t="s">
        <v>1139</v>
      </c>
      <c r="B49" s="1527" t="s">
        <v>1536</v>
      </c>
      <c r="C49" s="1527">
        <v>17090</v>
      </c>
      <c r="D49" s="1527">
        <v>16950</v>
      </c>
      <c r="E49" s="1527">
        <v>16310</v>
      </c>
      <c r="F49" s="1528">
        <v>4540</v>
      </c>
      <c r="M49" s="1520" t="s">
        <v>1537</v>
      </c>
      <c r="N49" s="1520" t="s">
        <v>1538</v>
      </c>
    </row>
    <row r="50" spans="1:14" ht="14.25" customHeight="1" thickBot="1">
      <c r="A50" s="1526" t="s">
        <v>1139</v>
      </c>
      <c r="B50" s="1520" t="s">
        <v>1206</v>
      </c>
      <c r="C50" s="1520">
        <v>19040</v>
      </c>
      <c r="D50" s="1520">
        <v>16960</v>
      </c>
      <c r="E50" s="1520">
        <v>14800</v>
      </c>
      <c r="F50" s="1534">
        <v>3940</v>
      </c>
    </row>
    <row r="51" spans="1:14" ht="14.25" customHeight="1" thickBot="1">
      <c r="A51" s="1526" t="s">
        <v>1139</v>
      </c>
      <c r="B51" s="1520" t="s">
        <v>1219</v>
      </c>
      <c r="C51" s="1520">
        <v>17040</v>
      </c>
      <c r="D51" s="1520">
        <v>16930</v>
      </c>
      <c r="E51" s="1520">
        <v>15030</v>
      </c>
      <c r="F51" s="1534">
        <v>4120</v>
      </c>
    </row>
    <row r="52" spans="1:14" ht="14.25" customHeight="1" thickBot="1">
      <c r="A52" s="1526" t="s">
        <v>1139</v>
      </c>
      <c r="B52" s="1520" t="s">
        <v>1232</v>
      </c>
      <c r="C52" s="1520">
        <v>17110</v>
      </c>
      <c r="D52" s="1520">
        <v>17750</v>
      </c>
      <c r="E52" s="1520">
        <v>17310</v>
      </c>
      <c r="F52" s="1534">
        <v>3220</v>
      </c>
    </row>
    <row r="53" spans="1:14" ht="14.25" customHeight="1" thickBot="1">
      <c r="A53" s="1526" t="s">
        <v>1139</v>
      </c>
      <c r="B53" s="1520" t="s">
        <v>1244</v>
      </c>
      <c r="C53" s="1520">
        <v>17810</v>
      </c>
      <c r="D53" s="1520">
        <v>17260</v>
      </c>
      <c r="E53" s="1520">
        <v>17090</v>
      </c>
      <c r="F53" s="1534">
        <v>3520</v>
      </c>
    </row>
    <row r="54" spans="1:14" ht="14.25" customHeight="1" thickBot="1">
      <c r="A54" s="1526" t="s">
        <v>1139</v>
      </c>
      <c r="B54" s="1520" t="s">
        <v>1255</v>
      </c>
      <c r="C54" s="1520">
        <v>17410</v>
      </c>
      <c r="D54" s="1520">
        <v>16780</v>
      </c>
      <c r="E54" s="1520">
        <v>16370</v>
      </c>
      <c r="F54" s="1534">
        <v>3410</v>
      </c>
    </row>
    <row r="55" spans="1:14" ht="14.25" customHeight="1" thickBot="1">
      <c r="A55" s="1526" t="s">
        <v>1139</v>
      </c>
      <c r="B55" s="1520" t="s">
        <v>1266</v>
      </c>
      <c r="C55" s="1520">
        <v>16930</v>
      </c>
      <c r="D55" s="1520">
        <v>14720</v>
      </c>
      <c r="E55" s="1520">
        <v>15000</v>
      </c>
      <c r="F55" s="1534">
        <v>3710</v>
      </c>
    </row>
    <row r="56" spans="1:14" ht="14.25" customHeight="1" thickBot="1">
      <c r="A56" s="1526" t="s">
        <v>1139</v>
      </c>
      <c r="B56" s="1520" t="s">
        <v>1277</v>
      </c>
      <c r="C56" s="1520">
        <v>14930</v>
      </c>
      <c r="D56" s="1520">
        <v>15850</v>
      </c>
      <c r="E56" s="1520">
        <v>14320</v>
      </c>
      <c r="F56" s="1534">
        <v>3960</v>
      </c>
    </row>
    <row r="57" spans="1:14" ht="14.25" customHeight="1" thickBot="1">
      <c r="A57" s="1526" t="s">
        <v>1139</v>
      </c>
      <c r="B57" s="1520" t="s">
        <v>1289</v>
      </c>
      <c r="C57" s="1520">
        <v>16160</v>
      </c>
      <c r="D57" s="1520">
        <v>16190</v>
      </c>
      <c r="E57" s="1520">
        <v>15650</v>
      </c>
      <c r="F57" s="1534">
        <v>4200</v>
      </c>
    </row>
    <row r="58" spans="1:14" ht="14.25" customHeight="1" thickBot="1">
      <c r="A58" s="1526" t="s">
        <v>1139</v>
      </c>
      <c r="B58" s="1520" t="s">
        <v>1299</v>
      </c>
      <c r="C58" s="1520">
        <v>16360</v>
      </c>
      <c r="D58" s="1520">
        <v>14050</v>
      </c>
      <c r="E58" s="1520">
        <v>16070</v>
      </c>
      <c r="F58" s="1534">
        <v>3990</v>
      </c>
    </row>
    <row r="59" spans="1:14" ht="14.25" customHeight="1" thickBot="1">
      <c r="A59" s="1526" t="s">
        <v>1139</v>
      </c>
      <c r="B59" s="1520" t="s">
        <v>1309</v>
      </c>
      <c r="C59" s="1520">
        <v>14160</v>
      </c>
      <c r="D59" s="1520">
        <v>16620</v>
      </c>
      <c r="E59" s="1520">
        <v>13940</v>
      </c>
      <c r="F59" s="1534">
        <v>4260</v>
      </c>
    </row>
    <row r="60" spans="1:14" ht="14.25" customHeight="1" thickBot="1">
      <c r="A60" s="1526" t="s">
        <v>1139</v>
      </c>
      <c r="B60" s="1520" t="s">
        <v>1319</v>
      </c>
      <c r="C60" s="1520">
        <v>16750</v>
      </c>
      <c r="D60" s="1520">
        <v>13910</v>
      </c>
      <c r="E60" s="1520">
        <v>16550</v>
      </c>
      <c r="F60" s="1534">
        <v>4550</v>
      </c>
    </row>
    <row r="61" spans="1:14" ht="14.25" customHeight="1" thickBot="1">
      <c r="A61" s="1526" t="s">
        <v>1139</v>
      </c>
      <c r="B61" s="1520" t="s">
        <v>1329</v>
      </c>
      <c r="C61" s="1520">
        <v>14000</v>
      </c>
      <c r="D61" s="1520">
        <v>14550</v>
      </c>
      <c r="E61" s="1520">
        <v>13860</v>
      </c>
      <c r="F61" s="1538"/>
    </row>
    <row r="62" spans="1:14" ht="14.25" customHeight="1" thickBot="1">
      <c r="A62" s="1526" t="s">
        <v>1139</v>
      </c>
      <c r="B62" s="1520" t="s">
        <v>1340</v>
      </c>
      <c r="C62" s="1520">
        <v>14660</v>
      </c>
      <c r="D62" s="1520">
        <v>17450</v>
      </c>
      <c r="E62" s="1520">
        <v>14470</v>
      </c>
      <c r="F62" s="1538"/>
    </row>
    <row r="63" spans="1:14" ht="14.25" customHeight="1" thickBot="1">
      <c r="A63" s="1526" t="s">
        <v>1139</v>
      </c>
      <c r="B63" s="1520" t="s">
        <v>1351</v>
      </c>
      <c r="C63" s="1520">
        <v>17610</v>
      </c>
      <c r="D63" s="1520">
        <v>16500</v>
      </c>
      <c r="E63" s="1520">
        <v>17330</v>
      </c>
      <c r="F63" s="1538"/>
    </row>
    <row r="64" spans="1:14" ht="14.25" customHeight="1" thickBot="1">
      <c r="A64" s="1526" t="s">
        <v>1139</v>
      </c>
      <c r="B64" s="1520" t="s">
        <v>1361</v>
      </c>
      <c r="C64" s="1520">
        <v>16590</v>
      </c>
      <c r="D64" s="1520">
        <v>15130</v>
      </c>
      <c r="E64" s="1520">
        <v>16420</v>
      </c>
      <c r="F64" s="1538"/>
    </row>
    <row r="65" spans="1:6" s="1514" customFormat="1" ht="14.25" customHeight="1" thickBot="1">
      <c r="A65" s="1526" t="s">
        <v>1139</v>
      </c>
      <c r="B65" s="1520" t="s">
        <v>1371</v>
      </c>
      <c r="C65" s="1520">
        <v>15220</v>
      </c>
      <c r="D65" s="1520">
        <v>14660</v>
      </c>
      <c r="E65" s="1520">
        <v>15060</v>
      </c>
      <c r="F65" s="1534"/>
    </row>
    <row r="66" spans="1:6" s="1514" customFormat="1" ht="14.25" customHeight="1" thickBot="1">
      <c r="A66" s="1526" t="s">
        <v>1139</v>
      </c>
      <c r="B66" s="1520" t="s">
        <v>1381</v>
      </c>
      <c r="C66" s="1520">
        <v>14720</v>
      </c>
      <c r="D66" s="1520">
        <v>15970</v>
      </c>
      <c r="E66" s="1520">
        <v>14610</v>
      </c>
      <c r="F66" s="1534"/>
    </row>
    <row r="67" spans="1:6" s="1514" customFormat="1" ht="14.25" customHeight="1" thickBot="1">
      <c r="A67" s="1526" t="s">
        <v>1139</v>
      </c>
      <c r="B67" s="1520" t="s">
        <v>1391</v>
      </c>
      <c r="C67" s="1520">
        <v>16080</v>
      </c>
      <c r="D67" s="1520">
        <v>14840</v>
      </c>
      <c r="E67" s="1520">
        <v>15630</v>
      </c>
      <c r="F67" s="1534"/>
    </row>
    <row r="68" spans="1:6" s="1514" customFormat="1" ht="14.25" customHeight="1" thickBot="1">
      <c r="A68" s="1526" t="s">
        <v>1139</v>
      </c>
      <c r="B68" s="1520" t="s">
        <v>1400</v>
      </c>
      <c r="C68" s="1520">
        <v>14940</v>
      </c>
      <c r="D68" s="1520">
        <v>18000</v>
      </c>
      <c r="E68" s="1520">
        <v>14040</v>
      </c>
      <c r="F68" s="1534"/>
    </row>
    <row r="69" spans="1:6" s="1514" customFormat="1" ht="14.25" customHeight="1" thickBot="1">
      <c r="A69" s="1526" t="s">
        <v>1139</v>
      </c>
      <c r="B69" s="1520" t="s">
        <v>1409</v>
      </c>
      <c r="C69" s="1520">
        <v>18810</v>
      </c>
      <c r="D69" s="1520">
        <v>15100</v>
      </c>
      <c r="E69" s="1520">
        <v>14710</v>
      </c>
      <c r="F69" s="1534"/>
    </row>
    <row r="70" spans="1:6" s="1514" customFormat="1" ht="14.25" customHeight="1" thickBot="1">
      <c r="A70" s="1526" t="s">
        <v>1139</v>
      </c>
      <c r="B70" s="1520" t="s">
        <v>1417</v>
      </c>
      <c r="C70" s="1520">
        <v>18270</v>
      </c>
      <c r="D70" s="1520"/>
      <c r="E70" s="1520"/>
      <c r="F70" s="1534"/>
    </row>
    <row r="71" spans="1:6" s="1514" customFormat="1" ht="14.25" customHeight="1" thickBot="1">
      <c r="A71" s="1526" t="s">
        <v>1139</v>
      </c>
      <c r="B71" s="1520" t="s">
        <v>1424</v>
      </c>
      <c r="C71" s="1520">
        <v>15230</v>
      </c>
      <c r="D71" s="1520"/>
      <c r="E71" s="1520"/>
      <c r="F71" s="1534"/>
    </row>
    <row r="72" spans="1:6" s="1514" customFormat="1" ht="14.25" customHeight="1" thickBot="1">
      <c r="A72" s="1526" t="s">
        <v>1139</v>
      </c>
      <c r="B72" s="1520" t="s">
        <v>1431</v>
      </c>
      <c r="C72" s="1520"/>
      <c r="D72" s="1520"/>
      <c r="E72" s="1520"/>
      <c r="F72" s="1534">
        <v>4120</v>
      </c>
    </row>
    <row r="73" spans="1:6" s="1514" customFormat="1" ht="14.25" customHeight="1" thickBot="1">
      <c r="A73" s="1526" t="s">
        <v>1139</v>
      </c>
      <c r="B73" s="1520" t="s">
        <v>1438</v>
      </c>
      <c r="C73" s="1520"/>
      <c r="D73" s="1520"/>
      <c r="E73" s="1520"/>
      <c r="F73" s="1534">
        <v>3930</v>
      </c>
    </row>
    <row r="74" spans="1:6" s="1514" customFormat="1" ht="14.25" customHeight="1" thickBot="1">
      <c r="A74" s="1526" t="s">
        <v>1139</v>
      </c>
      <c r="B74" s="1520" t="s">
        <v>1445</v>
      </c>
      <c r="C74" s="1520"/>
      <c r="D74" s="1520"/>
      <c r="E74" s="1520"/>
      <c r="F74" s="1534">
        <v>4060</v>
      </c>
    </row>
    <row r="75" spans="1:6" s="1514" customFormat="1" ht="14.25" customHeight="1" thickBot="1">
      <c r="A75" s="1526" t="s">
        <v>1139</v>
      </c>
      <c r="B75" s="1532" t="s">
        <v>1452</v>
      </c>
      <c r="C75" s="1532"/>
      <c r="D75" s="1532"/>
      <c r="E75" s="1532"/>
      <c r="F75" s="1537">
        <v>3750</v>
      </c>
    </row>
    <row r="76" spans="1:6" s="1514" customFormat="1" ht="14.25" customHeight="1" thickBot="1">
      <c r="A76" s="1526" t="s">
        <v>1539</v>
      </c>
      <c r="B76" s="1527" t="s">
        <v>1540</v>
      </c>
      <c r="C76" s="1527">
        <v>14690</v>
      </c>
      <c r="D76" s="1527">
        <v>14640</v>
      </c>
      <c r="E76" s="1527">
        <v>14590</v>
      </c>
      <c r="F76" s="1528">
        <v>3060</v>
      </c>
    </row>
    <row r="77" spans="1:6" s="1514" customFormat="1" ht="14.25" customHeight="1" thickBot="1">
      <c r="A77" s="1526" t="s">
        <v>1539</v>
      </c>
      <c r="B77" s="1520" t="s">
        <v>1207</v>
      </c>
      <c r="C77" s="1520">
        <v>12550</v>
      </c>
      <c r="D77" s="1520">
        <v>12480</v>
      </c>
      <c r="E77" s="1520">
        <v>12450</v>
      </c>
      <c r="F77" s="1534">
        <v>2590</v>
      </c>
    </row>
    <row r="78" spans="1:6" s="1514" customFormat="1" ht="14.25" customHeight="1" thickBot="1">
      <c r="A78" s="1526" t="s">
        <v>1539</v>
      </c>
      <c r="B78" s="1520" t="s">
        <v>1220</v>
      </c>
      <c r="C78" s="1520">
        <v>14360</v>
      </c>
      <c r="D78" s="1520">
        <v>14320</v>
      </c>
      <c r="E78" s="1520">
        <v>12510</v>
      </c>
      <c r="F78" s="1534">
        <v>2700</v>
      </c>
    </row>
    <row r="79" spans="1:6" s="1514" customFormat="1" ht="14.25" customHeight="1" thickBot="1">
      <c r="A79" s="1526" t="s">
        <v>1539</v>
      </c>
      <c r="B79" s="1520" t="s">
        <v>1233</v>
      </c>
      <c r="C79" s="1520">
        <v>12590</v>
      </c>
      <c r="D79" s="1520">
        <v>12540</v>
      </c>
      <c r="E79" s="1520">
        <v>12350</v>
      </c>
      <c r="F79" s="1534">
        <v>2740</v>
      </c>
    </row>
    <row r="80" spans="1:6" s="1514" customFormat="1" ht="14.25" customHeight="1" thickBot="1">
      <c r="A80" s="1526" t="s">
        <v>1539</v>
      </c>
      <c r="B80" s="1520" t="s">
        <v>1245</v>
      </c>
      <c r="C80" s="1520">
        <v>12450</v>
      </c>
      <c r="D80" s="1520">
        <v>12370</v>
      </c>
      <c r="E80" s="1520">
        <v>10790</v>
      </c>
      <c r="F80" s="1534">
        <v>2290</v>
      </c>
    </row>
    <row r="81" spans="1:6" s="1514" customFormat="1" ht="14.25" customHeight="1" thickBot="1">
      <c r="A81" s="1526" t="s">
        <v>1539</v>
      </c>
      <c r="B81" s="1520" t="s">
        <v>1256</v>
      </c>
      <c r="C81" s="1520">
        <v>14210</v>
      </c>
      <c r="D81" s="1520">
        <v>14150</v>
      </c>
      <c r="E81" s="1520">
        <v>12730</v>
      </c>
      <c r="F81" s="1534">
        <v>2240</v>
      </c>
    </row>
    <row r="82" spans="1:6" s="1514" customFormat="1" ht="14.25" customHeight="1" thickBot="1">
      <c r="A82" s="1526" t="s">
        <v>1539</v>
      </c>
      <c r="B82" s="1520" t="s">
        <v>1267</v>
      </c>
      <c r="C82" s="1520">
        <v>10860</v>
      </c>
      <c r="D82" s="1520">
        <v>10820</v>
      </c>
      <c r="E82" s="1520">
        <v>14720</v>
      </c>
      <c r="F82" s="1534">
        <v>2490</v>
      </c>
    </row>
    <row r="83" spans="1:6" s="1514" customFormat="1" ht="14.25" customHeight="1" thickBot="1">
      <c r="A83" s="1526" t="s">
        <v>1539</v>
      </c>
      <c r="B83" s="1520" t="s">
        <v>1278</v>
      </c>
      <c r="C83" s="1520">
        <v>12810</v>
      </c>
      <c r="D83" s="1520">
        <v>12760</v>
      </c>
      <c r="E83" s="1520">
        <v>14830</v>
      </c>
      <c r="F83" s="1534">
        <v>2450</v>
      </c>
    </row>
    <row r="84" spans="1:6" s="1514" customFormat="1" ht="14.25" customHeight="1" thickBot="1">
      <c r="A84" s="1526" t="s">
        <v>1539</v>
      </c>
      <c r="B84" s="1520" t="s">
        <v>1290</v>
      </c>
      <c r="C84" s="1520">
        <v>14950</v>
      </c>
      <c r="D84" s="1520">
        <v>14810</v>
      </c>
      <c r="E84" s="1520">
        <v>12590</v>
      </c>
      <c r="F84" s="1534">
        <v>2540</v>
      </c>
    </row>
    <row r="85" spans="1:6" s="1514" customFormat="1" ht="14.25" customHeight="1" thickBot="1">
      <c r="A85" s="1526" t="s">
        <v>1539</v>
      </c>
      <c r="B85" s="1520" t="s">
        <v>1300</v>
      </c>
      <c r="C85" s="1520">
        <v>14960</v>
      </c>
      <c r="D85" s="1520">
        <v>14890</v>
      </c>
      <c r="E85" s="1520">
        <v>12840</v>
      </c>
      <c r="F85" s="1534">
        <v>2840</v>
      </c>
    </row>
    <row r="86" spans="1:6" s="1514" customFormat="1" ht="14.25" customHeight="1" thickBot="1">
      <c r="A86" s="1526" t="s">
        <v>1539</v>
      </c>
      <c r="B86" s="1520" t="s">
        <v>1310</v>
      </c>
      <c r="C86" s="1520">
        <v>12730</v>
      </c>
      <c r="D86" s="1520">
        <v>12660</v>
      </c>
      <c r="E86" s="1520">
        <v>13310</v>
      </c>
      <c r="F86" s="1534">
        <v>3140</v>
      </c>
    </row>
    <row r="87" spans="1:6" s="1514" customFormat="1" ht="14.25" customHeight="1" thickBot="1">
      <c r="A87" s="1526" t="s">
        <v>1539</v>
      </c>
      <c r="B87" s="1520" t="s">
        <v>1320</v>
      </c>
      <c r="C87" s="1520">
        <v>12940</v>
      </c>
      <c r="D87" s="1520">
        <v>12890</v>
      </c>
      <c r="E87" s="1520">
        <v>11580</v>
      </c>
      <c r="F87" s="1538"/>
    </row>
    <row r="88" spans="1:6" s="1514" customFormat="1" ht="14.25" customHeight="1" thickBot="1">
      <c r="A88" s="1526" t="s">
        <v>1539</v>
      </c>
      <c r="B88" s="1520" t="s">
        <v>1330</v>
      </c>
      <c r="C88" s="1520">
        <v>13430</v>
      </c>
      <c r="D88" s="1520">
        <v>13360</v>
      </c>
      <c r="E88" s="1520">
        <v>12790</v>
      </c>
      <c r="F88" s="1538"/>
    </row>
    <row r="89" spans="1:6" s="1514" customFormat="1" ht="14.25" customHeight="1" thickBot="1">
      <c r="A89" s="1526" t="s">
        <v>1539</v>
      </c>
      <c r="B89" s="1520" t="s">
        <v>1341</v>
      </c>
      <c r="C89" s="1520">
        <v>11680</v>
      </c>
      <c r="D89" s="1520">
        <v>11630</v>
      </c>
      <c r="E89" s="1520">
        <v>11320</v>
      </c>
      <c r="F89" s="1538"/>
    </row>
    <row r="90" spans="1:6" s="1514" customFormat="1" ht="14.25" customHeight="1" thickBot="1">
      <c r="A90" s="1526" t="s">
        <v>1539</v>
      </c>
      <c r="B90" s="1520" t="s">
        <v>1352</v>
      </c>
      <c r="C90" s="1520">
        <v>12890</v>
      </c>
      <c r="D90" s="1520">
        <v>12820</v>
      </c>
      <c r="E90" s="1520">
        <v>12710</v>
      </c>
      <c r="F90" s="1538"/>
    </row>
    <row r="91" spans="1:6" s="1514" customFormat="1" ht="14.25" customHeight="1" thickBot="1">
      <c r="A91" s="1526" t="s">
        <v>1539</v>
      </c>
      <c r="B91" s="1520" t="s">
        <v>1362</v>
      </c>
      <c r="C91" s="1520">
        <v>11410</v>
      </c>
      <c r="D91" s="1520">
        <v>11360</v>
      </c>
      <c r="E91" s="1520">
        <v>12670</v>
      </c>
      <c r="F91" s="1538"/>
    </row>
    <row r="92" spans="1:6" s="1514" customFormat="1" ht="14.25" customHeight="1" thickBot="1">
      <c r="A92" s="1526" t="s">
        <v>1539</v>
      </c>
      <c r="B92" s="1520" t="s">
        <v>1372</v>
      </c>
      <c r="C92" s="1520">
        <v>12770</v>
      </c>
      <c r="D92" s="1520">
        <v>12740</v>
      </c>
      <c r="E92" s="1520">
        <v>11970</v>
      </c>
      <c r="F92" s="1538"/>
    </row>
    <row r="93" spans="1:6" s="1514" customFormat="1" ht="14.25" customHeight="1" thickBot="1">
      <c r="A93" s="1526" t="s">
        <v>1539</v>
      </c>
      <c r="B93" s="1520" t="s">
        <v>1382</v>
      </c>
      <c r="C93" s="1520">
        <v>12740</v>
      </c>
      <c r="D93" s="1520">
        <v>12700</v>
      </c>
      <c r="E93" s="1520">
        <v>12540</v>
      </c>
      <c r="F93" s="1538"/>
    </row>
    <row r="94" spans="1:6" s="1514" customFormat="1" ht="14.25" customHeight="1" thickBot="1">
      <c r="A94" s="1526" t="s">
        <v>1539</v>
      </c>
      <c r="B94" s="1520" t="s">
        <v>1392</v>
      </c>
      <c r="C94" s="1520">
        <v>12020</v>
      </c>
      <c r="D94" s="1520">
        <v>11990</v>
      </c>
      <c r="E94" s="1520">
        <v>13110</v>
      </c>
      <c r="F94" s="1538"/>
    </row>
    <row r="95" spans="1:6" s="1514" customFormat="1" ht="14.25" customHeight="1" thickBot="1">
      <c r="A95" s="1526" t="s">
        <v>1539</v>
      </c>
      <c r="B95" s="1520" t="s">
        <v>1401</v>
      </c>
      <c r="C95" s="1520">
        <v>12620</v>
      </c>
      <c r="D95" s="1520">
        <v>12580</v>
      </c>
      <c r="E95" s="1520">
        <v>13160</v>
      </c>
      <c r="F95" s="1534"/>
    </row>
    <row r="96" spans="1:6" s="1514" customFormat="1" ht="14.25" customHeight="1" thickBot="1">
      <c r="A96" s="1526" t="s">
        <v>1539</v>
      </c>
      <c r="B96" s="1520" t="s">
        <v>1410</v>
      </c>
      <c r="C96" s="1520">
        <v>13200</v>
      </c>
      <c r="D96" s="1520">
        <v>13150</v>
      </c>
      <c r="E96" s="1520">
        <v>12900</v>
      </c>
      <c r="F96" s="1534"/>
    </row>
    <row r="97" spans="1:6" s="1514" customFormat="1" ht="14.25" customHeight="1" thickBot="1">
      <c r="A97" s="1526" t="s">
        <v>1539</v>
      </c>
      <c r="B97" s="1520" t="s">
        <v>1418</v>
      </c>
      <c r="C97" s="1520">
        <v>13270</v>
      </c>
      <c r="D97" s="1520">
        <v>13210</v>
      </c>
      <c r="E97" s="1520">
        <v>11080</v>
      </c>
      <c r="F97" s="1534"/>
    </row>
    <row r="98" spans="1:6" s="1514" customFormat="1" ht="14.25" customHeight="1" thickBot="1">
      <c r="A98" s="1526" t="s">
        <v>1539</v>
      </c>
      <c r="B98" s="1520" t="s">
        <v>1425</v>
      </c>
      <c r="C98" s="1520">
        <v>13010</v>
      </c>
      <c r="D98" s="1520">
        <v>12930</v>
      </c>
      <c r="E98" s="1520">
        <v>12840</v>
      </c>
      <c r="F98" s="1534"/>
    </row>
    <row r="99" spans="1:6" s="1514" customFormat="1" ht="14.25" customHeight="1" thickBot="1">
      <c r="A99" s="1526" t="s">
        <v>1539</v>
      </c>
      <c r="B99" s="1520" t="s">
        <v>1432</v>
      </c>
      <c r="C99" s="1520">
        <v>11190</v>
      </c>
      <c r="D99" s="1520">
        <v>11130</v>
      </c>
      <c r="E99" s="1520"/>
      <c r="F99" s="1534"/>
    </row>
    <row r="100" spans="1:6" s="1514" customFormat="1" ht="14.25" customHeight="1" thickBot="1">
      <c r="A100" s="1526" t="s">
        <v>1539</v>
      </c>
      <c r="B100" s="1520" t="s">
        <v>1439</v>
      </c>
      <c r="C100" s="1520">
        <v>14280</v>
      </c>
      <c r="D100" s="1520">
        <v>14180</v>
      </c>
      <c r="E100" s="1520"/>
      <c r="F100" s="1534"/>
    </row>
    <row r="101" spans="1:6" s="1514" customFormat="1" ht="14.25" customHeight="1" thickBot="1">
      <c r="A101" s="1526" t="s">
        <v>1539</v>
      </c>
      <c r="B101" s="1520" t="s">
        <v>1446</v>
      </c>
      <c r="C101" s="1520">
        <v>12960</v>
      </c>
      <c r="D101" s="1520">
        <v>12890</v>
      </c>
      <c r="E101" s="1520"/>
      <c r="F101" s="1534"/>
    </row>
    <row r="102" spans="1:6" s="1514" customFormat="1" ht="14.25" customHeight="1" thickBot="1">
      <c r="A102" s="1526" t="s">
        <v>1539</v>
      </c>
      <c r="B102" s="1520" t="s">
        <v>1453</v>
      </c>
      <c r="C102" s="1520"/>
      <c r="D102" s="1520"/>
      <c r="E102" s="1520"/>
      <c r="F102" s="1534">
        <v>3100</v>
      </c>
    </row>
    <row r="103" spans="1:6" s="1514" customFormat="1" ht="14.25" customHeight="1" thickBot="1">
      <c r="A103" s="1526" t="s">
        <v>1539</v>
      </c>
      <c r="B103" s="1520" t="s">
        <v>1460</v>
      </c>
      <c r="C103" s="1520"/>
      <c r="D103" s="1520"/>
      <c r="E103" s="1520"/>
      <c r="F103" s="1534">
        <v>2320</v>
      </c>
    </row>
    <row r="104" spans="1:6" s="1514" customFormat="1" ht="14.25" customHeight="1" thickBot="1">
      <c r="A104" s="1526" t="s">
        <v>1539</v>
      </c>
      <c r="B104" s="1520" t="s">
        <v>1465</v>
      </c>
      <c r="C104" s="1520"/>
      <c r="D104" s="1520"/>
      <c r="E104" s="1520"/>
      <c r="F104" s="1534">
        <v>2320</v>
      </c>
    </row>
    <row r="105" spans="1:6" s="1514" customFormat="1" ht="14.25" customHeight="1" thickBot="1">
      <c r="A105" s="1526" t="s">
        <v>1539</v>
      </c>
      <c r="B105" s="1520" t="s">
        <v>1469</v>
      </c>
      <c r="C105" s="1520"/>
      <c r="D105" s="1520"/>
      <c r="E105" s="1520"/>
      <c r="F105" s="1534">
        <v>2320</v>
      </c>
    </row>
    <row r="106" spans="1:6" s="1514" customFormat="1" ht="14.25" customHeight="1" thickBot="1">
      <c r="A106" s="1526" t="s">
        <v>1539</v>
      </c>
      <c r="B106" s="1520" t="s">
        <v>1474</v>
      </c>
      <c r="C106" s="1520"/>
      <c r="D106" s="1520"/>
      <c r="E106" s="1520"/>
      <c r="F106" s="1534">
        <v>2320</v>
      </c>
    </row>
    <row r="107" spans="1:6" s="1514" customFormat="1" ht="14.25" customHeight="1" thickBot="1">
      <c r="A107" s="1526" t="s">
        <v>1539</v>
      </c>
      <c r="B107" s="1520" t="s">
        <v>1479</v>
      </c>
      <c r="C107" s="1520"/>
      <c r="D107" s="1520"/>
      <c r="E107" s="1520"/>
      <c r="F107" s="1534">
        <v>2280</v>
      </c>
    </row>
    <row r="108" spans="1:6" s="1514" customFormat="1" ht="14.25" customHeight="1" thickBot="1">
      <c r="A108" s="1526" t="s">
        <v>1539</v>
      </c>
      <c r="B108" s="1520" t="s">
        <v>1484</v>
      </c>
      <c r="C108" s="1520"/>
      <c r="D108" s="1520"/>
      <c r="E108" s="1520"/>
      <c r="F108" s="1534">
        <v>2280</v>
      </c>
    </row>
    <row r="109" spans="1:6" s="1514" customFormat="1" ht="14.25" customHeight="1" thickBot="1">
      <c r="A109" s="1526" t="s">
        <v>1539</v>
      </c>
      <c r="B109" s="1532" t="s">
        <v>1489</v>
      </c>
      <c r="C109" s="1532"/>
      <c r="D109" s="1532"/>
      <c r="E109" s="1532"/>
      <c r="F109" s="1537">
        <v>2280</v>
      </c>
    </row>
    <row r="110" spans="1:6" s="1514" customFormat="1" ht="14.25" customHeight="1" thickBot="1">
      <c r="A110" s="1526" t="s">
        <v>203</v>
      </c>
      <c r="B110" s="1527" t="s">
        <v>1541</v>
      </c>
      <c r="C110" s="1527">
        <v>10520</v>
      </c>
      <c r="D110" s="1527">
        <v>10490</v>
      </c>
      <c r="E110" s="1527">
        <v>10760</v>
      </c>
      <c r="F110" s="1528">
        <v>2160</v>
      </c>
    </row>
    <row r="111" spans="1:6" s="1514" customFormat="1" ht="14.25" customHeight="1" thickBot="1">
      <c r="A111" s="1526" t="s">
        <v>203</v>
      </c>
      <c r="B111" s="1520" t="s">
        <v>1208</v>
      </c>
      <c r="C111" s="1520">
        <v>10090</v>
      </c>
      <c r="D111" s="1520">
        <v>10060</v>
      </c>
      <c r="E111" s="1520">
        <v>10300</v>
      </c>
      <c r="F111" s="1534">
        <v>2010</v>
      </c>
    </row>
    <row r="112" spans="1:6" s="1514" customFormat="1" ht="14.25" customHeight="1" thickBot="1">
      <c r="A112" s="1526" t="s">
        <v>203</v>
      </c>
      <c r="B112" s="1520" t="s">
        <v>1221</v>
      </c>
      <c r="C112" s="1520">
        <v>9910</v>
      </c>
      <c r="D112" s="1520">
        <v>9850</v>
      </c>
      <c r="E112" s="1520">
        <v>9960</v>
      </c>
      <c r="F112" s="1534">
        <v>2090</v>
      </c>
    </row>
    <row r="113" spans="1:6" s="1514" customFormat="1" ht="14.25" customHeight="1" thickBot="1">
      <c r="A113" s="1526" t="s">
        <v>203</v>
      </c>
      <c r="B113" s="1520" t="s">
        <v>1234</v>
      </c>
      <c r="C113" s="1520">
        <v>11430</v>
      </c>
      <c r="D113" s="1520">
        <v>11400</v>
      </c>
      <c r="E113" s="1520">
        <v>11710</v>
      </c>
      <c r="F113" s="1534">
        <v>2050</v>
      </c>
    </row>
    <row r="114" spans="1:6" s="1514" customFormat="1" ht="14.25" customHeight="1" thickBot="1">
      <c r="A114" s="1526" t="s">
        <v>203</v>
      </c>
      <c r="B114" s="1520" t="s">
        <v>1246</v>
      </c>
      <c r="C114" s="1520">
        <v>11390</v>
      </c>
      <c r="D114" s="1520">
        <v>11350</v>
      </c>
      <c r="E114" s="1520">
        <v>11640</v>
      </c>
      <c r="F114" s="1534">
        <v>1620</v>
      </c>
    </row>
    <row r="115" spans="1:6" s="1514" customFormat="1" ht="14.25" customHeight="1" thickBot="1">
      <c r="A115" s="1526" t="s">
        <v>203</v>
      </c>
      <c r="B115" s="1520" t="s">
        <v>1257</v>
      </c>
      <c r="C115" s="1520">
        <v>9930</v>
      </c>
      <c r="D115" s="1520">
        <v>9900</v>
      </c>
      <c r="E115" s="1520">
        <v>10160</v>
      </c>
      <c r="F115" s="1534">
        <v>1580</v>
      </c>
    </row>
    <row r="116" spans="1:6" s="1514" customFormat="1" ht="14.25" customHeight="1" thickBot="1">
      <c r="A116" s="1526" t="s">
        <v>203</v>
      </c>
      <c r="B116" s="1520" t="s">
        <v>1268</v>
      </c>
      <c r="C116" s="1520">
        <v>9150</v>
      </c>
      <c r="D116" s="1520">
        <v>9120</v>
      </c>
      <c r="E116" s="1520">
        <v>9380</v>
      </c>
      <c r="F116" s="1534">
        <v>1750</v>
      </c>
    </row>
    <row r="117" spans="1:6" s="1514" customFormat="1" ht="14.25" customHeight="1" thickBot="1">
      <c r="A117" s="1526" t="s">
        <v>203</v>
      </c>
      <c r="B117" s="1520" t="s">
        <v>1279</v>
      </c>
      <c r="C117" s="1520">
        <v>10680</v>
      </c>
      <c r="D117" s="1520">
        <v>10650</v>
      </c>
      <c r="E117" s="1520">
        <v>10970</v>
      </c>
      <c r="F117" s="1534">
        <v>1730</v>
      </c>
    </row>
    <row r="118" spans="1:6" s="1514" customFormat="1" ht="14.25" customHeight="1" thickBot="1">
      <c r="A118" s="1526" t="s">
        <v>203</v>
      </c>
      <c r="B118" s="1520" t="s">
        <v>1291</v>
      </c>
      <c r="C118" s="1520">
        <v>10080</v>
      </c>
      <c r="D118" s="1520">
        <v>10050</v>
      </c>
      <c r="E118" s="1520">
        <v>10350</v>
      </c>
      <c r="F118" s="1534">
        <v>1920</v>
      </c>
    </row>
    <row r="119" spans="1:6" s="1514" customFormat="1" ht="14.25" customHeight="1" thickBot="1">
      <c r="A119" s="1526" t="s">
        <v>203</v>
      </c>
      <c r="B119" s="1520" t="s">
        <v>1301</v>
      </c>
      <c r="C119" s="1520">
        <v>9450</v>
      </c>
      <c r="D119" s="1520">
        <v>9410</v>
      </c>
      <c r="E119" s="1520">
        <v>9680</v>
      </c>
      <c r="F119" s="1534">
        <v>1880</v>
      </c>
    </row>
    <row r="120" spans="1:6" s="1514" customFormat="1" ht="14.25" customHeight="1" thickBot="1">
      <c r="A120" s="1526" t="s">
        <v>203</v>
      </c>
      <c r="B120" s="1520" t="s">
        <v>1311</v>
      </c>
      <c r="C120" s="1520">
        <v>8730</v>
      </c>
      <c r="D120" s="1520">
        <v>8700</v>
      </c>
      <c r="E120" s="1520">
        <v>8950</v>
      </c>
      <c r="F120" s="1534">
        <v>1830</v>
      </c>
    </row>
    <row r="121" spans="1:6" s="1514" customFormat="1" ht="14.25" customHeight="1" thickBot="1">
      <c r="A121" s="1526" t="s">
        <v>203</v>
      </c>
      <c r="B121" s="1520" t="s">
        <v>1321</v>
      </c>
      <c r="C121" s="1520">
        <v>10070</v>
      </c>
      <c r="D121" s="1520">
        <v>10040</v>
      </c>
      <c r="E121" s="1520">
        <v>10270</v>
      </c>
      <c r="F121" s="1534">
        <v>1960</v>
      </c>
    </row>
    <row r="122" spans="1:6" s="1514" customFormat="1" ht="14.25" customHeight="1" thickBot="1">
      <c r="A122" s="1526" t="s">
        <v>203</v>
      </c>
      <c r="B122" s="1520" t="s">
        <v>1331</v>
      </c>
      <c r="C122" s="1520">
        <v>10500</v>
      </c>
      <c r="D122" s="1520">
        <v>10470</v>
      </c>
      <c r="E122" s="1520">
        <v>10780</v>
      </c>
      <c r="F122" s="1534">
        <v>2180</v>
      </c>
    </row>
    <row r="123" spans="1:6" s="1514" customFormat="1" ht="14.25" customHeight="1" thickBot="1">
      <c r="A123" s="1526" t="s">
        <v>203</v>
      </c>
      <c r="B123" s="1520" t="s">
        <v>1342</v>
      </c>
      <c r="C123" s="1520">
        <v>10390</v>
      </c>
      <c r="D123" s="1520">
        <v>10360</v>
      </c>
      <c r="E123" s="1520">
        <v>10660</v>
      </c>
      <c r="F123" s="1534">
        <v>2040</v>
      </c>
    </row>
    <row r="124" spans="1:6" s="1514" customFormat="1" ht="14.25" customHeight="1" thickBot="1">
      <c r="A124" s="1526" t="s">
        <v>203</v>
      </c>
      <c r="B124" s="1520" t="s">
        <v>1353</v>
      </c>
      <c r="C124" s="1520">
        <v>10390</v>
      </c>
      <c r="D124" s="1520">
        <v>10360</v>
      </c>
      <c r="E124" s="1520">
        <v>10680</v>
      </c>
      <c r="F124" s="1538"/>
    </row>
    <row r="125" spans="1:6" s="1514" customFormat="1" ht="14.25" customHeight="1" thickBot="1">
      <c r="A125" s="1526" t="s">
        <v>203</v>
      </c>
      <c r="B125" s="1520" t="s">
        <v>1363</v>
      </c>
      <c r="C125" s="1520">
        <v>10440</v>
      </c>
      <c r="D125" s="1520">
        <v>10410</v>
      </c>
      <c r="E125" s="1520">
        <v>10710</v>
      </c>
      <c r="F125" s="1538"/>
    </row>
    <row r="126" spans="1:6" s="1514" customFormat="1" ht="14.25" customHeight="1" thickBot="1">
      <c r="A126" s="1526" t="s">
        <v>203</v>
      </c>
      <c r="B126" s="1520" t="s">
        <v>1373</v>
      </c>
      <c r="C126" s="1520">
        <v>10780</v>
      </c>
      <c r="D126" s="1520">
        <v>10750</v>
      </c>
      <c r="E126" s="1520">
        <v>11080</v>
      </c>
      <c r="F126" s="1538"/>
    </row>
    <row r="127" spans="1:6" s="1514" customFormat="1" ht="14.25" customHeight="1" thickBot="1">
      <c r="A127" s="1526" t="s">
        <v>203</v>
      </c>
      <c r="B127" s="1520" t="s">
        <v>1383</v>
      </c>
      <c r="C127" s="1520">
        <v>10100</v>
      </c>
      <c r="D127" s="1520">
        <v>10070</v>
      </c>
      <c r="E127" s="1520">
        <v>10350</v>
      </c>
      <c r="F127" s="1538"/>
    </row>
    <row r="128" spans="1:6" s="1514" customFormat="1" ht="14.25" customHeight="1" thickBot="1">
      <c r="A128" s="1526" t="s">
        <v>203</v>
      </c>
      <c r="B128" s="1520" t="s">
        <v>1393</v>
      </c>
      <c r="C128" s="1520">
        <v>9200</v>
      </c>
      <c r="D128" s="1520">
        <v>9160</v>
      </c>
      <c r="E128" s="1520">
        <v>9660</v>
      </c>
      <c r="F128" s="1538"/>
    </row>
    <row r="129" spans="1:6" s="1514" customFormat="1" ht="14.25" customHeight="1" thickBot="1">
      <c r="A129" s="1526" t="s">
        <v>203</v>
      </c>
      <c r="B129" s="1520" t="s">
        <v>1402</v>
      </c>
      <c r="C129" s="1520">
        <v>10340</v>
      </c>
      <c r="D129" s="1520">
        <v>10310</v>
      </c>
      <c r="E129" s="1520">
        <v>10580</v>
      </c>
      <c r="F129" s="1538"/>
    </row>
    <row r="130" spans="1:6" s="1514" customFormat="1" ht="14.25" customHeight="1" thickBot="1">
      <c r="A130" s="1526" t="s">
        <v>203</v>
      </c>
      <c r="B130" s="1520" t="s">
        <v>1411</v>
      </c>
      <c r="C130" s="1520">
        <v>9680</v>
      </c>
      <c r="D130" s="1520">
        <v>9660</v>
      </c>
      <c r="E130" s="1520">
        <v>9950</v>
      </c>
      <c r="F130" s="1538"/>
    </row>
    <row r="131" spans="1:6" s="1514" customFormat="1" ht="14.25" customHeight="1" thickBot="1">
      <c r="A131" s="1526" t="s">
        <v>203</v>
      </c>
      <c r="B131" s="1520" t="s">
        <v>1419</v>
      </c>
      <c r="C131" s="1520">
        <v>9540</v>
      </c>
      <c r="D131" s="1520">
        <v>9510</v>
      </c>
      <c r="E131" s="1520">
        <v>9790</v>
      </c>
      <c r="F131" s="1538"/>
    </row>
    <row r="132" spans="1:6" s="1514" customFormat="1" ht="14.25" customHeight="1" thickBot="1">
      <c r="A132" s="1526" t="s">
        <v>203</v>
      </c>
      <c r="B132" s="1520" t="s">
        <v>1426</v>
      </c>
      <c r="C132" s="1520">
        <v>9320</v>
      </c>
      <c r="D132" s="1520">
        <v>9290</v>
      </c>
      <c r="E132" s="1520">
        <v>9570</v>
      </c>
      <c r="F132" s="1538"/>
    </row>
    <row r="133" spans="1:6" s="1514" customFormat="1" ht="14.25" customHeight="1" thickBot="1">
      <c r="A133" s="1526" t="s">
        <v>203</v>
      </c>
      <c r="B133" s="1520" t="s">
        <v>1433</v>
      </c>
      <c r="C133" s="1520">
        <v>10310</v>
      </c>
      <c r="D133" s="1520">
        <v>10280</v>
      </c>
      <c r="E133" s="1520">
        <v>10530</v>
      </c>
      <c r="F133" s="1538"/>
    </row>
    <row r="134" spans="1:6" s="1514" customFormat="1" ht="14.25" customHeight="1" thickBot="1">
      <c r="A134" s="1526" t="s">
        <v>203</v>
      </c>
      <c r="B134" s="1520" t="s">
        <v>1440</v>
      </c>
      <c r="C134" s="1520">
        <v>10370</v>
      </c>
      <c r="D134" s="1520">
        <v>10310</v>
      </c>
      <c r="E134" s="1520">
        <v>10240</v>
      </c>
      <c r="F134" s="1534">
        <v>2060</v>
      </c>
    </row>
    <row r="135" spans="1:6" s="1514" customFormat="1" ht="14.25" customHeight="1" thickBot="1">
      <c r="A135" s="1526" t="s">
        <v>203</v>
      </c>
      <c r="B135" s="1520" t="s">
        <v>1447</v>
      </c>
      <c r="C135" s="1520">
        <v>9300</v>
      </c>
      <c r="D135" s="1520">
        <v>9270</v>
      </c>
      <c r="E135" s="1520">
        <v>9350</v>
      </c>
      <c r="F135" s="1538"/>
    </row>
    <row r="136" spans="1:6" s="1514" customFormat="1" ht="14.25" customHeight="1" thickBot="1">
      <c r="A136" s="1526" t="s">
        <v>203</v>
      </c>
      <c r="B136" s="1520" t="s">
        <v>1454</v>
      </c>
      <c r="C136" s="1520">
        <v>10160</v>
      </c>
      <c r="D136" s="1520">
        <v>10110</v>
      </c>
      <c r="E136" s="1520">
        <v>10080</v>
      </c>
      <c r="F136" s="1538"/>
    </row>
    <row r="137" spans="1:6" s="1514" customFormat="1" ht="14.25" customHeight="1" thickBot="1">
      <c r="A137" s="1526" t="s">
        <v>203</v>
      </c>
      <c r="B137" s="1520" t="s">
        <v>1461</v>
      </c>
      <c r="C137" s="1520">
        <v>9200</v>
      </c>
      <c r="D137" s="1520">
        <v>9170</v>
      </c>
      <c r="E137" s="1520">
        <v>9450</v>
      </c>
      <c r="F137" s="1538"/>
    </row>
    <row r="138" spans="1:6" s="1514" customFormat="1" ht="14.25" customHeight="1" thickBot="1">
      <c r="A138" s="1526" t="s">
        <v>203</v>
      </c>
      <c r="B138" s="1520" t="s">
        <v>1466</v>
      </c>
      <c r="C138" s="1520">
        <v>9690</v>
      </c>
      <c r="D138" s="1520">
        <v>9660</v>
      </c>
      <c r="E138" s="1520">
        <v>9840</v>
      </c>
      <c r="F138" s="1538"/>
    </row>
    <row r="139" spans="1:6" s="1514" customFormat="1" ht="14.25" customHeight="1" thickBot="1">
      <c r="A139" s="1526" t="s">
        <v>203</v>
      </c>
      <c r="B139" s="1520" t="s">
        <v>1470</v>
      </c>
      <c r="C139" s="1520">
        <v>10290</v>
      </c>
      <c r="D139" s="1520">
        <v>10260</v>
      </c>
      <c r="E139" s="1520">
        <v>10550</v>
      </c>
      <c r="F139" s="1534">
        <v>1700</v>
      </c>
    </row>
    <row r="140" spans="1:6" s="1514" customFormat="1" ht="14.25" customHeight="1" thickBot="1">
      <c r="A140" s="1526" t="s">
        <v>203</v>
      </c>
      <c r="B140" s="1520" t="s">
        <v>1475</v>
      </c>
      <c r="C140" s="1520">
        <v>9740</v>
      </c>
      <c r="D140" s="1520">
        <v>9710</v>
      </c>
      <c r="E140" s="1520">
        <v>10000</v>
      </c>
      <c r="F140" s="1534">
        <v>2000</v>
      </c>
    </row>
    <row r="141" spans="1:6" s="1514" customFormat="1" ht="14.25" customHeight="1" thickBot="1">
      <c r="A141" s="1526" t="s">
        <v>203</v>
      </c>
      <c r="B141" s="1520" t="s">
        <v>1480</v>
      </c>
      <c r="C141" s="1520">
        <v>9810</v>
      </c>
      <c r="D141" s="1520">
        <v>9770</v>
      </c>
      <c r="E141" s="1520">
        <v>10060</v>
      </c>
      <c r="F141" s="1538"/>
    </row>
    <row r="142" spans="1:6" s="1514" customFormat="1" ht="14.25" customHeight="1" thickBot="1">
      <c r="A142" s="1526" t="s">
        <v>203</v>
      </c>
      <c r="B142" s="1520" t="s">
        <v>1485</v>
      </c>
      <c r="C142" s="1520">
        <v>9300</v>
      </c>
      <c r="D142" s="1520">
        <v>9270</v>
      </c>
      <c r="E142" s="1520">
        <v>9530</v>
      </c>
      <c r="F142" s="1538"/>
    </row>
    <row r="143" spans="1:6" s="1514" customFormat="1" ht="14.25" customHeight="1" thickBot="1">
      <c r="A143" s="1526" t="s">
        <v>203</v>
      </c>
      <c r="B143" s="1520" t="s">
        <v>1490</v>
      </c>
      <c r="C143" s="1520">
        <v>10080</v>
      </c>
      <c r="D143" s="1520">
        <v>10050</v>
      </c>
      <c r="E143" s="1520">
        <v>10340</v>
      </c>
      <c r="F143" s="1538"/>
    </row>
    <row r="144" spans="1:6" s="1514" customFormat="1" ht="14.25" customHeight="1" thickBot="1">
      <c r="A144" s="1526" t="s">
        <v>203</v>
      </c>
      <c r="B144" s="1520" t="s">
        <v>1494</v>
      </c>
      <c r="C144" s="1520">
        <v>9820</v>
      </c>
      <c r="D144" s="1520">
        <v>9750</v>
      </c>
      <c r="E144" s="1520">
        <v>9900</v>
      </c>
      <c r="F144" s="1538"/>
    </row>
    <row r="145" spans="1:6" s="1514" customFormat="1" ht="14.25" customHeight="1" thickBot="1">
      <c r="A145" s="1526" t="s">
        <v>203</v>
      </c>
      <c r="B145" s="1520" t="s">
        <v>1498</v>
      </c>
      <c r="C145" s="1520"/>
      <c r="D145" s="1520"/>
      <c r="E145" s="1520"/>
      <c r="F145" s="1534">
        <v>1740</v>
      </c>
    </row>
    <row r="146" spans="1:6" s="1514" customFormat="1" ht="14.25" customHeight="1" thickBot="1">
      <c r="A146" s="1526" t="s">
        <v>203</v>
      </c>
      <c r="B146" s="1520" t="s">
        <v>1502</v>
      </c>
      <c r="C146" s="1520"/>
      <c r="D146" s="1520"/>
      <c r="E146" s="1520"/>
      <c r="F146" s="1534">
        <v>1740</v>
      </c>
    </row>
    <row r="147" spans="1:6" s="1514" customFormat="1" ht="14.25" customHeight="1" thickBot="1">
      <c r="A147" s="1526" t="s">
        <v>203</v>
      </c>
      <c r="B147" s="1520" t="s">
        <v>1506</v>
      </c>
      <c r="C147" s="1520"/>
      <c r="D147" s="1520"/>
      <c r="E147" s="1520"/>
      <c r="F147" s="1534">
        <v>1740</v>
      </c>
    </row>
    <row r="148" spans="1:6" s="1514" customFormat="1" ht="14.25" customHeight="1" thickBot="1">
      <c r="A148" s="1526" t="s">
        <v>203</v>
      </c>
      <c r="B148" s="1520" t="s">
        <v>1510</v>
      </c>
      <c r="C148" s="1520"/>
      <c r="D148" s="1520"/>
      <c r="E148" s="1520"/>
      <c r="F148" s="1534">
        <v>1740</v>
      </c>
    </row>
    <row r="149" spans="1:6" s="1514" customFormat="1" ht="14.25" customHeight="1" thickBot="1">
      <c r="A149" s="1526" t="s">
        <v>203</v>
      </c>
      <c r="B149" s="1520" t="s">
        <v>1514</v>
      </c>
      <c r="C149" s="1520"/>
      <c r="D149" s="1520"/>
      <c r="E149" s="1520"/>
      <c r="F149" s="1534">
        <v>1740</v>
      </c>
    </row>
    <row r="150" spans="1:6" s="1514" customFormat="1" ht="14.25" customHeight="1" thickBot="1">
      <c r="A150" s="1526" t="s">
        <v>203</v>
      </c>
      <c r="B150" s="1520" t="s">
        <v>1517</v>
      </c>
      <c r="C150" s="1520"/>
      <c r="D150" s="1520"/>
      <c r="E150" s="1520"/>
      <c r="F150" s="1534">
        <v>1610</v>
      </c>
    </row>
    <row r="151" spans="1:6" s="1514" customFormat="1" ht="14.25" customHeight="1" thickBot="1">
      <c r="A151" s="1526" t="s">
        <v>203</v>
      </c>
      <c r="B151" s="1520" t="s">
        <v>1520</v>
      </c>
      <c r="C151" s="1520"/>
      <c r="D151" s="1520"/>
      <c r="E151" s="1520"/>
      <c r="F151" s="1534">
        <v>1610</v>
      </c>
    </row>
    <row r="152" spans="1:6" s="1514" customFormat="1" ht="14.25" customHeight="1" thickBot="1">
      <c r="A152" s="1526" t="s">
        <v>203</v>
      </c>
      <c r="B152" s="1520" t="s">
        <v>1523</v>
      </c>
      <c r="C152" s="1520"/>
      <c r="D152" s="1520"/>
      <c r="E152" s="1520"/>
      <c r="F152" s="1534">
        <v>1610</v>
      </c>
    </row>
    <row r="153" spans="1:6" s="1514" customFormat="1" ht="14.25" customHeight="1" thickBot="1">
      <c r="A153" s="1526" t="s">
        <v>203</v>
      </c>
      <c r="B153" s="1520" t="s">
        <v>1526</v>
      </c>
      <c r="C153" s="1520"/>
      <c r="D153" s="1520"/>
      <c r="E153" s="1520"/>
      <c r="F153" s="1534">
        <v>1610</v>
      </c>
    </row>
    <row r="154" spans="1:6" s="1514" customFormat="1" ht="14.25" customHeight="1" thickBot="1">
      <c r="A154" s="1526" t="s">
        <v>203</v>
      </c>
      <c r="B154" s="1520" t="s">
        <v>1529</v>
      </c>
      <c r="C154" s="1520"/>
      <c r="D154" s="1520"/>
      <c r="E154" s="1520"/>
      <c r="F154" s="1534">
        <v>1610</v>
      </c>
    </row>
    <row r="155" spans="1:6" s="1514" customFormat="1" ht="14.25" customHeight="1" thickBot="1">
      <c r="A155" s="1526" t="s">
        <v>203</v>
      </c>
      <c r="B155" s="1520" t="s">
        <v>1532</v>
      </c>
      <c r="C155" s="1520"/>
      <c r="D155" s="1520"/>
      <c r="E155" s="1520"/>
      <c r="F155" s="1534">
        <v>1800</v>
      </c>
    </row>
    <row r="156" spans="1:6" s="1514" customFormat="1" ht="14.25" customHeight="1" thickBot="1">
      <c r="A156" s="1526" t="s">
        <v>203</v>
      </c>
      <c r="B156" s="1520" t="s">
        <v>1534</v>
      </c>
      <c r="C156" s="1520"/>
      <c r="D156" s="1520"/>
      <c r="E156" s="1520"/>
      <c r="F156" s="1534">
        <v>1910</v>
      </c>
    </row>
    <row r="157" spans="1:6" s="1514" customFormat="1" ht="14.25" customHeight="1" thickBot="1">
      <c r="A157" s="1526" t="s">
        <v>203</v>
      </c>
      <c r="B157" s="1532" t="s">
        <v>1537</v>
      </c>
      <c r="C157" s="1532"/>
      <c r="D157" s="1532"/>
      <c r="E157" s="1532"/>
      <c r="F157" s="1537">
        <v>1500</v>
      </c>
    </row>
    <row r="158" spans="1:6" s="1514" customFormat="1" ht="14.25" customHeight="1" thickBot="1">
      <c r="A158" s="1526" t="s">
        <v>1542</v>
      </c>
      <c r="B158" s="1527" t="s">
        <v>1543</v>
      </c>
      <c r="C158" s="1527">
        <v>8170</v>
      </c>
      <c r="D158" s="1527">
        <v>8140</v>
      </c>
      <c r="E158" s="1527">
        <v>8590</v>
      </c>
      <c r="F158" s="1528">
        <v>1450</v>
      </c>
    </row>
    <row r="159" spans="1:6" s="1514" customFormat="1" ht="14.25" customHeight="1" thickBot="1">
      <c r="A159" s="1526" t="s">
        <v>1542</v>
      </c>
      <c r="B159" s="1520" t="s">
        <v>1209</v>
      </c>
      <c r="C159" s="1520">
        <v>7410</v>
      </c>
      <c r="D159" s="1520">
        <v>7370</v>
      </c>
      <c r="E159" s="1520">
        <v>8030</v>
      </c>
      <c r="F159" s="1534">
        <v>1510</v>
      </c>
    </row>
    <row r="160" spans="1:6" s="1514" customFormat="1" ht="14.25" customHeight="1" thickBot="1">
      <c r="A160" s="1526" t="s">
        <v>1542</v>
      </c>
      <c r="B160" s="1520" t="s">
        <v>1222</v>
      </c>
      <c r="C160" s="1520">
        <v>7240</v>
      </c>
      <c r="D160" s="1520">
        <v>7210</v>
      </c>
      <c r="E160" s="1520">
        <v>7860</v>
      </c>
      <c r="F160" s="1534">
        <v>1370</v>
      </c>
    </row>
    <row r="161" spans="1:6" s="1514" customFormat="1" ht="14.25" customHeight="1" thickBot="1">
      <c r="A161" s="1526" t="s">
        <v>1542</v>
      </c>
      <c r="B161" s="1520" t="s">
        <v>1235</v>
      </c>
      <c r="C161" s="1520">
        <v>7720</v>
      </c>
      <c r="D161" s="1520">
        <v>7690</v>
      </c>
      <c r="E161" s="1520">
        <v>8200</v>
      </c>
      <c r="F161" s="1534">
        <v>1190</v>
      </c>
    </row>
    <row r="162" spans="1:6" s="1514" customFormat="1" ht="14.25" customHeight="1" thickBot="1">
      <c r="A162" s="1526" t="s">
        <v>1542</v>
      </c>
      <c r="B162" s="1520" t="s">
        <v>1247</v>
      </c>
      <c r="C162" s="1520">
        <v>6900</v>
      </c>
      <c r="D162" s="1520">
        <v>6870</v>
      </c>
      <c r="E162" s="1520">
        <v>7500</v>
      </c>
      <c r="F162" s="1534">
        <v>1390</v>
      </c>
    </row>
    <row r="163" spans="1:6" s="1514" customFormat="1" ht="14.25" customHeight="1" thickBot="1">
      <c r="A163" s="1526" t="s">
        <v>1542</v>
      </c>
      <c r="B163" s="1520" t="s">
        <v>1258</v>
      </c>
      <c r="C163" s="1520">
        <v>7120</v>
      </c>
      <c r="D163" s="1520">
        <v>7090</v>
      </c>
      <c r="E163" s="1520">
        <v>7690</v>
      </c>
      <c r="F163" s="1534">
        <v>1230</v>
      </c>
    </row>
    <row r="164" spans="1:6" s="1514" customFormat="1" ht="14.25" customHeight="1" thickBot="1">
      <c r="A164" s="1526" t="s">
        <v>1542</v>
      </c>
      <c r="B164" s="1520" t="s">
        <v>1269</v>
      </c>
      <c r="C164" s="1520">
        <v>6560</v>
      </c>
      <c r="D164" s="1520">
        <v>6530</v>
      </c>
      <c r="E164" s="1520">
        <v>7110</v>
      </c>
      <c r="F164" s="1534">
        <v>1340</v>
      </c>
    </row>
    <row r="165" spans="1:6" s="1514" customFormat="1" ht="14.25" customHeight="1" thickBot="1">
      <c r="A165" s="1526" t="s">
        <v>1542</v>
      </c>
      <c r="B165" s="1520" t="s">
        <v>1280</v>
      </c>
      <c r="C165" s="1520">
        <v>7450</v>
      </c>
      <c r="D165" s="1520">
        <v>7430</v>
      </c>
      <c r="E165" s="1520">
        <v>8110</v>
      </c>
      <c r="F165" s="1534">
        <v>1290</v>
      </c>
    </row>
    <row r="166" spans="1:6" s="1514" customFormat="1" ht="14.25" customHeight="1" thickBot="1">
      <c r="A166" s="1526" t="s">
        <v>1542</v>
      </c>
      <c r="B166" s="1520" t="s">
        <v>1292</v>
      </c>
      <c r="C166" s="1520">
        <v>7490</v>
      </c>
      <c r="D166" s="1520">
        <v>7460</v>
      </c>
      <c r="E166" s="1520">
        <v>8150</v>
      </c>
      <c r="F166" s="1534">
        <v>1350</v>
      </c>
    </row>
    <row r="167" spans="1:6" s="1514" customFormat="1" ht="14.25" customHeight="1" thickBot="1">
      <c r="A167" s="1526" t="s">
        <v>1542</v>
      </c>
      <c r="B167" s="1520" t="s">
        <v>1302</v>
      </c>
      <c r="C167" s="1520">
        <v>7540</v>
      </c>
      <c r="D167" s="1520">
        <v>7510</v>
      </c>
      <c r="E167" s="1520">
        <v>8030</v>
      </c>
      <c r="F167" s="1538"/>
    </row>
    <row r="168" spans="1:6" s="1514" customFormat="1" ht="14.25" customHeight="1" thickBot="1">
      <c r="A168" s="1526" t="s">
        <v>1542</v>
      </c>
      <c r="B168" s="1520" t="s">
        <v>1312</v>
      </c>
      <c r="C168" s="1520">
        <v>7210</v>
      </c>
      <c r="D168" s="1520">
        <v>7180</v>
      </c>
      <c r="E168" s="1520">
        <v>7830</v>
      </c>
      <c r="F168" s="1538"/>
    </row>
    <row r="169" spans="1:6" s="1514" customFormat="1" ht="14.25" customHeight="1" thickBot="1">
      <c r="A169" s="1526" t="s">
        <v>1542</v>
      </c>
      <c r="B169" s="1520" t="s">
        <v>1322</v>
      </c>
      <c r="C169" s="1520">
        <v>7040</v>
      </c>
      <c r="D169" s="1520">
        <v>7020</v>
      </c>
      <c r="E169" s="1520">
        <v>7670</v>
      </c>
      <c r="F169" s="1538"/>
    </row>
    <row r="170" spans="1:6" s="1514" customFormat="1" ht="14.25" customHeight="1" thickBot="1">
      <c r="A170" s="1526" t="s">
        <v>1542</v>
      </c>
      <c r="B170" s="1520" t="s">
        <v>1332</v>
      </c>
      <c r="C170" s="1520">
        <v>8040</v>
      </c>
      <c r="D170" s="1520">
        <v>7190</v>
      </c>
      <c r="E170" s="1520">
        <v>7850</v>
      </c>
      <c r="F170" s="1538"/>
    </row>
    <row r="171" spans="1:6" s="1514" customFormat="1" ht="14.25" customHeight="1" thickBot="1">
      <c r="A171" s="1526" t="s">
        <v>1542</v>
      </c>
      <c r="B171" s="1520" t="s">
        <v>1343</v>
      </c>
      <c r="C171" s="1520">
        <v>7860</v>
      </c>
      <c r="D171" s="1520">
        <v>7720</v>
      </c>
      <c r="E171" s="1520">
        <v>8150</v>
      </c>
      <c r="F171" s="1534">
        <v>1110</v>
      </c>
    </row>
    <row r="172" spans="1:6" s="1514" customFormat="1" ht="14.25" customHeight="1" thickBot="1">
      <c r="A172" s="1526" t="s">
        <v>1542</v>
      </c>
      <c r="B172" s="1520" t="s">
        <v>1354</v>
      </c>
      <c r="C172" s="1520">
        <v>7210</v>
      </c>
      <c r="D172" s="1520">
        <v>7170</v>
      </c>
      <c r="E172" s="1520">
        <v>7320</v>
      </c>
      <c r="F172" s="1538"/>
    </row>
    <row r="173" spans="1:6" s="1514" customFormat="1" ht="14.25" customHeight="1" thickBot="1">
      <c r="A173" s="1526" t="s">
        <v>1542</v>
      </c>
      <c r="B173" s="1520" t="s">
        <v>1364</v>
      </c>
      <c r="C173" s="1520">
        <v>6860</v>
      </c>
      <c r="D173" s="1520">
        <v>6810</v>
      </c>
      <c r="E173" s="1520">
        <v>7440</v>
      </c>
      <c r="F173" s="1538"/>
    </row>
    <row r="174" spans="1:6" s="1514" customFormat="1" ht="14.25" customHeight="1" thickBot="1">
      <c r="A174" s="1526" t="s">
        <v>1542</v>
      </c>
      <c r="B174" s="1520" t="s">
        <v>1374</v>
      </c>
      <c r="C174" s="1520">
        <v>7120</v>
      </c>
      <c r="D174" s="1520">
        <v>7090</v>
      </c>
      <c r="E174" s="1520">
        <v>7500</v>
      </c>
      <c r="F174" s="1534">
        <v>1490</v>
      </c>
    </row>
    <row r="175" spans="1:6" s="1514" customFormat="1" ht="14.25" customHeight="1" thickBot="1">
      <c r="A175" s="1526" t="s">
        <v>1542</v>
      </c>
      <c r="B175" s="1520" t="s">
        <v>1384</v>
      </c>
      <c r="C175" s="1520">
        <v>7850</v>
      </c>
      <c r="D175" s="1520">
        <v>7820</v>
      </c>
      <c r="E175" s="1520">
        <v>8120</v>
      </c>
      <c r="F175" s="1534">
        <v>1530</v>
      </c>
    </row>
    <row r="176" spans="1:6" s="1514" customFormat="1" ht="14.25" customHeight="1" thickBot="1">
      <c r="A176" s="1526" t="s">
        <v>1542</v>
      </c>
      <c r="B176" s="1520" t="s">
        <v>1394</v>
      </c>
      <c r="C176" s="1520">
        <v>7620</v>
      </c>
      <c r="D176" s="1520">
        <v>7570</v>
      </c>
      <c r="E176" s="1520">
        <v>7990</v>
      </c>
      <c r="F176" s="1534">
        <v>1480</v>
      </c>
    </row>
    <row r="177" spans="1:6" s="1514" customFormat="1" ht="14.25" customHeight="1" thickBot="1">
      <c r="A177" s="1526" t="s">
        <v>1542</v>
      </c>
      <c r="B177" s="1520" t="s">
        <v>1403</v>
      </c>
      <c r="C177" s="1520">
        <v>8590</v>
      </c>
      <c r="D177" s="1520">
        <v>8570</v>
      </c>
      <c r="E177" s="1520">
        <v>8740</v>
      </c>
      <c r="F177" s="1534">
        <v>1540</v>
      </c>
    </row>
    <row r="178" spans="1:6" s="1514" customFormat="1" ht="14.25" customHeight="1" thickBot="1">
      <c r="A178" s="1526" t="s">
        <v>1542</v>
      </c>
      <c r="B178" s="1520" t="s">
        <v>1412</v>
      </c>
      <c r="C178" s="1520">
        <v>7510</v>
      </c>
      <c r="D178" s="1520">
        <v>7470</v>
      </c>
      <c r="E178" s="1520">
        <v>8090</v>
      </c>
      <c r="F178" s="1534">
        <v>1320</v>
      </c>
    </row>
    <row r="179" spans="1:6" s="1514" customFormat="1" ht="14.25" customHeight="1" thickBot="1">
      <c r="A179" s="1526" t="s">
        <v>1542</v>
      </c>
      <c r="B179" s="1520" t="s">
        <v>1420</v>
      </c>
      <c r="C179" s="1520">
        <v>6380</v>
      </c>
      <c r="D179" s="1520">
        <v>6340</v>
      </c>
      <c r="E179" s="1520">
        <v>6810</v>
      </c>
      <c r="F179" s="1538"/>
    </row>
    <row r="180" spans="1:6" s="1514" customFormat="1" ht="14.25" customHeight="1" thickBot="1">
      <c r="A180" s="1526" t="s">
        <v>1542</v>
      </c>
      <c r="B180" s="1520" t="s">
        <v>1427</v>
      </c>
      <c r="C180" s="1520">
        <v>7830</v>
      </c>
      <c r="D180" s="1520">
        <v>7800</v>
      </c>
      <c r="E180" s="1520">
        <v>7780</v>
      </c>
      <c r="F180" s="1534">
        <v>1440</v>
      </c>
    </row>
    <row r="181" spans="1:6" s="1514" customFormat="1" ht="14.25" customHeight="1" thickBot="1">
      <c r="A181" s="1526" t="s">
        <v>1542</v>
      </c>
      <c r="B181" s="1520" t="s">
        <v>1434</v>
      </c>
      <c r="C181" s="1520">
        <v>7110</v>
      </c>
      <c r="D181" s="1520">
        <v>7080</v>
      </c>
      <c r="E181" s="1520">
        <v>7730</v>
      </c>
      <c r="F181" s="1534">
        <v>1350</v>
      </c>
    </row>
    <row r="182" spans="1:6" s="1514" customFormat="1" ht="14.25" customHeight="1" thickBot="1">
      <c r="A182" s="1526" t="s">
        <v>1542</v>
      </c>
      <c r="B182" s="1520" t="s">
        <v>1441</v>
      </c>
      <c r="C182" s="1520">
        <v>7310</v>
      </c>
      <c r="D182" s="1520">
        <v>7280</v>
      </c>
      <c r="E182" s="1520">
        <v>7950</v>
      </c>
      <c r="F182" s="1534">
        <v>1220</v>
      </c>
    </row>
    <row r="183" spans="1:6" s="1514" customFormat="1" ht="14.25" customHeight="1" thickBot="1">
      <c r="A183" s="1526" t="s">
        <v>1542</v>
      </c>
      <c r="B183" s="1520" t="s">
        <v>1448</v>
      </c>
      <c r="C183" s="1520">
        <v>7470</v>
      </c>
      <c r="D183" s="1520">
        <v>7440</v>
      </c>
      <c r="E183" s="1520">
        <v>7880</v>
      </c>
      <c r="F183" s="1538"/>
    </row>
    <row r="184" spans="1:6" s="1514" customFormat="1" ht="14.25" customHeight="1" thickBot="1">
      <c r="A184" s="1526" t="s">
        <v>1542</v>
      </c>
      <c r="B184" s="1520" t="s">
        <v>1455</v>
      </c>
      <c r="C184" s="1520">
        <v>6960</v>
      </c>
      <c r="D184" s="1520">
        <v>6930</v>
      </c>
      <c r="E184" s="1520">
        <v>7570</v>
      </c>
      <c r="F184" s="1538"/>
    </row>
    <row r="185" spans="1:6" s="1514" customFormat="1" ht="14.25" customHeight="1" thickBot="1">
      <c r="A185" s="1526" t="s">
        <v>1542</v>
      </c>
      <c r="B185" s="1520" t="s">
        <v>1462</v>
      </c>
      <c r="C185" s="1520">
        <v>7260</v>
      </c>
      <c r="D185" s="1520">
        <v>7230</v>
      </c>
      <c r="E185" s="1520">
        <v>7710</v>
      </c>
      <c r="F185" s="1534">
        <v>1360</v>
      </c>
    </row>
    <row r="186" spans="1:6" s="1514" customFormat="1" ht="14.25" customHeight="1" thickBot="1">
      <c r="A186" s="1526" t="s">
        <v>1542</v>
      </c>
      <c r="B186" s="1520" t="s">
        <v>1467</v>
      </c>
      <c r="C186" s="1520"/>
      <c r="D186" s="1520"/>
      <c r="E186" s="1520"/>
      <c r="F186" s="1534">
        <v>1560</v>
      </c>
    </row>
    <row r="187" spans="1:6" s="1514" customFormat="1" ht="14.25" customHeight="1" thickBot="1">
      <c r="A187" s="1526" t="s">
        <v>1542</v>
      </c>
      <c r="B187" s="1520" t="s">
        <v>1471</v>
      </c>
      <c r="C187" s="1520"/>
      <c r="D187" s="1520"/>
      <c r="E187" s="1520"/>
      <c r="F187" s="1534">
        <v>1560</v>
      </c>
    </row>
    <row r="188" spans="1:6" s="1514" customFormat="1" ht="14.25" customHeight="1" thickBot="1">
      <c r="A188" s="1526" t="s">
        <v>1542</v>
      </c>
      <c r="B188" s="1520" t="s">
        <v>1476</v>
      </c>
      <c r="C188" s="1520"/>
      <c r="D188" s="1520"/>
      <c r="E188" s="1520"/>
      <c r="F188" s="1534">
        <v>1560</v>
      </c>
    </row>
    <row r="189" spans="1:6" s="1514" customFormat="1" ht="14.25" customHeight="1" thickBot="1">
      <c r="A189" s="1526" t="s">
        <v>1542</v>
      </c>
      <c r="B189" s="1520" t="s">
        <v>1481</v>
      </c>
      <c r="C189" s="1520"/>
      <c r="D189" s="1520"/>
      <c r="E189" s="1520"/>
      <c r="F189" s="1534">
        <v>1320</v>
      </c>
    </row>
    <row r="190" spans="1:6" s="1514" customFormat="1" ht="14.25" customHeight="1" thickBot="1">
      <c r="A190" s="1526" t="s">
        <v>1542</v>
      </c>
      <c r="B190" s="1520" t="s">
        <v>1486</v>
      </c>
      <c r="C190" s="1520"/>
      <c r="D190" s="1520"/>
      <c r="E190" s="1520"/>
      <c r="F190" s="1534">
        <v>1320</v>
      </c>
    </row>
    <row r="191" spans="1:6" s="1514" customFormat="1" ht="14.25" customHeight="1" thickBot="1">
      <c r="A191" s="1526" t="s">
        <v>1542</v>
      </c>
      <c r="B191" s="1520" t="s">
        <v>1491</v>
      </c>
      <c r="C191" s="1520"/>
      <c r="D191" s="1520"/>
      <c r="E191" s="1520"/>
      <c r="F191" s="1534">
        <v>1320</v>
      </c>
    </row>
    <row r="192" spans="1:6" s="1514" customFormat="1" ht="14.25" customHeight="1" thickBot="1">
      <c r="A192" s="1526" t="s">
        <v>1542</v>
      </c>
      <c r="B192" s="1520" t="s">
        <v>1495</v>
      </c>
      <c r="C192" s="1520"/>
      <c r="D192" s="1520"/>
      <c r="E192" s="1520"/>
      <c r="F192" s="1534">
        <v>1100</v>
      </c>
    </row>
    <row r="193" spans="1:6" s="1514" customFormat="1" ht="14.25" customHeight="1" thickBot="1">
      <c r="A193" s="1526" t="s">
        <v>1542</v>
      </c>
      <c r="B193" s="1520" t="s">
        <v>1499</v>
      </c>
      <c r="C193" s="1520"/>
      <c r="D193" s="1520"/>
      <c r="E193" s="1520"/>
      <c r="F193" s="1534">
        <v>1100</v>
      </c>
    </row>
    <row r="194" spans="1:6" s="1514" customFormat="1" ht="14.25" customHeight="1" thickBot="1">
      <c r="A194" s="1526" t="s">
        <v>1542</v>
      </c>
      <c r="B194" s="1520" t="s">
        <v>1503</v>
      </c>
      <c r="C194" s="1520"/>
      <c r="D194" s="1520"/>
      <c r="E194" s="1520"/>
      <c r="F194" s="1534">
        <v>1080</v>
      </c>
    </row>
    <row r="195" spans="1:6" s="1514" customFormat="1" ht="14.25" customHeight="1" thickBot="1">
      <c r="A195" s="1526" t="s">
        <v>1542</v>
      </c>
      <c r="B195" s="1520" t="s">
        <v>1507</v>
      </c>
      <c r="C195" s="1520"/>
      <c r="D195" s="1520"/>
      <c r="E195" s="1520"/>
      <c r="F195" s="1534">
        <v>1270</v>
      </c>
    </row>
    <row r="196" spans="1:6" s="1514" customFormat="1" ht="14.25" customHeight="1" thickBot="1">
      <c r="A196" s="1526" t="s">
        <v>1542</v>
      </c>
      <c r="B196" s="1520" t="s">
        <v>1511</v>
      </c>
      <c r="C196" s="1520"/>
      <c r="D196" s="1520"/>
      <c r="E196" s="1520"/>
      <c r="F196" s="1534">
        <v>1150</v>
      </c>
    </row>
    <row r="197" spans="1:6" s="1514" customFormat="1" ht="14.25" customHeight="1" thickBot="1">
      <c r="A197" s="1526" t="s">
        <v>1542</v>
      </c>
      <c r="B197" s="1520" t="s">
        <v>1515</v>
      </c>
      <c r="C197" s="1520"/>
      <c r="D197" s="1520"/>
      <c r="E197" s="1520"/>
      <c r="F197" s="1534">
        <v>1330</v>
      </c>
    </row>
    <row r="198" spans="1:6" s="1514" customFormat="1" ht="14.25" customHeight="1" thickBot="1">
      <c r="A198" s="1526" t="s">
        <v>1542</v>
      </c>
      <c r="B198" s="1520" t="s">
        <v>1518</v>
      </c>
      <c r="C198" s="1520"/>
      <c r="D198" s="1520"/>
      <c r="E198" s="1520"/>
      <c r="F198" s="1534">
        <v>1170</v>
      </c>
    </row>
    <row r="199" spans="1:6" s="1514" customFormat="1" ht="14.25" customHeight="1" thickBot="1">
      <c r="A199" s="1526" t="s">
        <v>1542</v>
      </c>
      <c r="B199" s="1520" t="s">
        <v>1521</v>
      </c>
      <c r="C199" s="1520"/>
      <c r="D199" s="1520"/>
      <c r="E199" s="1520"/>
      <c r="F199" s="1534">
        <v>1120</v>
      </c>
    </row>
    <row r="200" spans="1:6" s="1514" customFormat="1" ht="14.25" customHeight="1" thickBot="1">
      <c r="A200" s="1526" t="s">
        <v>1542</v>
      </c>
      <c r="B200" s="1520" t="s">
        <v>1524</v>
      </c>
      <c r="C200" s="1520"/>
      <c r="D200" s="1520"/>
      <c r="E200" s="1520"/>
      <c r="F200" s="1534">
        <v>1120</v>
      </c>
    </row>
    <row r="201" spans="1:6" s="1514" customFormat="1" ht="14.25" customHeight="1" thickBot="1">
      <c r="A201" s="1526" t="s">
        <v>1542</v>
      </c>
      <c r="B201" s="1520" t="s">
        <v>1527</v>
      </c>
      <c r="C201" s="1520"/>
      <c r="D201" s="1520"/>
      <c r="E201" s="1520"/>
      <c r="F201" s="1534">
        <v>1540</v>
      </c>
    </row>
    <row r="202" spans="1:6" s="1514" customFormat="1" ht="14.25" customHeight="1" thickBot="1">
      <c r="A202" s="1526" t="s">
        <v>1542</v>
      </c>
      <c r="B202" s="1520" t="s">
        <v>1530</v>
      </c>
      <c r="C202" s="1520"/>
      <c r="D202" s="1520"/>
      <c r="E202" s="1520"/>
      <c r="F202" s="1534">
        <v>1310</v>
      </c>
    </row>
    <row r="203" spans="1:6" s="1514" customFormat="1" ht="14.25" customHeight="1" thickBot="1">
      <c r="A203" s="1526" t="s">
        <v>1542</v>
      </c>
      <c r="B203" s="1520" t="s">
        <v>1533</v>
      </c>
      <c r="C203" s="1520"/>
      <c r="D203" s="1520"/>
      <c r="E203" s="1520"/>
      <c r="F203" s="1534">
        <v>1310</v>
      </c>
    </row>
    <row r="204" spans="1:6" s="1514" customFormat="1" ht="14.25" customHeight="1" thickBot="1">
      <c r="A204" s="1526" t="s">
        <v>1542</v>
      </c>
      <c r="B204" s="1520" t="s">
        <v>1535</v>
      </c>
      <c r="C204" s="1520"/>
      <c r="D204" s="1520"/>
      <c r="E204" s="1520"/>
      <c r="F204" s="1534">
        <v>1080</v>
      </c>
    </row>
    <row r="205" spans="1:6" s="1514" customFormat="1" ht="14.25" customHeight="1" thickBot="1">
      <c r="A205" s="1526" t="s">
        <v>1542</v>
      </c>
      <c r="B205" s="1520" t="s">
        <v>1538</v>
      </c>
      <c r="C205" s="1520"/>
      <c r="D205" s="1520"/>
      <c r="E205" s="1520"/>
      <c r="F205" s="1534">
        <v>1080</v>
      </c>
    </row>
    <row r="206" spans="1:6" s="1514" customFormat="1" ht="14.25" customHeight="1" thickBot="1">
      <c r="A206" s="1526" t="s">
        <v>1544</v>
      </c>
      <c r="B206" s="1527" t="s">
        <v>1545</v>
      </c>
      <c r="C206" s="1527">
        <v>5450</v>
      </c>
      <c r="D206" s="1527">
        <v>5430</v>
      </c>
      <c r="E206" s="1527">
        <v>5700</v>
      </c>
      <c r="F206" s="1528">
        <v>1020</v>
      </c>
    </row>
    <row r="207" spans="1:6" s="1514" customFormat="1" ht="14.25" customHeight="1" thickBot="1">
      <c r="A207" s="1526" t="s">
        <v>1544</v>
      </c>
      <c r="B207" s="1520" t="s">
        <v>1210</v>
      </c>
      <c r="C207" s="1520">
        <v>5860</v>
      </c>
      <c r="D207" s="1520">
        <v>5820</v>
      </c>
      <c r="E207" s="1520">
        <v>6050</v>
      </c>
      <c r="F207" s="1534">
        <v>1080</v>
      </c>
    </row>
    <row r="208" spans="1:6" s="1514" customFormat="1" ht="14.25" customHeight="1" thickBot="1">
      <c r="A208" s="1526" t="s">
        <v>1544</v>
      </c>
      <c r="B208" s="1520" t="s">
        <v>1223</v>
      </c>
      <c r="C208" s="1520">
        <v>4630</v>
      </c>
      <c r="D208" s="1520">
        <v>4600</v>
      </c>
      <c r="E208" s="1520">
        <v>4840</v>
      </c>
      <c r="F208" s="1534">
        <v>900</v>
      </c>
    </row>
    <row r="209" spans="1:6" s="1514" customFormat="1" ht="14.25" customHeight="1" thickBot="1">
      <c r="A209" s="1526" t="s">
        <v>1544</v>
      </c>
      <c r="B209" s="1520" t="s">
        <v>1236</v>
      </c>
      <c r="C209" s="1520">
        <v>5320</v>
      </c>
      <c r="D209" s="1520">
        <v>5270</v>
      </c>
      <c r="E209" s="1520">
        <v>5540</v>
      </c>
      <c r="F209" s="1534">
        <v>980</v>
      </c>
    </row>
    <row r="210" spans="1:6" s="1514" customFormat="1" ht="14.25" customHeight="1" thickBot="1">
      <c r="A210" s="1526" t="s">
        <v>1544</v>
      </c>
      <c r="B210" s="1520" t="s">
        <v>1248</v>
      </c>
      <c r="C210" s="1520">
        <v>5760</v>
      </c>
      <c r="D210" s="1520">
        <v>5710</v>
      </c>
      <c r="E210" s="1520">
        <v>6010</v>
      </c>
      <c r="F210" s="1534">
        <v>870</v>
      </c>
    </row>
    <row r="211" spans="1:6" s="1514" customFormat="1" ht="14.25" customHeight="1" thickBot="1">
      <c r="A211" s="1526" t="s">
        <v>1544</v>
      </c>
      <c r="B211" s="1520" t="s">
        <v>1259</v>
      </c>
      <c r="C211" s="1520">
        <v>4160</v>
      </c>
      <c r="D211" s="1520">
        <v>4100</v>
      </c>
      <c r="E211" s="1520">
        <v>4270</v>
      </c>
      <c r="F211" s="1534">
        <v>790</v>
      </c>
    </row>
    <row r="212" spans="1:6" s="1514" customFormat="1" ht="14.25" customHeight="1" thickBot="1">
      <c r="A212" s="1526" t="s">
        <v>1544</v>
      </c>
      <c r="B212" s="1520" t="s">
        <v>1270</v>
      </c>
      <c r="C212" s="1520">
        <v>4880</v>
      </c>
      <c r="D212" s="1520">
        <v>4850</v>
      </c>
      <c r="E212" s="1520">
        <v>5110</v>
      </c>
      <c r="F212" s="1534">
        <v>940</v>
      </c>
    </row>
    <row r="213" spans="1:6" s="1514" customFormat="1" ht="14.25" customHeight="1" thickBot="1">
      <c r="A213" s="1526" t="s">
        <v>1544</v>
      </c>
      <c r="B213" s="1520" t="s">
        <v>1281</v>
      </c>
      <c r="C213" s="1520">
        <v>4640</v>
      </c>
      <c r="D213" s="1520">
        <v>4590</v>
      </c>
      <c r="E213" s="1520">
        <v>4700</v>
      </c>
      <c r="F213" s="1534">
        <v>1030</v>
      </c>
    </row>
    <row r="214" spans="1:6" s="1514" customFormat="1" ht="14.25" customHeight="1" thickBot="1">
      <c r="A214" s="1526" t="s">
        <v>1544</v>
      </c>
      <c r="B214" s="1520" t="s">
        <v>1293</v>
      </c>
      <c r="C214" s="1520">
        <v>4540</v>
      </c>
      <c r="D214" s="1520">
        <v>4490</v>
      </c>
      <c r="E214" s="1520">
        <v>4610</v>
      </c>
      <c r="F214" s="1538"/>
    </row>
    <row r="215" spans="1:6" s="1514" customFormat="1" ht="14.25" customHeight="1" thickBot="1">
      <c r="A215" s="1526" t="s">
        <v>1544</v>
      </c>
      <c r="B215" s="1520" t="s">
        <v>1303</v>
      </c>
      <c r="C215" s="1520">
        <v>5280</v>
      </c>
      <c r="D215" s="1520">
        <v>5250</v>
      </c>
      <c r="E215" s="1520">
        <v>5520</v>
      </c>
      <c r="F215" s="1534">
        <v>1000</v>
      </c>
    </row>
    <row r="216" spans="1:6" s="1514" customFormat="1" ht="14.25" customHeight="1" thickBot="1">
      <c r="A216" s="1526" t="s">
        <v>1544</v>
      </c>
      <c r="B216" s="1520" t="s">
        <v>1313</v>
      </c>
      <c r="C216" s="1520">
        <v>5100</v>
      </c>
      <c r="D216" s="1520">
        <v>5050</v>
      </c>
      <c r="E216" s="1520">
        <v>5300</v>
      </c>
      <c r="F216" s="1534">
        <v>950</v>
      </c>
    </row>
    <row r="217" spans="1:6" s="1514" customFormat="1" ht="14.25" customHeight="1" thickBot="1">
      <c r="A217" s="1526" t="s">
        <v>1544</v>
      </c>
      <c r="B217" s="1520" t="s">
        <v>1323</v>
      </c>
      <c r="C217" s="1520">
        <v>5370</v>
      </c>
      <c r="D217" s="1520">
        <v>5320</v>
      </c>
      <c r="E217" s="1520">
        <v>5410</v>
      </c>
      <c r="F217" s="1534">
        <v>950</v>
      </c>
    </row>
    <row r="218" spans="1:6" s="1514" customFormat="1" ht="14.25" customHeight="1" thickBot="1">
      <c r="A218" s="1526" t="s">
        <v>1544</v>
      </c>
      <c r="B218" s="1520" t="s">
        <v>1333</v>
      </c>
      <c r="C218" s="1520">
        <v>5540</v>
      </c>
      <c r="D218" s="1520">
        <v>5480</v>
      </c>
      <c r="E218" s="1520">
        <v>5740</v>
      </c>
      <c r="F218" s="1534">
        <v>1020</v>
      </c>
    </row>
    <row r="219" spans="1:6" s="1514" customFormat="1" ht="14.25" customHeight="1" thickBot="1">
      <c r="A219" s="1526" t="s">
        <v>1544</v>
      </c>
      <c r="B219" s="1520" t="s">
        <v>1344</v>
      </c>
      <c r="C219" s="1520">
        <v>5140</v>
      </c>
      <c r="D219" s="1520">
        <v>5100</v>
      </c>
      <c r="E219" s="1520">
        <v>5350</v>
      </c>
      <c r="F219" s="1534">
        <v>1120</v>
      </c>
    </row>
    <row r="220" spans="1:6" s="1514" customFormat="1" ht="14.25" customHeight="1" thickBot="1">
      <c r="A220" s="1526" t="s">
        <v>1544</v>
      </c>
      <c r="B220" s="1520" t="s">
        <v>1355</v>
      </c>
      <c r="C220" s="1520">
        <v>5040</v>
      </c>
      <c r="D220" s="1520">
        <v>5000</v>
      </c>
      <c r="E220" s="1520">
        <v>5240</v>
      </c>
      <c r="F220" s="1534">
        <v>980</v>
      </c>
    </row>
    <row r="221" spans="1:6" s="1514" customFormat="1" ht="14.25" customHeight="1" thickBot="1">
      <c r="A221" s="1526" t="s">
        <v>1544</v>
      </c>
      <c r="B221" s="1520" t="s">
        <v>1365</v>
      </c>
      <c r="C221" s="1539"/>
      <c r="D221" s="1539"/>
      <c r="E221" s="1539"/>
      <c r="F221" s="1534">
        <v>1070</v>
      </c>
    </row>
    <row r="222" spans="1:6" s="1514" customFormat="1" ht="14.25" customHeight="1" thickBot="1">
      <c r="A222" s="1526" t="s">
        <v>1544</v>
      </c>
      <c r="B222" s="1520" t="s">
        <v>1375</v>
      </c>
      <c r="C222" s="1539"/>
      <c r="D222" s="1539"/>
      <c r="E222" s="1539"/>
      <c r="F222" s="1534">
        <v>870</v>
      </c>
    </row>
    <row r="223" spans="1:6" s="1514" customFormat="1" ht="14.25" customHeight="1" thickBot="1">
      <c r="A223" s="1526" t="s">
        <v>1544</v>
      </c>
      <c r="B223" s="1520" t="s">
        <v>1385</v>
      </c>
      <c r="C223" s="1539"/>
      <c r="D223" s="1539"/>
      <c r="E223" s="1539"/>
      <c r="F223" s="1534">
        <v>940</v>
      </c>
    </row>
    <row r="224" spans="1:6" s="1514" customFormat="1" ht="14.25" customHeight="1" thickBot="1">
      <c r="A224" s="1526" t="s">
        <v>1544</v>
      </c>
      <c r="B224" s="1520" t="s">
        <v>1395</v>
      </c>
      <c r="C224" s="1539"/>
      <c r="D224" s="1539"/>
      <c r="E224" s="1539"/>
      <c r="F224" s="1534">
        <v>990</v>
      </c>
    </row>
    <row r="225" spans="1:6" s="1514" customFormat="1" ht="14.25" customHeight="1" thickBot="1">
      <c r="A225" s="1526" t="s">
        <v>1544</v>
      </c>
      <c r="B225" s="1520" t="s">
        <v>1404</v>
      </c>
      <c r="C225" s="1520">
        <v>5730</v>
      </c>
      <c r="D225" s="1520">
        <v>5680</v>
      </c>
      <c r="E225" s="1520">
        <v>6020</v>
      </c>
      <c r="F225" s="1534">
        <v>1000</v>
      </c>
    </row>
    <row r="226" spans="1:6" s="1514" customFormat="1" ht="14.25" customHeight="1" thickBot="1">
      <c r="A226" s="1526" t="s">
        <v>1544</v>
      </c>
      <c r="B226" s="1520" t="s">
        <v>1413</v>
      </c>
      <c r="C226" s="1520">
        <v>4970</v>
      </c>
      <c r="D226" s="1520">
        <v>4940</v>
      </c>
      <c r="E226" s="1520">
        <v>5180</v>
      </c>
      <c r="F226" s="1534">
        <v>960</v>
      </c>
    </row>
    <row r="227" spans="1:6" s="1514" customFormat="1" ht="14.25" customHeight="1" thickBot="1">
      <c r="A227" s="1526" t="s">
        <v>1544</v>
      </c>
      <c r="B227" s="1520" t="s">
        <v>1421</v>
      </c>
      <c r="C227" s="1520">
        <v>5550</v>
      </c>
      <c r="D227" s="1520">
        <v>5500</v>
      </c>
      <c r="E227" s="1520">
        <v>5780</v>
      </c>
      <c r="F227" s="1534">
        <v>940</v>
      </c>
    </row>
    <row r="228" spans="1:6" s="1514" customFormat="1" ht="14.25" customHeight="1" thickBot="1">
      <c r="A228" s="1526" t="s">
        <v>1544</v>
      </c>
      <c r="B228" s="1520" t="s">
        <v>1428</v>
      </c>
      <c r="C228" s="1520">
        <v>5460</v>
      </c>
      <c r="D228" s="1520">
        <v>5420</v>
      </c>
      <c r="E228" s="1520">
        <v>5690</v>
      </c>
      <c r="F228" s="1534">
        <v>910</v>
      </c>
    </row>
    <row r="229" spans="1:6" s="1514" customFormat="1" ht="14.25" customHeight="1" thickBot="1">
      <c r="A229" s="1526" t="s">
        <v>1544</v>
      </c>
      <c r="B229" s="1520" t="s">
        <v>1435</v>
      </c>
      <c r="C229" s="1520">
        <v>5310</v>
      </c>
      <c r="D229" s="1520">
        <v>5270</v>
      </c>
      <c r="E229" s="1520">
        <v>5510</v>
      </c>
      <c r="F229" s="1538"/>
    </row>
    <row r="230" spans="1:6" s="1514" customFormat="1" ht="14.25" customHeight="1" thickBot="1">
      <c r="A230" s="1526" t="s">
        <v>1544</v>
      </c>
      <c r="B230" s="1520" t="s">
        <v>1442</v>
      </c>
      <c r="C230" s="1520">
        <v>4540</v>
      </c>
      <c r="D230" s="1520">
        <v>4500</v>
      </c>
      <c r="E230" s="1520">
        <v>4730</v>
      </c>
      <c r="F230" s="1538"/>
    </row>
    <row r="231" spans="1:6" s="1514" customFormat="1" ht="14.25" customHeight="1" thickBot="1">
      <c r="A231" s="1526" t="s">
        <v>1544</v>
      </c>
      <c r="B231" s="1520" t="s">
        <v>1449</v>
      </c>
      <c r="C231" s="1520">
        <v>4480</v>
      </c>
      <c r="D231" s="1520">
        <v>4410</v>
      </c>
      <c r="E231" s="1520">
        <v>4640</v>
      </c>
      <c r="F231" s="1538"/>
    </row>
    <row r="232" spans="1:6" s="1514" customFormat="1" ht="14.25" customHeight="1" thickBot="1">
      <c r="A232" s="1526" t="s">
        <v>1544</v>
      </c>
      <c r="B232" s="1520" t="s">
        <v>1456</v>
      </c>
      <c r="C232" s="1520">
        <v>5670</v>
      </c>
      <c r="D232" s="1520">
        <v>5600</v>
      </c>
      <c r="E232" s="1520">
        <v>5890</v>
      </c>
      <c r="F232" s="1534">
        <v>1150</v>
      </c>
    </row>
    <row r="233" spans="1:6" s="1514" customFormat="1" ht="14.25" customHeight="1" thickBot="1">
      <c r="A233" s="1526" t="s">
        <v>1544</v>
      </c>
      <c r="B233" s="1520" t="s">
        <v>1463</v>
      </c>
      <c r="C233" s="1520">
        <v>4590</v>
      </c>
      <c r="D233" s="1520">
        <v>4500</v>
      </c>
      <c r="E233" s="1520">
        <v>4600</v>
      </c>
      <c r="F233" s="1538"/>
    </row>
    <row r="234" spans="1:6" s="1514" customFormat="1" ht="14.25" customHeight="1" thickBot="1">
      <c r="A234" s="1526" t="s">
        <v>1544</v>
      </c>
      <c r="B234" s="1520" t="s">
        <v>2505</v>
      </c>
      <c r="C234" s="1520">
        <v>3990</v>
      </c>
      <c r="D234" s="1520">
        <v>3950</v>
      </c>
      <c r="E234" s="1520">
        <v>4180</v>
      </c>
      <c r="F234" s="1538"/>
    </row>
    <row r="235" spans="1:6" s="1514" customFormat="1" ht="14.25" customHeight="1" thickBot="1">
      <c r="A235" s="1526" t="s">
        <v>1544</v>
      </c>
      <c r="B235" s="1520" t="s">
        <v>1472</v>
      </c>
      <c r="C235" s="1520">
        <v>5590</v>
      </c>
      <c r="D235" s="1520">
        <v>5540</v>
      </c>
      <c r="E235" s="1520">
        <v>5810</v>
      </c>
      <c r="F235" s="1534">
        <v>970</v>
      </c>
    </row>
    <row r="236" spans="1:6" s="1514" customFormat="1" ht="14.25" customHeight="1" thickBot="1">
      <c r="A236" s="1526" t="s">
        <v>1544</v>
      </c>
      <c r="B236" s="1520" t="s">
        <v>1477</v>
      </c>
      <c r="C236" s="1520"/>
      <c r="D236" s="1520"/>
      <c r="E236" s="1520"/>
      <c r="F236" s="1534">
        <v>1020</v>
      </c>
    </row>
    <row r="237" spans="1:6" s="1514" customFormat="1" ht="14.25" customHeight="1" thickBot="1">
      <c r="A237" s="1526" t="s">
        <v>1544</v>
      </c>
      <c r="B237" s="1520" t="s">
        <v>1482</v>
      </c>
      <c r="C237" s="1520"/>
      <c r="D237" s="1520"/>
      <c r="E237" s="1520"/>
      <c r="F237" s="1534">
        <v>960</v>
      </c>
    </row>
    <row r="238" spans="1:6" s="1514" customFormat="1" ht="14.25" customHeight="1" thickBot="1">
      <c r="A238" s="1526" t="s">
        <v>1544</v>
      </c>
      <c r="B238" s="1520" t="s">
        <v>1487</v>
      </c>
      <c r="C238" s="1520"/>
      <c r="D238" s="1520"/>
      <c r="E238" s="1520"/>
      <c r="F238" s="1534">
        <v>960</v>
      </c>
    </row>
    <row r="239" spans="1:6" s="1514" customFormat="1" ht="14.25" customHeight="1" thickBot="1">
      <c r="A239" s="1526" t="s">
        <v>1544</v>
      </c>
      <c r="B239" s="1520" t="s">
        <v>1492</v>
      </c>
      <c r="C239" s="1520"/>
      <c r="D239" s="1520"/>
      <c r="E239" s="1520"/>
      <c r="F239" s="1534">
        <v>960</v>
      </c>
    </row>
    <row r="240" spans="1:6" s="1514" customFormat="1" ht="14.25" customHeight="1" thickBot="1">
      <c r="A240" s="1526" t="s">
        <v>1544</v>
      </c>
      <c r="B240" s="1520" t="s">
        <v>1496</v>
      </c>
      <c r="C240" s="1520"/>
      <c r="D240" s="1520"/>
      <c r="E240" s="1520"/>
      <c r="F240" s="1534">
        <v>990</v>
      </c>
    </row>
    <row r="241" spans="1:6" s="1514" customFormat="1" ht="14.25" customHeight="1" thickBot="1">
      <c r="A241" s="1526" t="s">
        <v>1544</v>
      </c>
      <c r="B241" s="1520" t="s">
        <v>1500</v>
      </c>
      <c r="C241" s="1520"/>
      <c r="D241" s="1520"/>
      <c r="E241" s="1520"/>
      <c r="F241" s="1534">
        <v>1000</v>
      </c>
    </row>
    <row r="242" spans="1:6" s="1514" customFormat="1" ht="14.25" customHeight="1" thickBot="1">
      <c r="A242" s="1526" t="s">
        <v>1544</v>
      </c>
      <c r="B242" s="1520" t="s">
        <v>1504</v>
      </c>
      <c r="C242" s="1520"/>
      <c r="D242" s="1520"/>
      <c r="E242" s="1520"/>
      <c r="F242" s="1534">
        <v>980</v>
      </c>
    </row>
    <row r="243" spans="1:6" s="1514" customFormat="1" ht="14.25" customHeight="1" thickBot="1">
      <c r="A243" s="1526" t="s">
        <v>1544</v>
      </c>
      <c r="B243" s="1520" t="s">
        <v>1508</v>
      </c>
      <c r="C243" s="1520"/>
      <c r="D243" s="1520"/>
      <c r="E243" s="1520"/>
      <c r="F243" s="1534">
        <v>970</v>
      </c>
    </row>
    <row r="244" spans="1:6" s="1514" customFormat="1" ht="14.25" customHeight="1" thickBot="1">
      <c r="A244" s="1526" t="s">
        <v>1544</v>
      </c>
      <c r="B244" s="1532" t="s">
        <v>1512</v>
      </c>
      <c r="C244" s="1532"/>
      <c r="D244" s="1532"/>
      <c r="E244" s="1532"/>
      <c r="F244" s="1537">
        <v>970</v>
      </c>
    </row>
    <row r="245" spans="1:6" s="1514" customFormat="1" ht="14.25" customHeight="1" thickBot="1">
      <c r="A245" s="1526" t="s">
        <v>1546</v>
      </c>
      <c r="B245" s="1527" t="s">
        <v>1547</v>
      </c>
      <c r="C245" s="1527">
        <v>4050</v>
      </c>
      <c r="D245" s="1527">
        <v>4020</v>
      </c>
      <c r="E245" s="1527">
        <v>4160</v>
      </c>
      <c r="F245" s="1528">
        <v>840</v>
      </c>
    </row>
    <row r="246" spans="1:6" s="1514" customFormat="1" ht="14.25" customHeight="1" thickBot="1">
      <c r="A246" s="1526" t="s">
        <v>1546</v>
      </c>
      <c r="B246" s="1520" t="s">
        <v>1211</v>
      </c>
      <c r="C246" s="1520">
        <v>4010</v>
      </c>
      <c r="D246" s="1520">
        <v>3960</v>
      </c>
      <c r="E246" s="1520">
        <v>4130</v>
      </c>
      <c r="F246" s="1534">
        <v>840</v>
      </c>
    </row>
    <row r="247" spans="1:6" s="1514" customFormat="1" ht="14.25" customHeight="1" thickBot="1">
      <c r="A247" s="1526" t="s">
        <v>1546</v>
      </c>
      <c r="B247" s="1520" t="s">
        <v>1548</v>
      </c>
      <c r="C247" s="1520">
        <v>3170</v>
      </c>
      <c r="D247" s="1520">
        <v>3140</v>
      </c>
      <c r="E247" s="1520">
        <v>3270</v>
      </c>
      <c r="F247" s="1534">
        <v>640</v>
      </c>
    </row>
    <row r="248" spans="1:6" s="1514" customFormat="1" ht="14.25" customHeight="1" thickBot="1">
      <c r="A248" s="1526" t="s">
        <v>1546</v>
      </c>
      <c r="B248" s="1520" t="s">
        <v>1549</v>
      </c>
      <c r="C248" s="1520">
        <v>3140</v>
      </c>
      <c r="D248" s="1520">
        <v>3120</v>
      </c>
      <c r="E248" s="1520">
        <v>3240</v>
      </c>
      <c r="F248" s="1534">
        <v>620</v>
      </c>
    </row>
    <row r="249" spans="1:6" s="1514" customFormat="1" ht="14.25" customHeight="1" thickBot="1">
      <c r="A249" s="1526" t="s">
        <v>1546</v>
      </c>
      <c r="B249" s="1520" t="s">
        <v>1249</v>
      </c>
      <c r="C249" s="1520">
        <v>3200</v>
      </c>
      <c r="D249" s="1520">
        <v>3100</v>
      </c>
      <c r="E249" s="1520">
        <v>3230</v>
      </c>
      <c r="F249" s="1534">
        <v>750</v>
      </c>
    </row>
    <row r="250" spans="1:6" s="1514" customFormat="1" ht="14.25" customHeight="1" thickBot="1">
      <c r="A250" s="1526" t="s">
        <v>1546</v>
      </c>
      <c r="B250" s="1520" t="s">
        <v>1260</v>
      </c>
      <c r="C250" s="1520">
        <v>4060</v>
      </c>
      <c r="D250" s="1520">
        <v>4000</v>
      </c>
      <c r="E250" s="1520">
        <v>4140</v>
      </c>
      <c r="F250" s="1534">
        <v>790</v>
      </c>
    </row>
    <row r="251" spans="1:6" s="1514" customFormat="1" ht="14.25" customHeight="1" thickBot="1">
      <c r="A251" s="1526" t="s">
        <v>1546</v>
      </c>
      <c r="B251" s="1520" t="s">
        <v>1271</v>
      </c>
      <c r="C251" s="1520">
        <v>3990</v>
      </c>
      <c r="D251" s="1520">
        <v>3970</v>
      </c>
      <c r="E251" s="1520">
        <v>4110</v>
      </c>
      <c r="F251" s="1534">
        <v>730</v>
      </c>
    </row>
    <row r="252" spans="1:6" s="1514" customFormat="1" ht="14.25" customHeight="1" thickBot="1">
      <c r="A252" s="1526" t="s">
        <v>1546</v>
      </c>
      <c r="B252" s="1520" t="s">
        <v>1282</v>
      </c>
      <c r="C252" s="1520">
        <v>3560</v>
      </c>
      <c r="D252" s="1520">
        <v>3530</v>
      </c>
      <c r="E252" s="1520">
        <v>3650</v>
      </c>
      <c r="F252" s="1534">
        <v>750</v>
      </c>
    </row>
    <row r="253" spans="1:6" s="1514" customFormat="1" ht="14.25" customHeight="1" thickBot="1">
      <c r="A253" s="1526" t="s">
        <v>1546</v>
      </c>
      <c r="B253" s="1520" t="s">
        <v>1294</v>
      </c>
      <c r="C253" s="1520">
        <v>3780</v>
      </c>
      <c r="D253" s="1520">
        <v>3750</v>
      </c>
      <c r="E253" s="1520">
        <v>3870</v>
      </c>
      <c r="F253" s="1534">
        <v>770</v>
      </c>
    </row>
    <row r="254" spans="1:6" s="1514" customFormat="1" ht="14.25" customHeight="1" thickBot="1">
      <c r="A254" s="1526" t="s">
        <v>1546</v>
      </c>
      <c r="B254" s="1520" t="s">
        <v>1304</v>
      </c>
      <c r="C254" s="1539"/>
      <c r="D254" s="1539"/>
      <c r="E254" s="1539"/>
      <c r="F254" s="1534">
        <v>740</v>
      </c>
    </row>
    <row r="255" spans="1:6" s="1514" customFormat="1" ht="14.25" customHeight="1" thickBot="1">
      <c r="A255" s="1526" t="s">
        <v>1546</v>
      </c>
      <c r="B255" s="1520" t="s">
        <v>1314</v>
      </c>
      <c r="C255" s="1539"/>
      <c r="D255" s="1539"/>
      <c r="E255" s="1539"/>
      <c r="F255" s="1534">
        <v>760</v>
      </c>
    </row>
    <row r="256" spans="1:6" s="1514" customFormat="1" ht="14.25" customHeight="1" thickBot="1">
      <c r="A256" s="1526" t="s">
        <v>1546</v>
      </c>
      <c r="B256" s="1520" t="s">
        <v>1324</v>
      </c>
      <c r="C256" s="1520">
        <v>3760</v>
      </c>
      <c r="D256" s="1520">
        <v>3730</v>
      </c>
      <c r="E256" s="1520">
        <v>3870</v>
      </c>
      <c r="F256" s="1534">
        <v>830</v>
      </c>
    </row>
    <row r="257" spans="1:6" s="1514" customFormat="1" ht="14.25" customHeight="1" thickBot="1">
      <c r="A257" s="1526" t="s">
        <v>1546</v>
      </c>
      <c r="B257" s="1520" t="s">
        <v>1334</v>
      </c>
      <c r="C257" s="1520">
        <v>3570</v>
      </c>
      <c r="D257" s="1520">
        <v>3540</v>
      </c>
      <c r="E257" s="1520">
        <v>3650</v>
      </c>
      <c r="F257" s="1534">
        <v>790</v>
      </c>
    </row>
    <row r="258" spans="1:6" s="1514" customFormat="1" ht="14.25" customHeight="1" thickBot="1">
      <c r="A258" s="1526" t="s">
        <v>1546</v>
      </c>
      <c r="B258" s="1520" t="s">
        <v>1345</v>
      </c>
      <c r="C258" s="1520">
        <v>3410</v>
      </c>
      <c r="D258" s="1520">
        <v>3380</v>
      </c>
      <c r="E258" s="1520">
        <v>3500</v>
      </c>
      <c r="F258" s="1534">
        <v>830</v>
      </c>
    </row>
    <row r="259" spans="1:6" s="1514" customFormat="1" ht="14.25" customHeight="1" thickBot="1">
      <c r="A259" s="1526" t="s">
        <v>1546</v>
      </c>
      <c r="B259" s="1520" t="s">
        <v>1356</v>
      </c>
      <c r="C259" s="1520">
        <v>3870</v>
      </c>
      <c r="D259" s="1520">
        <v>3840</v>
      </c>
      <c r="E259" s="1520">
        <v>3970</v>
      </c>
      <c r="F259" s="1534">
        <v>830</v>
      </c>
    </row>
    <row r="260" spans="1:6" s="1514" customFormat="1" ht="14.25" customHeight="1" thickBot="1">
      <c r="A260" s="1526" t="s">
        <v>1546</v>
      </c>
      <c r="B260" s="1520" t="s">
        <v>1366</v>
      </c>
      <c r="C260" s="1520">
        <v>3700</v>
      </c>
      <c r="D260" s="1520">
        <v>3660</v>
      </c>
      <c r="E260" s="1520">
        <v>3810</v>
      </c>
      <c r="F260" s="1534">
        <v>790</v>
      </c>
    </row>
    <row r="261" spans="1:6" s="1514" customFormat="1" ht="14.25" customHeight="1" thickBot="1">
      <c r="A261" s="1526" t="s">
        <v>1546</v>
      </c>
      <c r="B261" s="1520" t="s">
        <v>1376</v>
      </c>
      <c r="C261" s="1520">
        <v>3470</v>
      </c>
      <c r="D261" s="1520">
        <v>3430</v>
      </c>
      <c r="E261" s="1520">
        <v>3640</v>
      </c>
      <c r="F261" s="1534">
        <v>760</v>
      </c>
    </row>
    <row r="262" spans="1:6" s="1514" customFormat="1" ht="14.25" customHeight="1" thickBot="1">
      <c r="A262" s="1526" t="s">
        <v>1546</v>
      </c>
      <c r="B262" s="1520" t="s">
        <v>1386</v>
      </c>
      <c r="C262" s="1520">
        <v>3510</v>
      </c>
      <c r="D262" s="1520">
        <v>3470</v>
      </c>
      <c r="E262" s="1520">
        <v>3680</v>
      </c>
      <c r="F262" s="1538"/>
    </row>
    <row r="263" spans="1:6" s="1514" customFormat="1" ht="14.25" customHeight="1" thickBot="1">
      <c r="A263" s="1526" t="s">
        <v>1546</v>
      </c>
      <c r="B263" s="1520" t="s">
        <v>1396</v>
      </c>
      <c r="C263" s="1520">
        <v>3960</v>
      </c>
      <c r="D263" s="1520">
        <v>3930</v>
      </c>
      <c r="E263" s="1520">
        <v>4070</v>
      </c>
      <c r="F263" s="1534">
        <v>830</v>
      </c>
    </row>
    <row r="264" spans="1:6" s="1514" customFormat="1" ht="14.25" customHeight="1" thickBot="1">
      <c r="A264" s="1526" t="s">
        <v>1546</v>
      </c>
      <c r="B264" s="1520" t="s">
        <v>1405</v>
      </c>
      <c r="C264" s="1520">
        <v>4010</v>
      </c>
      <c r="D264" s="1520">
        <v>3980</v>
      </c>
      <c r="E264" s="1520">
        <v>4150</v>
      </c>
      <c r="F264" s="1534">
        <v>760</v>
      </c>
    </row>
    <row r="265" spans="1:6" s="1514" customFormat="1" ht="14.25" customHeight="1" thickBot="1">
      <c r="A265" s="1526" t="s">
        <v>1546</v>
      </c>
      <c r="B265" s="1520" t="s">
        <v>1414</v>
      </c>
      <c r="C265" s="1520">
        <v>3910</v>
      </c>
      <c r="D265" s="1520">
        <v>3890</v>
      </c>
      <c r="E265" s="1520">
        <v>4040</v>
      </c>
      <c r="F265" s="1534">
        <v>780</v>
      </c>
    </row>
    <row r="266" spans="1:6" s="1514" customFormat="1" ht="14.25" customHeight="1" thickBot="1">
      <c r="A266" s="1526" t="s">
        <v>1546</v>
      </c>
      <c r="B266" s="1520" t="s">
        <v>1422</v>
      </c>
      <c r="C266" s="1520">
        <v>3930</v>
      </c>
      <c r="D266" s="1520">
        <v>3900</v>
      </c>
      <c r="E266" s="1520">
        <v>4080</v>
      </c>
      <c r="F266" s="1534">
        <v>770</v>
      </c>
    </row>
    <row r="267" spans="1:6" s="1514" customFormat="1" ht="14.25" customHeight="1" thickBot="1">
      <c r="A267" s="1526" t="s">
        <v>1546</v>
      </c>
      <c r="B267" s="1520" t="s">
        <v>1429</v>
      </c>
      <c r="C267" s="1520">
        <v>3800</v>
      </c>
      <c r="D267" s="1520">
        <v>3780</v>
      </c>
      <c r="E267" s="1520">
        <v>3930</v>
      </c>
      <c r="F267" s="1538"/>
    </row>
    <row r="268" spans="1:6" s="1514" customFormat="1" ht="14.25" customHeight="1" thickBot="1">
      <c r="A268" s="1526" t="s">
        <v>1546</v>
      </c>
      <c r="B268" s="1520" t="s">
        <v>1436</v>
      </c>
      <c r="C268" s="1520">
        <v>3460</v>
      </c>
      <c r="D268" s="1520">
        <v>3430</v>
      </c>
      <c r="E268" s="1520">
        <v>3560</v>
      </c>
      <c r="F268" s="1534">
        <v>840</v>
      </c>
    </row>
    <row r="269" spans="1:6" s="1514" customFormat="1" ht="14.25" customHeight="1" thickBot="1">
      <c r="A269" s="1526" t="s">
        <v>1546</v>
      </c>
      <c r="B269" s="1520" t="s">
        <v>1443</v>
      </c>
      <c r="C269" s="1520">
        <v>3210</v>
      </c>
      <c r="D269" s="1520">
        <v>3190</v>
      </c>
      <c r="E269" s="1520">
        <v>3310</v>
      </c>
      <c r="F269" s="1534">
        <v>730</v>
      </c>
    </row>
    <row r="270" spans="1:6" s="1514" customFormat="1" ht="14.25" customHeight="1" thickBot="1">
      <c r="A270" s="1526" t="s">
        <v>1546</v>
      </c>
      <c r="B270" s="1520" t="s">
        <v>1450</v>
      </c>
      <c r="C270" s="1520">
        <v>3240</v>
      </c>
      <c r="D270" s="1520">
        <v>3210</v>
      </c>
      <c r="E270" s="1520">
        <v>3390</v>
      </c>
      <c r="F270" s="1534">
        <v>820</v>
      </c>
    </row>
    <row r="271" spans="1:6" s="1514" customFormat="1" ht="14.25" customHeight="1" thickBot="1">
      <c r="A271" s="1526" t="s">
        <v>1546</v>
      </c>
      <c r="B271" s="1520" t="s">
        <v>1457</v>
      </c>
      <c r="C271" s="1520">
        <v>3300</v>
      </c>
      <c r="D271" s="1520">
        <v>3270</v>
      </c>
      <c r="E271" s="1520">
        <v>3380</v>
      </c>
      <c r="F271" s="1534">
        <v>750</v>
      </c>
    </row>
    <row r="272" spans="1:6" s="1514" customFormat="1" ht="14.25" customHeight="1" thickBot="1">
      <c r="A272" s="1526" t="s">
        <v>1546</v>
      </c>
      <c r="B272" s="1520" t="s">
        <v>1464</v>
      </c>
      <c r="C272" s="1539"/>
      <c r="D272" s="1539"/>
      <c r="E272" s="1539"/>
      <c r="F272" s="1534">
        <v>740</v>
      </c>
    </row>
    <row r="273" spans="1:6" s="1514" customFormat="1" ht="14.25" customHeight="1" thickBot="1">
      <c r="A273" s="1526" t="s">
        <v>1546</v>
      </c>
      <c r="B273" s="1520" t="s">
        <v>1468</v>
      </c>
      <c r="C273" s="1520">
        <v>3130</v>
      </c>
      <c r="D273" s="1520">
        <v>3100</v>
      </c>
      <c r="E273" s="1520">
        <v>3230</v>
      </c>
      <c r="F273" s="1534">
        <v>700</v>
      </c>
    </row>
    <row r="274" spans="1:6" s="1514" customFormat="1" ht="14.25" customHeight="1" thickBot="1">
      <c r="A274" s="1526" t="s">
        <v>1546</v>
      </c>
      <c r="B274" s="1520" t="s">
        <v>1473</v>
      </c>
      <c r="C274" s="1520">
        <v>3460</v>
      </c>
      <c r="D274" s="1520">
        <v>3430</v>
      </c>
      <c r="E274" s="1520">
        <v>3560</v>
      </c>
      <c r="F274" s="1534">
        <v>690</v>
      </c>
    </row>
    <row r="275" spans="1:6" s="1514" customFormat="1" ht="14.25" customHeight="1" thickBot="1">
      <c r="A275" s="1526" t="s">
        <v>1546</v>
      </c>
      <c r="B275" s="1520" t="s">
        <v>1478</v>
      </c>
      <c r="C275" s="1520">
        <v>4040</v>
      </c>
      <c r="D275" s="1520">
        <v>4020</v>
      </c>
      <c r="E275" s="1520">
        <v>4160</v>
      </c>
      <c r="F275" s="1534">
        <v>820</v>
      </c>
    </row>
    <row r="276" spans="1:6" s="1514" customFormat="1" ht="14.25" customHeight="1" thickBot="1">
      <c r="A276" s="1526" t="s">
        <v>1546</v>
      </c>
      <c r="B276" s="1520" t="s">
        <v>1483</v>
      </c>
      <c r="C276" s="1520">
        <v>3270</v>
      </c>
      <c r="D276" s="1520">
        <v>3240</v>
      </c>
      <c r="E276" s="1520">
        <v>3350</v>
      </c>
      <c r="F276" s="1534">
        <v>680</v>
      </c>
    </row>
    <row r="277" spans="1:6" s="1514" customFormat="1" ht="14.25" customHeight="1" thickBot="1">
      <c r="A277" s="1526" t="s">
        <v>1546</v>
      </c>
      <c r="B277" s="1520" t="s">
        <v>1488</v>
      </c>
      <c r="C277" s="1520">
        <v>2930</v>
      </c>
      <c r="D277" s="1520">
        <v>2900</v>
      </c>
      <c r="E277" s="1520">
        <v>3000</v>
      </c>
      <c r="F277" s="1534">
        <v>640</v>
      </c>
    </row>
    <row r="278" spans="1:6" s="1514" customFormat="1" ht="14.25" customHeight="1" thickBot="1">
      <c r="A278" s="1526" t="s">
        <v>1546</v>
      </c>
      <c r="B278" s="1520" t="s">
        <v>1493</v>
      </c>
      <c r="C278" s="1520">
        <v>4080</v>
      </c>
      <c r="D278" s="1520">
        <v>4030</v>
      </c>
      <c r="E278" s="1520">
        <v>4140</v>
      </c>
      <c r="F278" s="1534">
        <v>850</v>
      </c>
    </row>
    <row r="279" spans="1:6" s="1514" customFormat="1" ht="14.25" customHeight="1" thickBot="1">
      <c r="A279" s="1526" t="s">
        <v>1546</v>
      </c>
      <c r="B279" s="1520" t="s">
        <v>1497</v>
      </c>
      <c r="C279" s="1520"/>
      <c r="D279" s="1520"/>
      <c r="E279" s="1520"/>
      <c r="F279" s="1534">
        <v>760</v>
      </c>
    </row>
    <row r="280" spans="1:6" s="1514" customFormat="1" ht="14.25" customHeight="1" thickBot="1">
      <c r="A280" s="1526" t="s">
        <v>1546</v>
      </c>
      <c r="B280" s="1520" t="s">
        <v>1501</v>
      </c>
      <c r="C280" s="1520"/>
      <c r="D280" s="1520"/>
      <c r="E280" s="1520"/>
      <c r="F280" s="1534">
        <v>760</v>
      </c>
    </row>
    <row r="281" spans="1:6" s="1514" customFormat="1" ht="14.25" customHeight="1" thickBot="1">
      <c r="A281" s="1526" t="s">
        <v>1546</v>
      </c>
      <c r="B281" s="1520" t="s">
        <v>1505</v>
      </c>
      <c r="C281" s="1520"/>
      <c r="D281" s="1520"/>
      <c r="E281" s="1520"/>
      <c r="F281" s="1534">
        <v>780</v>
      </c>
    </row>
    <row r="282" spans="1:6" s="1514" customFormat="1" ht="14.25" customHeight="1" thickBot="1">
      <c r="A282" s="1526" t="s">
        <v>1546</v>
      </c>
      <c r="B282" s="1520" t="s">
        <v>1509</v>
      </c>
      <c r="C282" s="1520"/>
      <c r="D282" s="1520"/>
      <c r="E282" s="1520"/>
      <c r="F282" s="1534">
        <v>730</v>
      </c>
    </row>
    <row r="283" spans="1:6" s="1514" customFormat="1" ht="14.25" customHeight="1" thickBot="1">
      <c r="A283" s="1526" t="s">
        <v>1546</v>
      </c>
      <c r="B283" s="1520" t="s">
        <v>1513</v>
      </c>
      <c r="C283" s="1520"/>
      <c r="D283" s="1520"/>
      <c r="E283" s="1520"/>
      <c r="F283" s="1534">
        <v>770</v>
      </c>
    </row>
    <row r="284" spans="1:6" s="1514" customFormat="1" ht="14.25" customHeight="1" thickBot="1">
      <c r="A284" s="1526" t="s">
        <v>1546</v>
      </c>
      <c r="B284" s="1520" t="s">
        <v>1516</v>
      </c>
      <c r="C284" s="1520"/>
      <c r="D284" s="1520"/>
      <c r="E284" s="1520"/>
      <c r="F284" s="1534">
        <v>640</v>
      </c>
    </row>
    <row r="285" spans="1:6" s="1514" customFormat="1" ht="14.25" customHeight="1" thickBot="1">
      <c r="A285" s="1526" t="s">
        <v>1546</v>
      </c>
      <c r="B285" s="1520" t="s">
        <v>1519</v>
      </c>
      <c r="C285" s="1520"/>
      <c r="D285" s="1520"/>
      <c r="E285" s="1520"/>
      <c r="F285" s="1534">
        <v>640</v>
      </c>
    </row>
    <row r="286" spans="1:6" s="1514" customFormat="1" ht="14.25" customHeight="1" thickBot="1">
      <c r="A286" s="1526" t="s">
        <v>1546</v>
      </c>
      <c r="B286" s="1520" t="s">
        <v>1522</v>
      </c>
      <c r="C286" s="1520"/>
      <c r="D286" s="1520"/>
      <c r="E286" s="1520"/>
      <c r="F286" s="1534">
        <v>850</v>
      </c>
    </row>
    <row r="287" spans="1:6" s="1514" customFormat="1" ht="14.25" customHeight="1" thickBot="1">
      <c r="A287" s="1526" t="s">
        <v>1546</v>
      </c>
      <c r="B287" s="1520" t="s">
        <v>1525</v>
      </c>
      <c r="C287" s="1520"/>
      <c r="D287" s="1520"/>
      <c r="E287" s="1520"/>
      <c r="F287" s="1534">
        <v>760</v>
      </c>
    </row>
    <row r="288" spans="1:6" s="1514" customFormat="1" ht="14.25" customHeight="1" thickBot="1">
      <c r="A288" s="1526" t="s">
        <v>1546</v>
      </c>
      <c r="B288" s="1520" t="s">
        <v>1528</v>
      </c>
      <c r="C288" s="1520"/>
      <c r="D288" s="1520"/>
      <c r="E288" s="1520"/>
      <c r="F288" s="1534">
        <v>830</v>
      </c>
    </row>
    <row r="289" spans="1:6" s="1514" customFormat="1" ht="14.25" customHeight="1" thickBot="1">
      <c r="A289" s="1526" t="s">
        <v>1546</v>
      </c>
      <c r="B289" s="1532" t="s">
        <v>1531</v>
      </c>
      <c r="C289" s="1532"/>
      <c r="D289" s="1532"/>
      <c r="E289" s="1532"/>
      <c r="F289" s="1537">
        <v>680</v>
      </c>
    </row>
    <row r="290" spans="1:6" s="1514" customFormat="1" ht="14.25" customHeight="1" thickBot="1">
      <c r="A290" s="1526" t="s">
        <v>1550</v>
      </c>
      <c r="B290" s="1527" t="s">
        <v>1551</v>
      </c>
      <c r="C290" s="1527">
        <v>2770</v>
      </c>
      <c r="D290" s="1527">
        <v>2740</v>
      </c>
      <c r="E290" s="1527">
        <v>2720</v>
      </c>
      <c r="F290" s="1540"/>
    </row>
    <row r="291" spans="1:6" s="1514" customFormat="1" ht="14.25" customHeight="1" thickBot="1">
      <c r="A291" s="1526" t="s">
        <v>1550</v>
      </c>
      <c r="B291" s="1520" t="s">
        <v>1212</v>
      </c>
      <c r="C291" s="1520">
        <v>2670</v>
      </c>
      <c r="D291" s="1520">
        <v>2640</v>
      </c>
      <c r="E291" s="1520">
        <v>2620</v>
      </c>
      <c r="F291" s="1538"/>
    </row>
    <row r="292" spans="1:6" s="1514" customFormat="1" ht="14.25" customHeight="1" thickBot="1">
      <c r="A292" s="1526" t="s">
        <v>1550</v>
      </c>
      <c r="B292" s="1520" t="s">
        <v>1552</v>
      </c>
      <c r="C292" s="1520">
        <v>2180</v>
      </c>
      <c r="D292" s="1520">
        <v>2140</v>
      </c>
      <c r="E292" s="1520">
        <v>2120</v>
      </c>
      <c r="F292" s="1534">
        <v>490</v>
      </c>
    </row>
    <row r="293" spans="1:6" s="1514" customFormat="1" ht="14.25" customHeight="1" thickBot="1">
      <c r="A293" s="1526" t="s">
        <v>1550</v>
      </c>
      <c r="B293" s="1520" t="s">
        <v>1553</v>
      </c>
      <c r="C293" s="1520"/>
      <c r="D293" s="1520"/>
      <c r="E293" s="1520"/>
      <c r="F293" s="1534">
        <v>470</v>
      </c>
    </row>
    <row r="294" spans="1:6" s="1514" customFormat="1" ht="14.25" customHeight="1" thickBot="1">
      <c r="A294" s="1526" t="s">
        <v>1550</v>
      </c>
      <c r="B294" s="1520" t="s">
        <v>1554</v>
      </c>
      <c r="C294" s="1520">
        <v>2730</v>
      </c>
      <c r="D294" s="1520">
        <v>2700</v>
      </c>
      <c r="E294" s="1520">
        <v>2680</v>
      </c>
      <c r="F294" s="1534">
        <v>490</v>
      </c>
    </row>
    <row r="295" spans="1:6" s="1514" customFormat="1" ht="14.25" customHeight="1" thickBot="1">
      <c r="A295" s="1526" t="s">
        <v>1550</v>
      </c>
      <c r="B295" s="1520" t="s">
        <v>1250</v>
      </c>
      <c r="C295" s="1520">
        <v>2380</v>
      </c>
      <c r="D295" s="1520">
        <v>2350</v>
      </c>
      <c r="E295" s="1520">
        <v>2330</v>
      </c>
      <c r="F295" s="1534">
        <v>530</v>
      </c>
    </row>
    <row r="296" spans="1:6" s="1514" customFormat="1" ht="14.25" customHeight="1" thickBot="1">
      <c r="A296" s="1526" t="s">
        <v>1550</v>
      </c>
      <c r="B296" s="1520" t="s">
        <v>1261</v>
      </c>
      <c r="C296" s="1520">
        <v>2650</v>
      </c>
      <c r="D296" s="1520">
        <v>2620</v>
      </c>
      <c r="E296" s="1520">
        <v>2590</v>
      </c>
      <c r="F296" s="1534">
        <v>590</v>
      </c>
    </row>
    <row r="297" spans="1:6" s="1514" customFormat="1" ht="14.25" customHeight="1" thickBot="1">
      <c r="A297" s="1526" t="s">
        <v>1550</v>
      </c>
      <c r="B297" s="1520" t="s">
        <v>1272</v>
      </c>
      <c r="C297" s="1520">
        <v>2700</v>
      </c>
      <c r="D297" s="1520">
        <v>2670</v>
      </c>
      <c r="E297" s="1520">
        <v>2650</v>
      </c>
      <c r="F297" s="1534">
        <v>630</v>
      </c>
    </row>
    <row r="298" spans="1:6" s="1514" customFormat="1" ht="14.25" customHeight="1" thickBot="1">
      <c r="A298" s="1526" t="s">
        <v>1550</v>
      </c>
      <c r="B298" s="1520" t="s">
        <v>1283</v>
      </c>
      <c r="C298" s="1520">
        <v>2650</v>
      </c>
      <c r="D298" s="1520">
        <v>2620</v>
      </c>
      <c r="E298" s="1520">
        <v>2590</v>
      </c>
      <c r="F298" s="1534">
        <v>640</v>
      </c>
    </row>
    <row r="299" spans="1:6" s="1514" customFormat="1" ht="14.25" customHeight="1" thickBot="1">
      <c r="A299" s="1526" t="s">
        <v>1550</v>
      </c>
      <c r="B299" s="1520" t="s">
        <v>1295</v>
      </c>
      <c r="C299" s="1520">
        <v>2500</v>
      </c>
      <c r="D299" s="1520">
        <v>2480</v>
      </c>
      <c r="E299" s="1520">
        <v>2460</v>
      </c>
      <c r="F299" s="1538"/>
    </row>
    <row r="300" spans="1:6" s="1514" customFormat="1" ht="14.25" customHeight="1" thickBot="1">
      <c r="A300" s="1526" t="s">
        <v>1550</v>
      </c>
      <c r="B300" s="1520" t="s">
        <v>1305</v>
      </c>
      <c r="C300" s="1520">
        <v>2760</v>
      </c>
      <c r="D300" s="1520">
        <v>2730</v>
      </c>
      <c r="E300" s="1520">
        <v>2700</v>
      </c>
      <c r="F300" s="1534">
        <v>630</v>
      </c>
    </row>
    <row r="301" spans="1:6" s="1514" customFormat="1" ht="14.25" customHeight="1" thickBot="1">
      <c r="A301" s="1526" t="s">
        <v>1550</v>
      </c>
      <c r="B301" s="1520" t="s">
        <v>1315</v>
      </c>
      <c r="C301" s="1520">
        <v>2510</v>
      </c>
      <c r="D301" s="1520">
        <v>2480</v>
      </c>
      <c r="E301" s="1520">
        <v>2460</v>
      </c>
      <c r="F301" s="1538"/>
    </row>
    <row r="302" spans="1:6" s="1514" customFormat="1" ht="14.25" customHeight="1" thickBot="1">
      <c r="A302" s="1526" t="s">
        <v>1550</v>
      </c>
      <c r="B302" s="1520" t="s">
        <v>1325</v>
      </c>
      <c r="C302" s="1520">
        <v>2480</v>
      </c>
      <c r="D302" s="1520">
        <v>2450</v>
      </c>
      <c r="E302" s="1520">
        <v>2420</v>
      </c>
      <c r="F302" s="1534">
        <v>600</v>
      </c>
    </row>
    <row r="303" spans="1:6" s="1514" customFormat="1" ht="14.25" customHeight="1" thickBot="1">
      <c r="A303" s="1526" t="s">
        <v>1550</v>
      </c>
      <c r="B303" s="1520" t="s">
        <v>1335</v>
      </c>
      <c r="C303" s="1520">
        <v>2270</v>
      </c>
      <c r="D303" s="1520">
        <v>2240</v>
      </c>
      <c r="E303" s="1520">
        <v>2210</v>
      </c>
      <c r="F303" s="1534">
        <v>540</v>
      </c>
    </row>
    <row r="304" spans="1:6" s="1514" customFormat="1" ht="14.25" customHeight="1" thickBot="1">
      <c r="A304" s="1526" t="s">
        <v>1550</v>
      </c>
      <c r="B304" s="1520" t="s">
        <v>1346</v>
      </c>
      <c r="C304" s="1520">
        <v>2310</v>
      </c>
      <c r="D304" s="1520">
        <v>2290</v>
      </c>
      <c r="E304" s="1520">
        <v>2270</v>
      </c>
      <c r="F304" s="1538"/>
    </row>
    <row r="305" spans="1:6" s="1514" customFormat="1" ht="14.25" customHeight="1" thickBot="1">
      <c r="A305" s="1526" t="s">
        <v>1550</v>
      </c>
      <c r="B305" s="1520" t="s">
        <v>1357</v>
      </c>
      <c r="C305" s="1520">
        <v>2490</v>
      </c>
      <c r="D305" s="1520">
        <v>2470</v>
      </c>
      <c r="E305" s="1520">
        <v>2440</v>
      </c>
      <c r="F305" s="1534">
        <v>560</v>
      </c>
    </row>
    <row r="306" spans="1:6" s="1514" customFormat="1" ht="14.25" customHeight="1" thickBot="1">
      <c r="A306" s="1526" t="s">
        <v>1550</v>
      </c>
      <c r="B306" s="1520" t="s">
        <v>1367</v>
      </c>
      <c r="C306" s="1520">
        <v>2420</v>
      </c>
      <c r="D306" s="1520">
        <v>2400</v>
      </c>
      <c r="E306" s="1520">
        <v>2380</v>
      </c>
      <c r="F306" s="1538"/>
    </row>
    <row r="307" spans="1:6" s="1514" customFormat="1" ht="14.25" customHeight="1" thickBot="1">
      <c r="A307" s="1526" t="s">
        <v>1550</v>
      </c>
      <c r="B307" s="1520" t="s">
        <v>1377</v>
      </c>
      <c r="C307" s="1520">
        <v>2770</v>
      </c>
      <c r="D307" s="1520">
        <v>2740</v>
      </c>
      <c r="E307" s="1520">
        <v>2710</v>
      </c>
      <c r="F307" s="1534">
        <v>650</v>
      </c>
    </row>
    <row r="308" spans="1:6" s="1514" customFormat="1" ht="14.25" customHeight="1" thickBot="1">
      <c r="A308" s="1526" t="s">
        <v>1550</v>
      </c>
      <c r="B308" s="1520" t="s">
        <v>1387</v>
      </c>
      <c r="C308" s="1520">
        <v>2610</v>
      </c>
      <c r="D308" s="1520">
        <v>2580</v>
      </c>
      <c r="E308" s="1520">
        <v>2550</v>
      </c>
      <c r="F308" s="1534">
        <v>580</v>
      </c>
    </row>
    <row r="309" spans="1:6" s="1514" customFormat="1" ht="14.25" customHeight="1" thickBot="1">
      <c r="A309" s="1526" t="s">
        <v>1550</v>
      </c>
      <c r="B309" s="1520" t="s">
        <v>1397</v>
      </c>
      <c r="C309" s="1520">
        <v>2690</v>
      </c>
      <c r="D309" s="1520">
        <v>2670</v>
      </c>
      <c r="E309" s="1520">
        <v>2650</v>
      </c>
      <c r="F309" s="1538"/>
    </row>
    <row r="310" spans="1:6" s="1514" customFormat="1" ht="14.25" customHeight="1" thickBot="1">
      <c r="A310" s="1526" t="s">
        <v>1550</v>
      </c>
      <c r="B310" s="1520" t="s">
        <v>1406</v>
      </c>
      <c r="C310" s="1520">
        <v>2360</v>
      </c>
      <c r="D310" s="1520">
        <v>2330</v>
      </c>
      <c r="E310" s="1520">
        <v>2310</v>
      </c>
      <c r="F310" s="1534">
        <v>560</v>
      </c>
    </row>
    <row r="311" spans="1:6" s="1514" customFormat="1" ht="14.25" customHeight="1" thickBot="1">
      <c r="A311" s="1526" t="s">
        <v>1550</v>
      </c>
      <c r="B311" s="1520" t="s">
        <v>1415</v>
      </c>
      <c r="C311" s="1520">
        <v>1970</v>
      </c>
      <c r="D311" s="1520">
        <v>1950</v>
      </c>
      <c r="E311" s="1520">
        <v>1920</v>
      </c>
      <c r="F311" s="1534">
        <v>470</v>
      </c>
    </row>
    <row r="312" spans="1:6" s="1514" customFormat="1" ht="14.25" customHeight="1" thickBot="1">
      <c r="A312" s="1526" t="s">
        <v>1550</v>
      </c>
      <c r="B312" s="1520" t="s">
        <v>1423</v>
      </c>
      <c r="C312" s="1520">
        <v>2230</v>
      </c>
      <c r="D312" s="1520">
        <v>2200</v>
      </c>
      <c r="E312" s="1520">
        <v>2170</v>
      </c>
      <c r="F312" s="1534">
        <v>460</v>
      </c>
    </row>
    <row r="313" spans="1:6" s="1514" customFormat="1" ht="14.25" customHeight="1" thickBot="1">
      <c r="A313" s="1526" t="s">
        <v>1550</v>
      </c>
      <c r="B313" s="1520" t="s">
        <v>1430</v>
      </c>
      <c r="C313" s="1520">
        <v>2770</v>
      </c>
      <c r="D313" s="1520">
        <v>2740</v>
      </c>
      <c r="E313" s="1520">
        <v>2710</v>
      </c>
      <c r="F313" s="1534">
        <v>610</v>
      </c>
    </row>
    <row r="314" spans="1:6" s="1514" customFormat="1" ht="14.25" customHeight="1" thickBot="1">
      <c r="A314" s="1526" t="s">
        <v>1550</v>
      </c>
      <c r="B314" s="1520" t="s">
        <v>1437</v>
      </c>
      <c r="C314" s="1520"/>
      <c r="D314" s="1520"/>
      <c r="E314" s="1520"/>
      <c r="F314" s="1534">
        <v>490</v>
      </c>
    </row>
    <row r="315" spans="1:6" s="1514" customFormat="1" ht="14.25" customHeight="1" thickBot="1">
      <c r="A315" s="1526" t="s">
        <v>1550</v>
      </c>
      <c r="B315" s="1520" t="s">
        <v>1444</v>
      </c>
      <c r="C315" s="1520"/>
      <c r="D315" s="1520"/>
      <c r="E315" s="1520"/>
      <c r="F315" s="1534">
        <v>520</v>
      </c>
    </row>
    <row r="316" spans="1:6" s="1514" customFormat="1" ht="14.25" customHeight="1" thickBot="1">
      <c r="A316" s="1526" t="s">
        <v>1550</v>
      </c>
      <c r="B316" s="1532" t="s">
        <v>1451</v>
      </c>
      <c r="C316" s="1532"/>
      <c r="D316" s="1532"/>
      <c r="E316" s="1532"/>
      <c r="F316" s="1537">
        <v>460</v>
      </c>
    </row>
    <row r="317" spans="1:6" s="1514" customFormat="1" ht="14.25" customHeight="1" thickBot="1">
      <c r="A317" s="1526" t="s">
        <v>1337</v>
      </c>
      <c r="B317" s="1527" t="s">
        <v>1555</v>
      </c>
      <c r="C317" s="1527">
        <v>1200</v>
      </c>
      <c r="D317" s="1527">
        <v>1180</v>
      </c>
      <c r="E317" s="1527">
        <v>1160</v>
      </c>
      <c r="F317" s="1528">
        <v>370</v>
      </c>
    </row>
    <row r="318" spans="1:6" s="1514" customFormat="1" ht="14.25" customHeight="1" thickBot="1">
      <c r="A318" s="1526" t="s">
        <v>1337</v>
      </c>
      <c r="B318" s="1520" t="s">
        <v>1556</v>
      </c>
      <c r="C318" s="1520">
        <v>1090</v>
      </c>
      <c r="D318" s="1520">
        <v>1060</v>
      </c>
      <c r="E318" s="1520">
        <v>1040</v>
      </c>
      <c r="F318" s="1538"/>
    </row>
    <row r="319" spans="1:6" s="1514" customFormat="1" ht="14.25" customHeight="1" thickBot="1">
      <c r="A319" s="1526" t="s">
        <v>1337</v>
      </c>
      <c r="B319" s="1520" t="s">
        <v>1557</v>
      </c>
      <c r="C319" s="1520">
        <v>1520</v>
      </c>
      <c r="D319" s="1520">
        <v>1470</v>
      </c>
      <c r="E319" s="1520">
        <v>1440</v>
      </c>
      <c r="F319" s="1534">
        <v>370</v>
      </c>
    </row>
    <row r="320" spans="1:6" s="1514" customFormat="1" ht="14.25" customHeight="1" thickBot="1">
      <c r="A320" s="1526" t="s">
        <v>1337</v>
      </c>
      <c r="B320" s="1520" t="s">
        <v>1239</v>
      </c>
      <c r="C320" s="1520">
        <v>1360</v>
      </c>
      <c r="D320" s="1520">
        <v>1300</v>
      </c>
      <c r="E320" s="1520">
        <v>1270</v>
      </c>
      <c r="F320" s="1538"/>
    </row>
    <row r="321" spans="1:6" s="1514" customFormat="1" ht="14.25" customHeight="1" thickBot="1">
      <c r="A321" s="1526" t="s">
        <v>1337</v>
      </c>
      <c r="B321" s="1520" t="s">
        <v>1251</v>
      </c>
      <c r="C321" s="1520">
        <v>1750</v>
      </c>
      <c r="D321" s="1520">
        <v>1690</v>
      </c>
      <c r="E321" s="1520">
        <v>1660</v>
      </c>
      <c r="F321" s="1538"/>
    </row>
    <row r="322" spans="1:6" s="1514" customFormat="1" ht="14.25" customHeight="1" thickBot="1">
      <c r="A322" s="1526" t="s">
        <v>1337</v>
      </c>
      <c r="B322" s="1520" t="s">
        <v>1262</v>
      </c>
      <c r="C322" s="1520">
        <v>1650</v>
      </c>
      <c r="D322" s="1520">
        <v>1610</v>
      </c>
      <c r="E322" s="1520">
        <v>1580</v>
      </c>
      <c r="F322" s="1534">
        <v>500</v>
      </c>
    </row>
    <row r="323" spans="1:6" s="1514" customFormat="1" ht="14.25" customHeight="1" thickBot="1">
      <c r="A323" s="1526" t="s">
        <v>1337</v>
      </c>
      <c r="B323" s="1520" t="s">
        <v>1273</v>
      </c>
      <c r="C323" s="1520">
        <v>1780</v>
      </c>
      <c r="D323" s="1520">
        <v>1740</v>
      </c>
      <c r="E323" s="1520">
        <v>1720</v>
      </c>
      <c r="F323" s="1538"/>
    </row>
    <row r="324" spans="1:6" s="1514" customFormat="1" ht="14.25" customHeight="1" thickBot="1">
      <c r="A324" s="1526" t="s">
        <v>1337</v>
      </c>
      <c r="B324" s="1520" t="s">
        <v>1284</v>
      </c>
      <c r="C324" s="1520">
        <v>1650</v>
      </c>
      <c r="D324" s="1520">
        <v>1610</v>
      </c>
      <c r="E324" s="1520">
        <v>1580</v>
      </c>
      <c r="F324" s="1538"/>
    </row>
    <row r="325" spans="1:6" s="1514" customFormat="1" ht="14.25" customHeight="1" thickBot="1">
      <c r="A325" s="1526" t="s">
        <v>1337</v>
      </c>
      <c r="B325" s="1520" t="s">
        <v>1296</v>
      </c>
      <c r="C325" s="1520">
        <v>1330</v>
      </c>
      <c r="D325" s="1520">
        <v>1270</v>
      </c>
      <c r="E325" s="1520">
        <v>1240</v>
      </c>
      <c r="F325" s="1534">
        <v>430</v>
      </c>
    </row>
    <row r="326" spans="1:6" s="1514" customFormat="1" ht="14.25" customHeight="1" thickBot="1">
      <c r="A326" s="1526" t="s">
        <v>1337</v>
      </c>
      <c r="B326" s="1520" t="s">
        <v>1306</v>
      </c>
      <c r="C326" s="1520">
        <v>1470</v>
      </c>
      <c r="D326" s="1520">
        <v>1430</v>
      </c>
      <c r="E326" s="1520">
        <v>1400</v>
      </c>
      <c r="F326" s="1538"/>
    </row>
    <row r="327" spans="1:6" s="1514" customFormat="1" ht="14.25" customHeight="1" thickBot="1">
      <c r="A327" s="1526" t="s">
        <v>1337</v>
      </c>
      <c r="B327" s="1520" t="s">
        <v>1316</v>
      </c>
      <c r="C327" s="1520">
        <v>1420</v>
      </c>
      <c r="D327" s="1520">
        <v>1380</v>
      </c>
      <c r="E327" s="1520">
        <v>1360</v>
      </c>
      <c r="F327" s="1534">
        <v>420</v>
      </c>
    </row>
    <row r="328" spans="1:6" s="1514" customFormat="1" ht="14.25" customHeight="1" thickBot="1">
      <c r="A328" s="1526" t="s">
        <v>1337</v>
      </c>
      <c r="B328" s="1520" t="s">
        <v>1326</v>
      </c>
      <c r="C328" s="1520">
        <v>1400</v>
      </c>
      <c r="D328" s="1520">
        <v>1360</v>
      </c>
      <c r="E328" s="1520">
        <v>1330</v>
      </c>
      <c r="F328" s="1534">
        <v>460</v>
      </c>
    </row>
    <row r="329" spans="1:6" s="1514" customFormat="1" ht="14.25" customHeight="1" thickBot="1">
      <c r="A329" s="1526" t="s">
        <v>1337</v>
      </c>
      <c r="B329" s="1520" t="s">
        <v>1336</v>
      </c>
      <c r="C329" s="1520">
        <v>1640</v>
      </c>
      <c r="D329" s="1520">
        <v>1610</v>
      </c>
      <c r="E329" s="1520">
        <v>1580</v>
      </c>
      <c r="F329" s="1534">
        <v>410</v>
      </c>
    </row>
    <row r="330" spans="1:6" s="1514" customFormat="1" ht="14.25" customHeight="1" thickBot="1">
      <c r="A330" s="1526" t="s">
        <v>1337</v>
      </c>
      <c r="B330" s="1520" t="s">
        <v>1347</v>
      </c>
      <c r="C330" s="1520">
        <v>1260</v>
      </c>
      <c r="D330" s="1520">
        <v>1220</v>
      </c>
      <c r="E330" s="1520">
        <v>1200</v>
      </c>
      <c r="F330" s="1538"/>
    </row>
    <row r="331" spans="1:6" s="1514" customFormat="1" ht="14.25" customHeight="1" thickBot="1">
      <c r="A331" s="1526" t="s">
        <v>1337</v>
      </c>
      <c r="B331" s="1520" t="s">
        <v>1358</v>
      </c>
      <c r="C331" s="1520">
        <v>1620</v>
      </c>
      <c r="D331" s="1520">
        <v>1560</v>
      </c>
      <c r="E331" s="1520">
        <v>1530</v>
      </c>
      <c r="F331" s="1534">
        <v>490</v>
      </c>
    </row>
    <row r="332" spans="1:6" s="1514" customFormat="1" ht="14.25" customHeight="1" thickBot="1">
      <c r="A332" s="1526" t="s">
        <v>1337</v>
      </c>
      <c r="B332" s="1520" t="s">
        <v>1368</v>
      </c>
      <c r="C332" s="1520">
        <v>1520</v>
      </c>
      <c r="D332" s="1520">
        <v>1470</v>
      </c>
      <c r="E332" s="1520">
        <v>1440</v>
      </c>
      <c r="F332" s="1534">
        <v>440</v>
      </c>
    </row>
    <row r="333" spans="1:6" s="1514" customFormat="1" ht="14.25" customHeight="1" thickBot="1">
      <c r="A333" s="1526" t="s">
        <v>1337</v>
      </c>
      <c r="B333" s="1520" t="s">
        <v>1378</v>
      </c>
      <c r="C333" s="1520">
        <v>1370</v>
      </c>
      <c r="D333" s="1520">
        <v>1320</v>
      </c>
      <c r="E333" s="1520">
        <v>1300</v>
      </c>
      <c r="F333" s="1534">
        <v>460</v>
      </c>
    </row>
    <row r="334" spans="1:6" s="1514" customFormat="1" ht="14.25" customHeight="1" thickBot="1">
      <c r="A334" s="1526" t="s">
        <v>1337</v>
      </c>
      <c r="B334" s="1520" t="s">
        <v>1388</v>
      </c>
      <c r="C334" s="1520">
        <v>1410</v>
      </c>
      <c r="D334" s="1520">
        <v>1340</v>
      </c>
      <c r="E334" s="1520">
        <v>1310</v>
      </c>
      <c r="F334" s="1534">
        <v>410</v>
      </c>
    </row>
    <row r="335" spans="1:6" s="1514" customFormat="1" ht="14.25" customHeight="1" thickBot="1">
      <c r="A335" s="1526" t="s">
        <v>1337</v>
      </c>
      <c r="B335" s="1520" t="s">
        <v>1398</v>
      </c>
      <c r="C335" s="1520">
        <v>1260</v>
      </c>
      <c r="D335" s="1520">
        <v>1220</v>
      </c>
      <c r="E335" s="1520">
        <v>1200</v>
      </c>
      <c r="F335" s="1538"/>
    </row>
    <row r="336" spans="1:6" s="1514" customFormat="1" ht="14.25" customHeight="1" thickBot="1">
      <c r="A336" s="1526" t="s">
        <v>1337</v>
      </c>
      <c r="B336" s="1520" t="s">
        <v>1407</v>
      </c>
      <c r="C336" s="1520">
        <v>1160</v>
      </c>
      <c r="D336" s="1520">
        <v>1140</v>
      </c>
      <c r="E336" s="1520">
        <v>1120</v>
      </c>
      <c r="F336" s="1534">
        <v>430</v>
      </c>
    </row>
    <row r="337" spans="1:6" s="1514" customFormat="1" ht="14.25" customHeight="1" thickBot="1">
      <c r="A337" s="1526" t="s">
        <v>1337</v>
      </c>
      <c r="B337" s="1532" t="s">
        <v>1416</v>
      </c>
      <c r="C337" s="1532"/>
      <c r="D337" s="1532"/>
      <c r="E337" s="1532"/>
      <c r="F337" s="1537">
        <v>380</v>
      </c>
    </row>
    <row r="338" spans="1:6" s="1514" customFormat="1" ht="14.25" customHeight="1" thickBot="1">
      <c r="A338" s="1526" t="s">
        <v>1348</v>
      </c>
      <c r="B338" s="1527" t="s">
        <v>1558</v>
      </c>
      <c r="C338" s="1527">
        <v>880</v>
      </c>
      <c r="D338" s="1527">
        <v>850</v>
      </c>
      <c r="E338" s="1527">
        <v>830</v>
      </c>
      <c r="F338" s="1540"/>
    </row>
    <row r="339" spans="1:6" s="1514" customFormat="1" ht="14.25" customHeight="1" thickBot="1">
      <c r="A339" s="1526" t="s">
        <v>1348</v>
      </c>
      <c r="B339" s="1520" t="s">
        <v>1559</v>
      </c>
      <c r="C339" s="1520">
        <v>830</v>
      </c>
      <c r="D339" s="1520">
        <v>800</v>
      </c>
      <c r="E339" s="1520">
        <v>780</v>
      </c>
      <c r="F339" s="1538"/>
    </row>
    <row r="340" spans="1:6" s="1514" customFormat="1" ht="14.25" customHeight="1" thickBot="1">
      <c r="A340" s="1526" t="s">
        <v>1348</v>
      </c>
      <c r="B340" s="1520" t="s">
        <v>1560</v>
      </c>
      <c r="C340" s="1520">
        <v>980</v>
      </c>
      <c r="D340" s="1520">
        <v>950</v>
      </c>
      <c r="E340" s="1520">
        <v>920</v>
      </c>
      <c r="F340" s="1538"/>
    </row>
    <row r="341" spans="1:6" s="1514" customFormat="1" ht="14.25" customHeight="1" thickBot="1">
      <c r="A341" s="1526" t="s">
        <v>1348</v>
      </c>
      <c r="B341" s="1520" t="s">
        <v>1561</v>
      </c>
      <c r="C341" s="1520">
        <v>760</v>
      </c>
      <c r="D341" s="1520">
        <v>720</v>
      </c>
      <c r="E341" s="1520">
        <v>690</v>
      </c>
      <c r="F341" s="1534">
        <v>350</v>
      </c>
    </row>
    <row r="342" spans="1:6" s="1514" customFormat="1" ht="14.25" customHeight="1" thickBot="1">
      <c r="A342" s="1526" t="s">
        <v>1348</v>
      </c>
      <c r="B342" s="1520" t="s">
        <v>1252</v>
      </c>
      <c r="C342" s="1520">
        <v>910</v>
      </c>
      <c r="D342" s="1520">
        <v>870</v>
      </c>
      <c r="E342" s="1520">
        <v>850</v>
      </c>
      <c r="F342" s="1534">
        <v>370</v>
      </c>
    </row>
    <row r="343" spans="1:6" s="1514" customFormat="1" ht="14.25" customHeight="1" thickBot="1">
      <c r="A343" s="1526" t="s">
        <v>1348</v>
      </c>
      <c r="B343" s="1520" t="s">
        <v>1263</v>
      </c>
      <c r="C343" s="1520">
        <v>800</v>
      </c>
      <c r="D343" s="1520">
        <v>760</v>
      </c>
      <c r="E343" s="1520">
        <v>730</v>
      </c>
      <c r="F343" s="1534">
        <v>340</v>
      </c>
    </row>
    <row r="344" spans="1:6" s="1514" customFormat="1" ht="14.25" customHeight="1" thickBot="1">
      <c r="A344" s="1526" t="s">
        <v>1348</v>
      </c>
      <c r="B344" s="1532" t="s">
        <v>1274</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89" t="s">
        <v>2141</v>
      </c>
      <c r="B1" s="3789"/>
    </row>
    <row r="2" spans="1:6" ht="14.25" thickBot="1">
      <c r="A2" s="2109"/>
      <c r="B2" s="2109"/>
    </row>
    <row r="3" spans="1:6" ht="14.25" thickBot="1">
      <c r="A3" s="2109"/>
      <c r="B3" s="2109"/>
      <c r="C3" s="2113" t="s">
        <v>2144</v>
      </c>
      <c r="D3" s="2113" t="s">
        <v>2145</v>
      </c>
      <c r="E3" s="2113" t="s">
        <v>2146</v>
      </c>
      <c r="F3" s="2113" t="s">
        <v>2147</v>
      </c>
    </row>
    <row r="4" spans="1:6" ht="14.25" thickBot="1">
      <c r="A4" s="2111" t="s">
        <v>2142</v>
      </c>
      <c r="B4" s="2112" t="s">
        <v>2143</v>
      </c>
      <c r="C4" s="2113"/>
      <c r="D4" s="2113"/>
      <c r="E4" s="2113"/>
      <c r="F4" s="2113"/>
    </row>
    <row r="5" spans="1:6" ht="14.25" thickBot="1">
      <c r="A5" s="1526" t="s">
        <v>2148</v>
      </c>
      <c r="B5" s="1527" t="s">
        <v>2149</v>
      </c>
      <c r="C5" s="2114">
        <v>8.8999999999999996E-2</v>
      </c>
      <c r="D5" s="2114">
        <v>7.3999999999999996E-2</v>
      </c>
      <c r="E5" s="2114">
        <v>7.4999999999999997E-2</v>
      </c>
      <c r="F5" s="2115">
        <v>0.1</v>
      </c>
    </row>
    <row r="6" spans="1:6" ht="14.25" thickBot="1">
      <c r="A6" s="1526" t="s">
        <v>1228</v>
      </c>
      <c r="B6" s="1520" t="s">
        <v>2150</v>
      </c>
      <c r="C6" s="2116">
        <v>0.1</v>
      </c>
      <c r="D6" s="2116">
        <v>9.0999999999999998E-2</v>
      </c>
      <c r="E6" s="2116">
        <v>9.0999999999999998E-2</v>
      </c>
      <c r="F6" s="2117">
        <v>0.1</v>
      </c>
    </row>
    <row r="7" spans="1:6" ht="14.25" thickBot="1">
      <c r="A7" s="1526" t="s">
        <v>1228</v>
      </c>
      <c r="B7" s="1530" t="s">
        <v>1217</v>
      </c>
      <c r="C7" s="2116">
        <v>8.5999999999999993E-2</v>
      </c>
      <c r="D7" s="2116">
        <v>9.6000000000000002E-2</v>
      </c>
      <c r="E7" s="2116">
        <v>7.5999999999999998E-2</v>
      </c>
      <c r="F7" s="2117">
        <v>0.1</v>
      </c>
    </row>
    <row r="8" spans="1:6" ht="14.25" thickBot="1">
      <c r="A8" s="1526" t="s">
        <v>1228</v>
      </c>
      <c r="B8" s="1520" t="s">
        <v>1229</v>
      </c>
      <c r="C8" s="2116">
        <v>9.9000000000000005E-2</v>
      </c>
      <c r="D8" s="2116">
        <v>9.8000000000000004E-2</v>
      </c>
      <c r="E8" s="2116">
        <v>9.8000000000000004E-2</v>
      </c>
      <c r="F8" s="2117">
        <v>0.1</v>
      </c>
    </row>
    <row r="9" spans="1:6" ht="14.25" thickBot="1">
      <c r="A9" s="1536" t="s">
        <v>1228</v>
      </c>
      <c r="B9" s="1531" t="s">
        <v>1241</v>
      </c>
      <c r="C9" s="2118">
        <v>0.05</v>
      </c>
      <c r="D9" s="2126"/>
      <c r="E9" s="2126"/>
      <c r="F9" s="2127"/>
    </row>
    <row r="10" spans="1:6" ht="14.25" thickBot="1">
      <c r="A10" s="1526" t="s">
        <v>1285</v>
      </c>
      <c r="B10" s="1527" t="s">
        <v>2151</v>
      </c>
      <c r="C10" s="2114">
        <v>8.8999999999999996E-2</v>
      </c>
      <c r="D10" s="2114">
        <v>7.2999999999999995E-2</v>
      </c>
      <c r="E10" s="2114">
        <v>8.2000000000000003E-2</v>
      </c>
      <c r="F10" s="2115">
        <v>0.1</v>
      </c>
    </row>
    <row r="11" spans="1:6" ht="14.25" thickBot="1">
      <c r="A11" s="1526" t="s">
        <v>1285</v>
      </c>
      <c r="B11" s="1530" t="s">
        <v>1204</v>
      </c>
      <c r="C11" s="2116">
        <v>8.8999999999999996E-2</v>
      </c>
      <c r="D11" s="2116">
        <v>7.2999999999999995E-2</v>
      </c>
      <c r="E11" s="2116">
        <v>8.2000000000000003E-2</v>
      </c>
      <c r="F11" s="2117">
        <v>0.1</v>
      </c>
    </row>
    <row r="12" spans="1:6" ht="14.25" thickBot="1">
      <c r="A12" s="1526" t="s">
        <v>1285</v>
      </c>
      <c r="B12" s="1530" t="s">
        <v>1140</v>
      </c>
      <c r="C12" s="2116">
        <v>6.0999999999999999E-2</v>
      </c>
      <c r="D12" s="2116">
        <v>7.0999999999999994E-2</v>
      </c>
      <c r="E12" s="2116">
        <v>9.6000000000000002E-2</v>
      </c>
      <c r="F12" s="2117">
        <v>0.1</v>
      </c>
    </row>
    <row r="13" spans="1:6" ht="14.25" thickBot="1">
      <c r="A13" s="1526" t="s">
        <v>1285</v>
      </c>
      <c r="B13" s="1530" t="s">
        <v>1230</v>
      </c>
      <c r="C13" s="2116">
        <v>6.9000000000000006E-2</v>
      </c>
      <c r="D13" s="2116">
        <v>6.5000000000000002E-2</v>
      </c>
      <c r="E13" s="2116">
        <v>6.6000000000000003E-2</v>
      </c>
      <c r="F13" s="2117">
        <v>0.1</v>
      </c>
    </row>
    <row r="14" spans="1:6" ht="14.25" thickBot="1">
      <c r="A14" s="1526" t="s">
        <v>1285</v>
      </c>
      <c r="B14" s="1530" t="s">
        <v>1242</v>
      </c>
      <c r="C14" s="2116">
        <v>0.1</v>
      </c>
      <c r="D14" s="2116">
        <v>6.5000000000000002E-2</v>
      </c>
      <c r="E14" s="2116">
        <v>7.0000000000000007E-2</v>
      </c>
      <c r="F14" s="2117">
        <v>0.1</v>
      </c>
    </row>
    <row r="15" spans="1:6" ht="14.25" thickBot="1">
      <c r="A15" s="1526" t="s">
        <v>1285</v>
      </c>
      <c r="B15" s="1530" t="s">
        <v>1253</v>
      </c>
      <c r="C15" s="2116">
        <v>9.8000000000000004E-2</v>
      </c>
      <c r="D15" s="2116">
        <v>8.8999999999999996E-2</v>
      </c>
      <c r="E15" s="2116">
        <v>8.8999999999999996E-2</v>
      </c>
      <c r="F15" s="2117">
        <v>0.1</v>
      </c>
    </row>
    <row r="16" spans="1:6" ht="14.25" thickBot="1">
      <c r="A16" s="1526" t="s">
        <v>1285</v>
      </c>
      <c r="B16" s="1530" t="s">
        <v>1264</v>
      </c>
      <c r="C16" s="2116">
        <v>7.0000000000000007E-2</v>
      </c>
      <c r="D16" s="2116">
        <v>9.2999999999999999E-2</v>
      </c>
      <c r="E16" s="2116">
        <v>9.6000000000000002E-2</v>
      </c>
      <c r="F16" s="2117">
        <v>0.1</v>
      </c>
    </row>
    <row r="17" spans="1:6" ht="14.25" thickBot="1">
      <c r="A17" s="1526" t="s">
        <v>1285</v>
      </c>
      <c r="B17" s="1530" t="s">
        <v>1275</v>
      </c>
      <c r="C17" s="2116">
        <v>9.5000000000000001E-2</v>
      </c>
      <c r="D17" s="2116">
        <v>0.1</v>
      </c>
      <c r="E17" s="2116">
        <v>0.1</v>
      </c>
      <c r="F17" s="2128"/>
    </row>
    <row r="18" spans="1:6" ht="14.25" thickBot="1">
      <c r="A18" s="1526" t="s">
        <v>1285</v>
      </c>
      <c r="B18" s="1530" t="s">
        <v>1287</v>
      </c>
      <c r="C18" s="2116">
        <v>7.3999999999999996E-2</v>
      </c>
      <c r="D18" s="2116">
        <v>9.9000000000000005E-2</v>
      </c>
      <c r="E18" s="2116">
        <v>0.1</v>
      </c>
      <c r="F18" s="2128"/>
    </row>
    <row r="19" spans="1:6" ht="14.25" thickBot="1">
      <c r="A19" s="1526" t="s">
        <v>1285</v>
      </c>
      <c r="B19" s="1530" t="s">
        <v>1297</v>
      </c>
      <c r="C19" s="2116">
        <v>9.9000000000000005E-2</v>
      </c>
      <c r="D19" s="2116">
        <v>7.5999999999999998E-2</v>
      </c>
      <c r="E19" s="2116">
        <v>8.6999999999999994E-2</v>
      </c>
      <c r="F19" s="2128"/>
    </row>
    <row r="20" spans="1:6" ht="14.25" thickBot="1">
      <c r="A20" s="1526" t="s">
        <v>1285</v>
      </c>
      <c r="B20" s="1530" t="s">
        <v>1307</v>
      </c>
      <c r="C20" s="2116">
        <v>9.8000000000000004E-2</v>
      </c>
      <c r="D20" s="2116">
        <v>8.5000000000000006E-2</v>
      </c>
      <c r="E20" s="2116">
        <v>8.2000000000000003E-2</v>
      </c>
      <c r="F20" s="2128"/>
    </row>
    <row r="21" spans="1:6" ht="14.25" thickBot="1">
      <c r="A21" s="1526" t="s">
        <v>1285</v>
      </c>
      <c r="B21" s="1530" t="s">
        <v>1317</v>
      </c>
      <c r="C21" s="2116">
        <v>6.6000000000000003E-2</v>
      </c>
      <c r="D21" s="2116">
        <v>6.4000000000000001E-2</v>
      </c>
      <c r="E21" s="2116">
        <v>6.5000000000000002E-2</v>
      </c>
      <c r="F21" s="2128"/>
    </row>
    <row r="22" spans="1:6" ht="14.25" thickBot="1">
      <c r="A22" s="1526" t="s">
        <v>1285</v>
      </c>
      <c r="B22" s="1530" t="s">
        <v>2152</v>
      </c>
      <c r="C22" s="2116">
        <v>0.08</v>
      </c>
      <c r="D22" s="2116">
        <v>9.8000000000000004E-2</v>
      </c>
      <c r="E22" s="2116">
        <v>9.8000000000000004E-2</v>
      </c>
      <c r="F22" s="2128"/>
    </row>
    <row r="23" spans="1:6" ht="14.25" thickBot="1">
      <c r="A23" s="1526" t="s">
        <v>1285</v>
      </c>
      <c r="B23" s="1530" t="s">
        <v>1338</v>
      </c>
      <c r="C23" s="2116">
        <v>9.9000000000000005E-2</v>
      </c>
      <c r="D23" s="2116">
        <v>9.8000000000000004E-2</v>
      </c>
      <c r="E23" s="2116">
        <v>9.0999999999999998E-2</v>
      </c>
      <c r="F23" s="2128"/>
    </row>
    <row r="24" spans="1:6" ht="14.25" thickBot="1">
      <c r="A24" s="1526" t="s">
        <v>1285</v>
      </c>
      <c r="B24" s="1530" t="s">
        <v>1349</v>
      </c>
      <c r="C24" s="2116">
        <v>8.8999999999999996E-2</v>
      </c>
      <c r="D24" s="2116">
        <v>9.7000000000000003E-2</v>
      </c>
      <c r="E24" s="2116">
        <v>7.0000000000000007E-2</v>
      </c>
      <c r="F24" s="2128"/>
    </row>
    <row r="25" spans="1:6" ht="14.25" thickBot="1">
      <c r="A25" s="1526" t="s">
        <v>1285</v>
      </c>
      <c r="B25" s="1530" t="s">
        <v>1359</v>
      </c>
      <c r="C25" s="2116">
        <v>8.8999999999999996E-2</v>
      </c>
      <c r="D25" s="2116">
        <v>0.1</v>
      </c>
      <c r="E25" s="2116">
        <v>8.1000000000000003E-2</v>
      </c>
      <c r="F25" s="2128"/>
    </row>
    <row r="26" spans="1:6" ht="14.25" thickBot="1">
      <c r="A26" s="1526" t="s">
        <v>1285</v>
      </c>
      <c r="B26" s="1530" t="s">
        <v>1369</v>
      </c>
      <c r="C26" s="2129"/>
      <c r="D26" s="2116">
        <v>9.6000000000000002E-2</v>
      </c>
      <c r="E26" s="2116">
        <v>9.2999999999999999E-2</v>
      </c>
      <c r="F26" s="2128"/>
    </row>
    <row r="27" spans="1:6" ht="14.25" thickBot="1">
      <c r="A27" s="1526" t="s">
        <v>1285</v>
      </c>
      <c r="B27" s="1530" t="s">
        <v>1379</v>
      </c>
      <c r="C27" s="2129"/>
      <c r="D27" s="2116">
        <v>7.5999999999999998E-2</v>
      </c>
      <c r="E27" s="2116">
        <v>9.1999999999999998E-2</v>
      </c>
      <c r="F27" s="2128"/>
    </row>
    <row r="28" spans="1:6" ht="14.25" thickBot="1">
      <c r="A28" s="1536" t="s">
        <v>1285</v>
      </c>
      <c r="B28" s="1531" t="s">
        <v>1389</v>
      </c>
      <c r="C28" s="2126"/>
      <c r="D28" s="2118">
        <v>7.5999999999999998E-2</v>
      </c>
      <c r="E28" s="2118">
        <v>9.1999999999999998E-2</v>
      </c>
      <c r="F28" s="2127"/>
    </row>
    <row r="29" spans="1:6" ht="14.25" thickBot="1">
      <c r="A29" s="1526" t="s">
        <v>1458</v>
      </c>
      <c r="B29" s="1527" t="s">
        <v>2153</v>
      </c>
      <c r="C29" s="2114">
        <v>6.4000000000000001E-2</v>
      </c>
      <c r="D29" s="2114">
        <v>6.5000000000000002E-2</v>
      </c>
      <c r="E29" s="2114">
        <v>6.9000000000000006E-2</v>
      </c>
      <c r="F29" s="2115">
        <v>0.1</v>
      </c>
    </row>
    <row r="30" spans="1:6" ht="14.25" thickBot="1">
      <c r="A30" s="1526" t="s">
        <v>1458</v>
      </c>
      <c r="B30" s="1530" t="s">
        <v>1205</v>
      </c>
      <c r="C30" s="2116">
        <v>6.4000000000000001E-2</v>
      </c>
      <c r="D30" s="2116">
        <v>9.9000000000000005E-2</v>
      </c>
      <c r="E30" s="2116">
        <v>0.1</v>
      </c>
      <c r="F30" s="2117">
        <v>0.1</v>
      </c>
    </row>
    <row r="31" spans="1:6" ht="14.25" thickBot="1">
      <c r="A31" s="1526" t="s">
        <v>1458</v>
      </c>
      <c r="B31" s="1530" t="s">
        <v>1218</v>
      </c>
      <c r="C31" s="2116">
        <v>0.1</v>
      </c>
      <c r="D31" s="2116">
        <v>9.5000000000000001E-2</v>
      </c>
      <c r="E31" s="2116">
        <v>8.8999999999999996E-2</v>
      </c>
      <c r="F31" s="2117">
        <v>0.1</v>
      </c>
    </row>
    <row r="32" spans="1:6" ht="14.25" thickBot="1">
      <c r="A32" s="1526" t="s">
        <v>1458</v>
      </c>
      <c r="B32" s="1530" t="s">
        <v>1231</v>
      </c>
      <c r="C32" s="2116">
        <v>0.05</v>
      </c>
      <c r="D32" s="2116">
        <v>0.05</v>
      </c>
      <c r="E32" s="2116">
        <v>8.7999999999999995E-2</v>
      </c>
      <c r="F32" s="2117">
        <v>0.1</v>
      </c>
    </row>
    <row r="33" spans="1:6" ht="14.25" thickBot="1">
      <c r="A33" s="1526" t="s">
        <v>1458</v>
      </c>
      <c r="B33" s="1530" t="s">
        <v>1243</v>
      </c>
      <c r="C33" s="2116">
        <v>7.4999999999999997E-2</v>
      </c>
      <c r="D33" s="2116">
        <v>9.4E-2</v>
      </c>
      <c r="E33" s="2116">
        <v>9.7000000000000003E-2</v>
      </c>
      <c r="F33" s="2117">
        <v>0.1</v>
      </c>
    </row>
    <row r="34" spans="1:6" ht="14.25" thickBot="1">
      <c r="A34" s="1526" t="s">
        <v>1458</v>
      </c>
      <c r="B34" s="1530" t="s">
        <v>1254</v>
      </c>
      <c r="C34" s="2116">
        <v>9.8000000000000004E-2</v>
      </c>
      <c r="D34" s="2116">
        <v>8.5999999999999993E-2</v>
      </c>
      <c r="E34" s="2116">
        <v>9.7000000000000003E-2</v>
      </c>
      <c r="F34" s="2117">
        <v>0.1</v>
      </c>
    </row>
    <row r="35" spans="1:6" ht="14.25" thickBot="1">
      <c r="A35" s="1526" t="s">
        <v>1458</v>
      </c>
      <c r="B35" s="1530" t="s">
        <v>1265</v>
      </c>
      <c r="C35" s="2116">
        <v>5.8999999999999997E-2</v>
      </c>
      <c r="D35" s="2116">
        <v>6.5000000000000002E-2</v>
      </c>
      <c r="E35" s="2116">
        <v>7.0000000000000007E-2</v>
      </c>
      <c r="F35" s="2117">
        <v>0.1</v>
      </c>
    </row>
    <row r="36" spans="1:6" ht="14.25" thickBot="1">
      <c r="A36" s="1526" t="s">
        <v>1458</v>
      </c>
      <c r="B36" s="1530" t="s">
        <v>1276</v>
      </c>
      <c r="C36" s="2116">
        <v>6.3E-2</v>
      </c>
      <c r="D36" s="2116">
        <v>0.1</v>
      </c>
      <c r="E36" s="2116">
        <v>0.1</v>
      </c>
      <c r="F36" s="2117">
        <v>0.1</v>
      </c>
    </row>
    <row r="37" spans="1:6" ht="14.25" thickBot="1">
      <c r="A37" s="1526" t="s">
        <v>1458</v>
      </c>
      <c r="B37" s="1530" t="s">
        <v>1288</v>
      </c>
      <c r="C37" s="2116">
        <v>7.3999999999999996E-2</v>
      </c>
      <c r="D37" s="2116">
        <v>0.1</v>
      </c>
      <c r="E37" s="2116">
        <v>0.1</v>
      </c>
      <c r="F37" s="2117">
        <v>0.1</v>
      </c>
    </row>
    <row r="38" spans="1:6" ht="14.25" thickBot="1">
      <c r="A38" s="1526" t="s">
        <v>1458</v>
      </c>
      <c r="B38" s="1530" t="s">
        <v>1298</v>
      </c>
      <c r="C38" s="2116">
        <v>0.1</v>
      </c>
      <c r="D38" s="2116">
        <v>9.6000000000000002E-2</v>
      </c>
      <c r="E38" s="2116">
        <v>9.6000000000000002E-2</v>
      </c>
      <c r="F38" s="2128"/>
    </row>
    <row r="39" spans="1:6" ht="14.25" thickBot="1">
      <c r="A39" s="1526" t="s">
        <v>1458</v>
      </c>
      <c r="B39" s="1530" t="s">
        <v>1308</v>
      </c>
      <c r="C39" s="2116">
        <v>0.1</v>
      </c>
      <c r="D39" s="2116">
        <v>9.6000000000000002E-2</v>
      </c>
      <c r="E39" s="2116">
        <v>9.6000000000000002E-2</v>
      </c>
      <c r="F39" s="2128"/>
    </row>
    <row r="40" spans="1:6" ht="14.25" thickBot="1">
      <c r="A40" s="1526" t="s">
        <v>1458</v>
      </c>
      <c r="B40" s="1530" t="s">
        <v>1318</v>
      </c>
      <c r="C40" s="2116">
        <v>9.6000000000000002E-2</v>
      </c>
      <c r="D40" s="2116">
        <v>0.1</v>
      </c>
      <c r="E40" s="2116">
        <v>9.9000000000000005E-2</v>
      </c>
      <c r="F40" s="2128"/>
    </row>
    <row r="41" spans="1:6" ht="14.25" thickBot="1">
      <c r="A41" s="1526" t="s">
        <v>1458</v>
      </c>
      <c r="B41" s="1530" t="s">
        <v>1328</v>
      </c>
      <c r="C41" s="2116">
        <v>9.6000000000000002E-2</v>
      </c>
      <c r="D41" s="2116">
        <v>9.8000000000000004E-2</v>
      </c>
      <c r="E41" s="2116">
        <v>9.8000000000000004E-2</v>
      </c>
      <c r="F41" s="2128"/>
    </row>
    <row r="42" spans="1:6" ht="14.25" thickBot="1">
      <c r="A42" s="1526" t="s">
        <v>1458</v>
      </c>
      <c r="B42" s="1530" t="s">
        <v>1339</v>
      </c>
      <c r="C42" s="2116">
        <v>0.1</v>
      </c>
      <c r="D42" s="2116">
        <v>8.7999999999999995E-2</v>
      </c>
      <c r="E42" s="2116">
        <v>0.1</v>
      </c>
      <c r="F42" s="2128"/>
    </row>
    <row r="43" spans="1:6" ht="14.25" thickBot="1">
      <c r="A43" s="1526" t="s">
        <v>1458</v>
      </c>
      <c r="B43" s="1530" t="s">
        <v>1350</v>
      </c>
      <c r="C43" s="2116">
        <v>9.8000000000000004E-2</v>
      </c>
      <c r="D43" s="2116">
        <v>9.7000000000000003E-2</v>
      </c>
      <c r="E43" s="2116">
        <v>9.6000000000000002E-2</v>
      </c>
      <c r="F43" s="2128"/>
    </row>
    <row r="44" spans="1:6" ht="14.25" thickBot="1">
      <c r="A44" s="1526" t="s">
        <v>1458</v>
      </c>
      <c r="B44" s="1530" t="s">
        <v>1360</v>
      </c>
      <c r="C44" s="2116">
        <v>8.5999999999999993E-2</v>
      </c>
      <c r="D44" s="2116">
        <v>7.9000000000000001E-2</v>
      </c>
      <c r="E44" s="2116">
        <v>7.0999999999999994E-2</v>
      </c>
      <c r="F44" s="2128"/>
    </row>
    <row r="45" spans="1:6" ht="14.25" thickBot="1">
      <c r="A45" s="1526" t="s">
        <v>1458</v>
      </c>
      <c r="B45" s="1530" t="s">
        <v>1370</v>
      </c>
      <c r="C45" s="2116">
        <v>9.8000000000000004E-2</v>
      </c>
      <c r="D45" s="2116">
        <v>9.6000000000000002E-2</v>
      </c>
      <c r="E45" s="2116">
        <v>9.6000000000000002E-2</v>
      </c>
      <c r="F45" s="2128"/>
    </row>
    <row r="46" spans="1:6" ht="14.25" thickBot="1">
      <c r="A46" s="1526" t="s">
        <v>1458</v>
      </c>
      <c r="B46" s="1530" t="s">
        <v>1380</v>
      </c>
      <c r="C46" s="2116">
        <v>8.5999999999999993E-2</v>
      </c>
      <c r="D46" s="2116">
        <v>9.8000000000000004E-2</v>
      </c>
      <c r="E46" s="2116">
        <v>8.7999999999999995E-2</v>
      </c>
      <c r="F46" s="2128"/>
    </row>
    <row r="47" spans="1:6" ht="14.25" thickBot="1">
      <c r="A47" s="1526" t="s">
        <v>1458</v>
      </c>
      <c r="B47" s="1530" t="s">
        <v>1390</v>
      </c>
      <c r="C47" s="2116">
        <v>9.6000000000000002E-2</v>
      </c>
      <c r="D47" s="2129"/>
      <c r="E47" s="2116">
        <v>6.9000000000000006E-2</v>
      </c>
      <c r="F47" s="2128"/>
    </row>
    <row r="48" spans="1:6" ht="14.25" thickBot="1">
      <c r="A48" s="1536" t="s">
        <v>1458</v>
      </c>
      <c r="B48" s="1531" t="s">
        <v>1399</v>
      </c>
      <c r="C48" s="2118">
        <v>9.8000000000000004E-2</v>
      </c>
      <c r="D48" s="2126"/>
      <c r="E48" s="2118">
        <v>9.5000000000000001E-2</v>
      </c>
      <c r="F48" s="2127"/>
    </row>
    <row r="49" spans="1:6" ht="14.25" thickBot="1">
      <c r="A49" s="1526" t="s">
        <v>1139</v>
      </c>
      <c r="B49" s="1527" t="s">
        <v>2154</v>
      </c>
      <c r="C49" s="2114">
        <v>9.7000000000000003E-2</v>
      </c>
      <c r="D49" s="2114">
        <v>9.5000000000000001E-2</v>
      </c>
      <c r="E49" s="2114">
        <v>9.7000000000000003E-2</v>
      </c>
      <c r="F49" s="2115">
        <v>0.1</v>
      </c>
    </row>
    <row r="50" spans="1:6" ht="14.25" thickBot="1">
      <c r="A50" s="1526" t="s">
        <v>1139</v>
      </c>
      <c r="B50" s="1520" t="s">
        <v>1206</v>
      </c>
      <c r="C50" s="2116">
        <v>7.4999999999999997E-2</v>
      </c>
      <c r="D50" s="2116">
        <v>9.5000000000000001E-2</v>
      </c>
      <c r="E50" s="2116">
        <v>0.1</v>
      </c>
      <c r="F50" s="2117">
        <v>0.1</v>
      </c>
    </row>
    <row r="51" spans="1:6" ht="14.25" thickBot="1">
      <c r="A51" s="1526" t="s">
        <v>1139</v>
      </c>
      <c r="B51" s="1520" t="s">
        <v>1219</v>
      </c>
      <c r="C51" s="2116">
        <v>9.8000000000000004E-2</v>
      </c>
      <c r="D51" s="2116">
        <v>8.8999999999999996E-2</v>
      </c>
      <c r="E51" s="2116">
        <v>0.1</v>
      </c>
      <c r="F51" s="2117">
        <v>0.1</v>
      </c>
    </row>
    <row r="52" spans="1:6" ht="14.25" thickBot="1">
      <c r="A52" s="1526" t="s">
        <v>1139</v>
      </c>
      <c r="B52" s="1520" t="s">
        <v>1232</v>
      </c>
      <c r="C52" s="2116">
        <v>9.8000000000000004E-2</v>
      </c>
      <c r="D52" s="2116">
        <v>9.7000000000000003E-2</v>
      </c>
      <c r="E52" s="2116">
        <v>8.1000000000000003E-2</v>
      </c>
      <c r="F52" s="2117">
        <v>0.1</v>
      </c>
    </row>
    <row r="53" spans="1:6" ht="14.25" thickBot="1">
      <c r="A53" s="1526" t="s">
        <v>1139</v>
      </c>
      <c r="B53" s="1520" t="s">
        <v>1244</v>
      </c>
      <c r="C53" s="2116">
        <v>9.7000000000000003E-2</v>
      </c>
      <c r="D53" s="2116">
        <v>7.5999999999999998E-2</v>
      </c>
      <c r="E53" s="2116">
        <v>7.0999999999999994E-2</v>
      </c>
      <c r="F53" s="2117">
        <v>0.1</v>
      </c>
    </row>
    <row r="54" spans="1:6" ht="14.25" thickBot="1">
      <c r="A54" s="1526" t="s">
        <v>1139</v>
      </c>
      <c r="B54" s="1520" t="s">
        <v>1255</v>
      </c>
      <c r="C54" s="2116">
        <v>7.5999999999999998E-2</v>
      </c>
      <c r="D54" s="2116">
        <v>0.1</v>
      </c>
      <c r="E54" s="2116">
        <v>9.9000000000000005E-2</v>
      </c>
      <c r="F54" s="2117">
        <v>0.1</v>
      </c>
    </row>
    <row r="55" spans="1:6" ht="14.25" thickBot="1">
      <c r="A55" s="1526" t="s">
        <v>1139</v>
      </c>
      <c r="B55" s="1520" t="s">
        <v>1266</v>
      </c>
      <c r="C55" s="2116">
        <v>0.1</v>
      </c>
      <c r="D55" s="2116">
        <v>0.1</v>
      </c>
      <c r="E55" s="2116">
        <v>9.6000000000000002E-2</v>
      </c>
      <c r="F55" s="2117">
        <v>0.1</v>
      </c>
    </row>
    <row r="56" spans="1:6" ht="14.25" thickBot="1">
      <c r="A56" s="1526" t="s">
        <v>1139</v>
      </c>
      <c r="B56" s="1520" t="s">
        <v>1277</v>
      </c>
      <c r="C56" s="2116">
        <v>0.1</v>
      </c>
      <c r="D56" s="2116">
        <v>9.6000000000000002E-2</v>
      </c>
      <c r="E56" s="2116">
        <v>5.1999999999999998E-2</v>
      </c>
      <c r="F56" s="2117">
        <v>0.1</v>
      </c>
    </row>
    <row r="57" spans="1:6" ht="14.25" thickBot="1">
      <c r="A57" s="1526" t="s">
        <v>1139</v>
      </c>
      <c r="B57" s="1520" t="s">
        <v>1289</v>
      </c>
      <c r="C57" s="2116">
        <v>9.7000000000000003E-2</v>
      </c>
      <c r="D57" s="2116">
        <v>9.6000000000000002E-2</v>
      </c>
      <c r="E57" s="2116">
        <v>9.6000000000000002E-2</v>
      </c>
      <c r="F57" s="2117">
        <v>0.1</v>
      </c>
    </row>
    <row r="58" spans="1:6" ht="14.25" thickBot="1">
      <c r="A58" s="1526" t="s">
        <v>1139</v>
      </c>
      <c r="B58" s="1520" t="s">
        <v>1299</v>
      </c>
      <c r="C58" s="2116">
        <v>9.6000000000000002E-2</v>
      </c>
      <c r="D58" s="2116">
        <v>9.9000000000000005E-2</v>
      </c>
      <c r="E58" s="2116">
        <v>9.6000000000000002E-2</v>
      </c>
      <c r="F58" s="2117">
        <v>0.1</v>
      </c>
    </row>
    <row r="59" spans="1:6" ht="14.25" thickBot="1">
      <c r="A59" s="1526" t="s">
        <v>1139</v>
      </c>
      <c r="B59" s="1520" t="s">
        <v>1309</v>
      </c>
      <c r="C59" s="2116">
        <v>7.1999999999999995E-2</v>
      </c>
      <c r="D59" s="2116">
        <v>9.6000000000000002E-2</v>
      </c>
      <c r="E59" s="2116">
        <v>7.0999999999999994E-2</v>
      </c>
      <c r="F59" s="2117">
        <v>0.1</v>
      </c>
    </row>
    <row r="60" spans="1:6" ht="14.25" thickBot="1">
      <c r="A60" s="1526" t="s">
        <v>1139</v>
      </c>
      <c r="B60" s="1520" t="s">
        <v>1319</v>
      </c>
      <c r="C60" s="2116">
        <v>9.6000000000000002E-2</v>
      </c>
      <c r="D60" s="2116">
        <v>8.8999999999999996E-2</v>
      </c>
      <c r="E60" s="2116">
        <v>9.6000000000000002E-2</v>
      </c>
      <c r="F60" s="2117">
        <v>0.1</v>
      </c>
    </row>
    <row r="61" spans="1:6" ht="14.25" thickBot="1">
      <c r="A61" s="1526" t="s">
        <v>1139</v>
      </c>
      <c r="B61" s="1520" t="s">
        <v>1329</v>
      </c>
      <c r="C61" s="2116">
        <v>8.8999999999999996E-2</v>
      </c>
      <c r="D61" s="2116">
        <v>9.8000000000000004E-2</v>
      </c>
      <c r="E61" s="2116">
        <v>8.7999999999999995E-2</v>
      </c>
      <c r="F61" s="2128"/>
    </row>
    <row r="62" spans="1:6" ht="14.25" thickBot="1">
      <c r="A62" s="1526" t="s">
        <v>1139</v>
      </c>
      <c r="B62" s="1520" t="s">
        <v>1340</v>
      </c>
      <c r="C62" s="2116">
        <v>9.8000000000000004E-2</v>
      </c>
      <c r="D62" s="2116">
        <v>9.2999999999999999E-2</v>
      </c>
      <c r="E62" s="2116">
        <v>9.7000000000000003E-2</v>
      </c>
      <c r="F62" s="2128"/>
    </row>
    <row r="63" spans="1:6" ht="14.25" thickBot="1">
      <c r="A63" s="1526" t="s">
        <v>1139</v>
      </c>
      <c r="B63" s="1520" t="s">
        <v>1351</v>
      </c>
      <c r="C63" s="2116">
        <v>9.6000000000000002E-2</v>
      </c>
      <c r="D63" s="2116">
        <v>9.8000000000000004E-2</v>
      </c>
      <c r="E63" s="2116">
        <v>0.09</v>
      </c>
      <c r="F63" s="2128"/>
    </row>
    <row r="64" spans="1:6" ht="14.25" thickBot="1">
      <c r="A64" s="1526" t="s">
        <v>1139</v>
      </c>
      <c r="B64" s="1520" t="s">
        <v>1361</v>
      </c>
      <c r="C64" s="2116">
        <v>9.9000000000000005E-2</v>
      </c>
      <c r="D64" s="2116">
        <v>9.7000000000000003E-2</v>
      </c>
      <c r="E64" s="2116">
        <v>9.9000000000000005E-2</v>
      </c>
      <c r="F64" s="2128"/>
    </row>
    <row r="65" spans="1:6" ht="14.25" thickBot="1">
      <c r="A65" s="1526" t="s">
        <v>1139</v>
      </c>
      <c r="B65" s="1520" t="s">
        <v>1371</v>
      </c>
      <c r="C65" s="2116">
        <v>9.8000000000000004E-2</v>
      </c>
      <c r="D65" s="2116">
        <v>9.6000000000000002E-2</v>
      </c>
      <c r="E65" s="2116">
        <v>9.6000000000000002E-2</v>
      </c>
      <c r="F65" s="2128"/>
    </row>
    <row r="66" spans="1:6" ht="14.25" thickBot="1">
      <c r="A66" s="1526" t="s">
        <v>1139</v>
      </c>
      <c r="B66" s="1520" t="s">
        <v>1381</v>
      </c>
      <c r="C66" s="2116">
        <v>9.6000000000000002E-2</v>
      </c>
      <c r="D66" s="2116">
        <v>9.1999999999999998E-2</v>
      </c>
      <c r="E66" s="2116">
        <v>9.6000000000000002E-2</v>
      </c>
      <c r="F66" s="2128"/>
    </row>
    <row r="67" spans="1:6" ht="14.25" thickBot="1">
      <c r="A67" s="1526" t="s">
        <v>1139</v>
      </c>
      <c r="B67" s="1520" t="s">
        <v>1391</v>
      </c>
      <c r="C67" s="2116">
        <v>9.4E-2</v>
      </c>
      <c r="D67" s="2116">
        <v>0.1</v>
      </c>
      <c r="E67" s="2116">
        <v>8.7999999999999995E-2</v>
      </c>
      <c r="F67" s="2128"/>
    </row>
    <row r="68" spans="1:6" ht="14.25" thickBot="1">
      <c r="A68" s="1526" t="s">
        <v>1139</v>
      </c>
      <c r="B68" s="1520" t="s">
        <v>1400</v>
      </c>
      <c r="C68" s="2116">
        <v>0.1</v>
      </c>
      <c r="D68" s="2116">
        <v>8.7999999999999995E-2</v>
      </c>
      <c r="E68" s="2116">
        <v>9.7000000000000003E-2</v>
      </c>
      <c r="F68" s="2128"/>
    </row>
    <row r="69" spans="1:6" ht="14.25" thickBot="1">
      <c r="A69" s="1526" t="s">
        <v>1139</v>
      </c>
      <c r="B69" s="1520" t="s">
        <v>1409</v>
      </c>
      <c r="C69" s="2116">
        <v>6.4000000000000001E-2</v>
      </c>
      <c r="D69" s="2116">
        <v>0.1</v>
      </c>
      <c r="E69" s="2116">
        <v>0.1</v>
      </c>
      <c r="F69" s="2128"/>
    </row>
    <row r="70" spans="1:6" ht="14.25" thickBot="1">
      <c r="A70" s="1526" t="s">
        <v>1139</v>
      </c>
      <c r="B70" s="1520" t="s">
        <v>1417</v>
      </c>
      <c r="C70" s="2116">
        <v>9.0999999999999998E-2</v>
      </c>
      <c r="D70" s="2129"/>
      <c r="E70" s="2129"/>
      <c r="F70" s="2128"/>
    </row>
    <row r="71" spans="1:6" ht="14.25" thickBot="1">
      <c r="A71" s="1526" t="s">
        <v>1139</v>
      </c>
      <c r="B71" s="1520" t="s">
        <v>1424</v>
      </c>
      <c r="C71" s="2116">
        <v>0.1</v>
      </c>
      <c r="D71" s="2129"/>
      <c r="E71" s="2129"/>
      <c r="F71" s="2128"/>
    </row>
    <row r="72" spans="1:6" ht="14.25" thickBot="1">
      <c r="A72" s="1526" t="s">
        <v>1139</v>
      </c>
      <c r="B72" s="1520" t="s">
        <v>2155</v>
      </c>
      <c r="C72" s="2129"/>
      <c r="D72" s="2129"/>
      <c r="E72" s="2129"/>
      <c r="F72" s="2117">
        <v>0.05</v>
      </c>
    </row>
    <row r="73" spans="1:6" ht="14.25" thickBot="1">
      <c r="A73" s="1526" t="s">
        <v>1139</v>
      </c>
      <c r="B73" s="1520" t="s">
        <v>2156</v>
      </c>
      <c r="C73" s="2129"/>
      <c r="D73" s="2129"/>
      <c r="E73" s="2129"/>
      <c r="F73" s="2117">
        <v>0.05</v>
      </c>
    </row>
    <row r="74" spans="1:6" ht="14.25" thickBot="1">
      <c r="A74" s="1526" t="s">
        <v>1139</v>
      </c>
      <c r="B74" s="1520" t="s">
        <v>2157</v>
      </c>
      <c r="C74" s="2129"/>
      <c r="D74" s="2129"/>
      <c r="E74" s="2129"/>
      <c r="F74" s="2117">
        <v>0.05</v>
      </c>
    </row>
    <row r="75" spans="1:6" ht="14.25" thickBot="1">
      <c r="A75" s="1536" t="s">
        <v>1139</v>
      </c>
      <c r="B75" s="1532" t="s">
        <v>2158</v>
      </c>
      <c r="C75" s="2126"/>
      <c r="D75" s="2126"/>
      <c r="E75" s="2126"/>
      <c r="F75" s="2119">
        <v>0.05</v>
      </c>
    </row>
    <row r="76" spans="1:6" ht="14.25" thickBot="1">
      <c r="A76" s="1526" t="s">
        <v>1539</v>
      </c>
      <c r="B76" s="1527" t="s">
        <v>2159</v>
      </c>
      <c r="C76" s="2114">
        <v>0.1</v>
      </c>
      <c r="D76" s="2114">
        <v>0.1</v>
      </c>
      <c r="E76" s="2114">
        <v>0.1</v>
      </c>
      <c r="F76" s="2115">
        <v>0.1</v>
      </c>
    </row>
    <row r="77" spans="1:6" ht="14.25" thickBot="1">
      <c r="A77" s="1526" t="s">
        <v>1539</v>
      </c>
      <c r="B77" s="1520" t="s">
        <v>1207</v>
      </c>
      <c r="C77" s="2116">
        <v>8.7999999999999995E-2</v>
      </c>
      <c r="D77" s="2116">
        <v>8.6999999999999994E-2</v>
      </c>
      <c r="E77" s="2116">
        <v>7.9000000000000001E-2</v>
      </c>
      <c r="F77" s="2117">
        <v>0.1</v>
      </c>
    </row>
    <row r="78" spans="1:6" ht="14.25" thickBot="1">
      <c r="A78" s="1526" t="s">
        <v>1539</v>
      </c>
      <c r="B78" s="1520" t="s">
        <v>1220</v>
      </c>
      <c r="C78" s="2116">
        <v>8.6999999999999994E-2</v>
      </c>
      <c r="D78" s="2116">
        <v>8.4000000000000005E-2</v>
      </c>
      <c r="E78" s="2116">
        <v>9.6000000000000002E-2</v>
      </c>
      <c r="F78" s="2117">
        <v>0.1</v>
      </c>
    </row>
    <row r="79" spans="1:6" ht="14.25" thickBot="1">
      <c r="A79" s="1526" t="s">
        <v>1539</v>
      </c>
      <c r="B79" s="1520" t="s">
        <v>1233</v>
      </c>
      <c r="C79" s="2116">
        <v>9.8000000000000004E-2</v>
      </c>
      <c r="D79" s="2116">
        <v>9.8000000000000004E-2</v>
      </c>
      <c r="E79" s="2116">
        <v>9.0999999999999998E-2</v>
      </c>
      <c r="F79" s="2117">
        <v>0.1</v>
      </c>
    </row>
    <row r="80" spans="1:6" ht="14.25" thickBot="1">
      <c r="A80" s="1526" t="s">
        <v>1539</v>
      </c>
      <c r="B80" s="1520" t="s">
        <v>1245</v>
      </c>
      <c r="C80" s="2116">
        <v>9.6000000000000002E-2</v>
      </c>
      <c r="D80" s="2116">
        <v>9.6000000000000002E-2</v>
      </c>
      <c r="E80" s="2116">
        <v>0.1</v>
      </c>
      <c r="F80" s="2117">
        <v>0.1</v>
      </c>
    </row>
    <row r="81" spans="1:6" ht="14.25" thickBot="1">
      <c r="A81" s="1526" t="s">
        <v>1539</v>
      </c>
      <c r="B81" s="1520" t="s">
        <v>1256</v>
      </c>
      <c r="C81" s="2116">
        <v>9.9000000000000005E-2</v>
      </c>
      <c r="D81" s="2116">
        <v>9.9000000000000005E-2</v>
      </c>
      <c r="E81" s="2116">
        <v>9.8000000000000004E-2</v>
      </c>
      <c r="F81" s="2117">
        <v>0.1</v>
      </c>
    </row>
    <row r="82" spans="1:6" ht="14.25" thickBot="1">
      <c r="A82" s="1526" t="s">
        <v>1539</v>
      </c>
      <c r="B82" s="1520" t="s">
        <v>1267</v>
      </c>
      <c r="C82" s="2116">
        <v>9.9000000000000005E-2</v>
      </c>
      <c r="D82" s="2116">
        <v>9.9000000000000005E-2</v>
      </c>
      <c r="E82" s="2116">
        <v>9.7000000000000003E-2</v>
      </c>
      <c r="F82" s="2117">
        <v>0.1</v>
      </c>
    </row>
    <row r="83" spans="1:6" ht="14.25" thickBot="1">
      <c r="A83" s="1526" t="s">
        <v>1539</v>
      </c>
      <c r="B83" s="1520" t="s">
        <v>1278</v>
      </c>
      <c r="C83" s="2116">
        <v>9.8000000000000004E-2</v>
      </c>
      <c r="D83" s="2116">
        <v>9.8000000000000004E-2</v>
      </c>
      <c r="E83" s="2116">
        <v>9.8000000000000004E-2</v>
      </c>
      <c r="F83" s="2117">
        <v>0.1</v>
      </c>
    </row>
    <row r="84" spans="1:6" ht="14.25" thickBot="1">
      <c r="A84" s="1526" t="s">
        <v>1539</v>
      </c>
      <c r="B84" s="1520" t="s">
        <v>1290</v>
      </c>
      <c r="C84" s="2116">
        <v>9.9000000000000005E-2</v>
      </c>
      <c r="D84" s="2116">
        <v>9.9000000000000005E-2</v>
      </c>
      <c r="E84" s="2116">
        <v>9.9000000000000005E-2</v>
      </c>
      <c r="F84" s="2117">
        <v>0.1</v>
      </c>
    </row>
    <row r="85" spans="1:6" ht="14.25" thickBot="1">
      <c r="A85" s="1526" t="s">
        <v>1539</v>
      </c>
      <c r="B85" s="1520" t="s">
        <v>1300</v>
      </c>
      <c r="C85" s="2116">
        <v>9.9000000000000005E-2</v>
      </c>
      <c r="D85" s="2116">
        <v>9.9000000000000005E-2</v>
      </c>
      <c r="E85" s="2116">
        <v>9.9000000000000005E-2</v>
      </c>
      <c r="F85" s="2117">
        <v>0.1</v>
      </c>
    </row>
    <row r="86" spans="1:6" ht="14.25" thickBot="1">
      <c r="A86" s="1526" t="s">
        <v>1539</v>
      </c>
      <c r="B86" s="1520" t="s">
        <v>1310</v>
      </c>
      <c r="C86" s="2116">
        <v>0.1</v>
      </c>
      <c r="D86" s="2116">
        <v>0.1</v>
      </c>
      <c r="E86" s="2116">
        <v>7.6999999999999999E-2</v>
      </c>
      <c r="F86" s="2117">
        <v>0.1</v>
      </c>
    </row>
    <row r="87" spans="1:6" ht="14.25" thickBot="1">
      <c r="A87" s="1526" t="s">
        <v>1539</v>
      </c>
      <c r="B87" s="1520" t="s">
        <v>1320</v>
      </c>
      <c r="C87" s="2116">
        <v>0.1</v>
      </c>
      <c r="D87" s="2116">
        <v>0.1</v>
      </c>
      <c r="E87" s="2116">
        <v>9.8000000000000004E-2</v>
      </c>
      <c r="F87" s="2128"/>
    </row>
    <row r="88" spans="1:6" ht="14.25" thickBot="1">
      <c r="A88" s="1526" t="s">
        <v>1539</v>
      </c>
      <c r="B88" s="1520" t="s">
        <v>1330</v>
      </c>
      <c r="C88" s="2116">
        <v>9.1999999999999998E-2</v>
      </c>
      <c r="D88" s="2116">
        <v>8.5000000000000006E-2</v>
      </c>
      <c r="E88" s="2116">
        <v>9.6000000000000002E-2</v>
      </c>
      <c r="F88" s="2128"/>
    </row>
    <row r="89" spans="1:6" ht="14.25" thickBot="1">
      <c r="A89" s="1526" t="s">
        <v>1539</v>
      </c>
      <c r="B89" s="1520" t="s">
        <v>1341</v>
      </c>
      <c r="C89" s="2116">
        <v>0.1</v>
      </c>
      <c r="D89" s="2116">
        <v>0.1</v>
      </c>
      <c r="E89" s="2116">
        <v>9.7000000000000003E-2</v>
      </c>
      <c r="F89" s="2128"/>
    </row>
    <row r="90" spans="1:6" ht="14.25" thickBot="1">
      <c r="A90" s="1526" t="s">
        <v>1539</v>
      </c>
      <c r="B90" s="1520" t="s">
        <v>1352</v>
      </c>
      <c r="C90" s="2116">
        <v>9.8000000000000004E-2</v>
      </c>
      <c r="D90" s="2116">
        <v>9.8000000000000004E-2</v>
      </c>
      <c r="E90" s="2116">
        <v>8.7999999999999995E-2</v>
      </c>
      <c r="F90" s="2128"/>
    </row>
    <row r="91" spans="1:6" ht="14.25" thickBot="1">
      <c r="A91" s="1526" t="s">
        <v>1539</v>
      </c>
      <c r="B91" s="1520" t="s">
        <v>1362</v>
      </c>
      <c r="C91" s="2116">
        <v>9.9000000000000005E-2</v>
      </c>
      <c r="D91" s="2116">
        <v>9.9000000000000005E-2</v>
      </c>
      <c r="E91" s="2116">
        <v>9.0999999999999998E-2</v>
      </c>
      <c r="F91" s="2128"/>
    </row>
    <row r="92" spans="1:6" ht="14.25" thickBot="1">
      <c r="A92" s="1526" t="s">
        <v>1539</v>
      </c>
      <c r="B92" s="1520" t="s">
        <v>1372</v>
      </c>
      <c r="C92" s="2116">
        <v>9.6000000000000002E-2</v>
      </c>
      <c r="D92" s="2116">
        <v>9.6000000000000002E-2</v>
      </c>
      <c r="E92" s="2116">
        <v>7.2999999999999995E-2</v>
      </c>
      <c r="F92" s="2128"/>
    </row>
    <row r="93" spans="1:6" ht="14.25" thickBot="1">
      <c r="A93" s="1526" t="s">
        <v>1539</v>
      </c>
      <c r="B93" s="1520" t="s">
        <v>1382</v>
      </c>
      <c r="C93" s="2116">
        <v>9.6000000000000002E-2</v>
      </c>
      <c r="D93" s="2116">
        <v>9.6000000000000002E-2</v>
      </c>
      <c r="E93" s="2116">
        <v>9.9000000000000005E-2</v>
      </c>
      <c r="F93" s="2128"/>
    </row>
    <row r="94" spans="1:6" ht="14.25" thickBot="1">
      <c r="A94" s="1526" t="s">
        <v>1539</v>
      </c>
      <c r="B94" s="1520" t="s">
        <v>1392</v>
      </c>
      <c r="C94" s="2116">
        <v>7.5999999999999998E-2</v>
      </c>
      <c r="D94" s="2116">
        <v>7.3999999999999996E-2</v>
      </c>
      <c r="E94" s="2116">
        <v>9.7000000000000003E-2</v>
      </c>
      <c r="F94" s="2128"/>
    </row>
    <row r="95" spans="1:6" ht="14.25" thickBot="1">
      <c r="A95" s="1526" t="s">
        <v>1539</v>
      </c>
      <c r="B95" s="1520" t="s">
        <v>1401</v>
      </c>
      <c r="C95" s="2116">
        <v>9.9000000000000005E-2</v>
      </c>
      <c r="D95" s="2116">
        <v>9.4E-2</v>
      </c>
      <c r="E95" s="2116">
        <v>9.6000000000000002E-2</v>
      </c>
      <c r="F95" s="2128"/>
    </row>
    <row r="96" spans="1:6" ht="14.25" thickBot="1">
      <c r="A96" s="1526" t="s">
        <v>1539</v>
      </c>
      <c r="B96" s="1520" t="s">
        <v>1410</v>
      </c>
      <c r="C96" s="2116">
        <v>9.9000000000000005E-2</v>
      </c>
      <c r="D96" s="2116">
        <v>9.9000000000000005E-2</v>
      </c>
      <c r="E96" s="2116">
        <v>9.9000000000000005E-2</v>
      </c>
      <c r="F96" s="2128"/>
    </row>
    <row r="97" spans="1:6" ht="14.25" thickBot="1">
      <c r="A97" s="1526" t="s">
        <v>1539</v>
      </c>
      <c r="B97" s="1520" t="s">
        <v>1418</v>
      </c>
      <c r="C97" s="2116">
        <v>9.8000000000000004E-2</v>
      </c>
      <c r="D97" s="2116">
        <v>9.8000000000000004E-2</v>
      </c>
      <c r="E97" s="2116">
        <v>9.7000000000000003E-2</v>
      </c>
      <c r="F97" s="2128"/>
    </row>
    <row r="98" spans="1:6" ht="14.25" thickBot="1">
      <c r="A98" s="1526" t="s">
        <v>1539</v>
      </c>
      <c r="B98" s="1520" t="s">
        <v>1425</v>
      </c>
      <c r="C98" s="2116">
        <v>0.1</v>
      </c>
      <c r="D98" s="2116">
        <v>0.1</v>
      </c>
      <c r="E98" s="2116">
        <v>9.7000000000000003E-2</v>
      </c>
      <c r="F98" s="2128"/>
    </row>
    <row r="99" spans="1:6" ht="14.25" thickBot="1">
      <c r="A99" s="1526" t="s">
        <v>1539</v>
      </c>
      <c r="B99" s="1520" t="s">
        <v>1432</v>
      </c>
      <c r="C99" s="2116">
        <v>0.1</v>
      </c>
      <c r="D99" s="2116">
        <v>0.1</v>
      </c>
      <c r="E99" s="2129"/>
      <c r="F99" s="2128"/>
    </row>
    <row r="100" spans="1:6" ht="14.25" thickBot="1">
      <c r="A100" s="1526" t="s">
        <v>1539</v>
      </c>
      <c r="B100" s="1520" t="s">
        <v>1439</v>
      </c>
      <c r="C100" s="2116">
        <v>0.09</v>
      </c>
      <c r="D100" s="2116">
        <v>8.8999999999999996E-2</v>
      </c>
      <c r="E100" s="2129"/>
      <c r="F100" s="2128"/>
    </row>
    <row r="101" spans="1:6" ht="14.25" thickBot="1">
      <c r="A101" s="1526" t="s">
        <v>1539</v>
      </c>
      <c r="B101" s="1520" t="s">
        <v>1446</v>
      </c>
      <c r="C101" s="2116">
        <v>9.8000000000000004E-2</v>
      </c>
      <c r="D101" s="2116">
        <v>9.7000000000000003E-2</v>
      </c>
      <c r="E101" s="2129"/>
      <c r="F101" s="2128"/>
    </row>
    <row r="102" spans="1:6" ht="14.25" thickBot="1">
      <c r="A102" s="1526" t="s">
        <v>1539</v>
      </c>
      <c r="B102" s="1520" t="s">
        <v>2160</v>
      </c>
      <c r="C102" s="2129"/>
      <c r="D102" s="2129"/>
      <c r="E102" s="2129"/>
      <c r="F102" s="2117">
        <v>0.05</v>
      </c>
    </row>
    <row r="103" spans="1:6" ht="24.75" thickBot="1">
      <c r="A103" s="1526" t="s">
        <v>1539</v>
      </c>
      <c r="B103" s="1520" t="s">
        <v>2161</v>
      </c>
      <c r="C103" s="2129"/>
      <c r="D103" s="2129"/>
      <c r="E103" s="2129"/>
      <c r="F103" s="2117">
        <v>0.05</v>
      </c>
    </row>
    <row r="104" spans="1:6" ht="14.25" thickBot="1">
      <c r="A104" s="1526" t="s">
        <v>1539</v>
      </c>
      <c r="B104" s="1520" t="s">
        <v>2162</v>
      </c>
      <c r="C104" s="2129"/>
      <c r="D104" s="2129"/>
      <c r="E104" s="2129"/>
      <c r="F104" s="2117">
        <v>0.05</v>
      </c>
    </row>
    <row r="105" spans="1:6" ht="14.25" thickBot="1">
      <c r="A105" s="1526" t="s">
        <v>1539</v>
      </c>
      <c r="B105" s="1520" t="s">
        <v>2163</v>
      </c>
      <c r="C105" s="2129"/>
      <c r="D105" s="2129"/>
      <c r="E105" s="2129"/>
      <c r="F105" s="2117">
        <v>0.05</v>
      </c>
    </row>
    <row r="106" spans="1:6" ht="14.25" thickBot="1">
      <c r="A106" s="1526" t="s">
        <v>1539</v>
      </c>
      <c r="B106" s="1520" t="s">
        <v>2164</v>
      </c>
      <c r="C106" s="2129"/>
      <c r="D106" s="2129"/>
      <c r="E106" s="2129"/>
      <c r="F106" s="2117">
        <v>0.05</v>
      </c>
    </row>
    <row r="107" spans="1:6" ht="24.75" thickBot="1">
      <c r="A107" s="1526" t="s">
        <v>1539</v>
      </c>
      <c r="B107" s="1520" t="s">
        <v>2165</v>
      </c>
      <c r="C107" s="2129"/>
      <c r="D107" s="2129"/>
      <c r="E107" s="2129"/>
      <c r="F107" s="2117">
        <v>0.05</v>
      </c>
    </row>
    <row r="108" spans="1:6" ht="24.75" thickBot="1">
      <c r="A108" s="1526" t="s">
        <v>1539</v>
      </c>
      <c r="B108" s="1520" t="s">
        <v>2166</v>
      </c>
      <c r="C108" s="2129"/>
      <c r="D108" s="2129"/>
      <c r="E108" s="2129"/>
      <c r="F108" s="2117">
        <v>0.05</v>
      </c>
    </row>
    <row r="109" spans="1:6" ht="24.75" thickBot="1">
      <c r="A109" s="1536" t="s">
        <v>1539</v>
      </c>
      <c r="B109" s="1532" t="s">
        <v>2167</v>
      </c>
      <c r="C109" s="2126"/>
      <c r="D109" s="2126"/>
      <c r="E109" s="2126"/>
      <c r="F109" s="2119">
        <v>0.05</v>
      </c>
    </row>
    <row r="110" spans="1:6" ht="14.25" thickBot="1">
      <c r="A110" s="1526" t="s">
        <v>203</v>
      </c>
      <c r="B110" s="1527" t="s">
        <v>2168</v>
      </c>
      <c r="C110" s="2114">
        <v>0.129</v>
      </c>
      <c r="D110" s="2114">
        <v>0.129</v>
      </c>
      <c r="E110" s="2114">
        <v>0.126</v>
      </c>
      <c r="F110" s="2115">
        <v>0.13</v>
      </c>
    </row>
    <row r="111" spans="1:6" ht="14.25" thickBot="1">
      <c r="A111" s="1526" t="s">
        <v>203</v>
      </c>
      <c r="B111" s="1520" t="s">
        <v>1208</v>
      </c>
      <c r="C111" s="2116">
        <v>0.11</v>
      </c>
      <c r="D111" s="2116">
        <v>0.11</v>
      </c>
      <c r="E111" s="2116">
        <v>9.9000000000000005E-2</v>
      </c>
      <c r="F111" s="2117">
        <v>0.128</v>
      </c>
    </row>
    <row r="112" spans="1:6" ht="14.25" thickBot="1">
      <c r="A112" s="1526" t="s">
        <v>203</v>
      </c>
      <c r="B112" s="1520" t="s">
        <v>1221</v>
      </c>
      <c r="C112" s="2116">
        <v>0.125</v>
      </c>
      <c r="D112" s="2116">
        <v>0.125</v>
      </c>
      <c r="E112" s="2116">
        <v>0.12</v>
      </c>
      <c r="F112" s="2117">
        <v>0.125</v>
      </c>
    </row>
    <row r="113" spans="1:6" ht="14.25" thickBot="1">
      <c r="A113" s="1526" t="s">
        <v>203</v>
      </c>
      <c r="B113" s="1520" t="s">
        <v>1234</v>
      </c>
      <c r="C113" s="2116">
        <v>0.13</v>
      </c>
      <c r="D113" s="2116">
        <v>0.13</v>
      </c>
      <c r="E113" s="2116">
        <v>0.13</v>
      </c>
      <c r="F113" s="2117">
        <v>0.13</v>
      </c>
    </row>
    <row r="114" spans="1:6" ht="14.25" thickBot="1">
      <c r="A114" s="1526" t="s">
        <v>203</v>
      </c>
      <c r="B114" s="1520" t="s">
        <v>1246</v>
      </c>
      <c r="C114" s="2116">
        <v>0.123</v>
      </c>
      <c r="D114" s="2116">
        <v>0.123</v>
      </c>
      <c r="E114" s="2116">
        <v>0.12</v>
      </c>
      <c r="F114" s="2117">
        <v>0.13</v>
      </c>
    </row>
    <row r="115" spans="1:6" ht="14.25" thickBot="1">
      <c r="A115" s="1526" t="s">
        <v>203</v>
      </c>
      <c r="B115" s="1520" t="s">
        <v>1257</v>
      </c>
      <c r="C115" s="2116">
        <v>0.125</v>
      </c>
      <c r="D115" s="2116">
        <v>0.125</v>
      </c>
      <c r="E115" s="2116">
        <v>0.11700000000000001</v>
      </c>
      <c r="F115" s="2117">
        <v>0.13</v>
      </c>
    </row>
    <row r="116" spans="1:6" ht="14.25" thickBot="1">
      <c r="A116" s="1526" t="s">
        <v>203</v>
      </c>
      <c r="B116" s="1520" t="s">
        <v>1268</v>
      </c>
      <c r="C116" s="2116">
        <v>0.11700000000000001</v>
      </c>
      <c r="D116" s="2116">
        <v>0.11700000000000001</v>
      </c>
      <c r="E116" s="2116">
        <v>8.7999999999999995E-2</v>
      </c>
      <c r="F116" s="2117">
        <v>0.13</v>
      </c>
    </row>
    <row r="117" spans="1:6" ht="14.25" thickBot="1">
      <c r="A117" s="1526" t="s">
        <v>203</v>
      </c>
      <c r="B117" s="1520" t="s">
        <v>1279</v>
      </c>
      <c r="C117" s="2116">
        <v>0.13</v>
      </c>
      <c r="D117" s="2116">
        <v>0.13</v>
      </c>
      <c r="E117" s="2116">
        <v>0.129</v>
      </c>
      <c r="F117" s="2117">
        <v>0.13</v>
      </c>
    </row>
    <row r="118" spans="1:6" ht="14.25" thickBot="1">
      <c r="A118" s="1526" t="s">
        <v>203</v>
      </c>
      <c r="B118" s="1520" t="s">
        <v>1291</v>
      </c>
      <c r="C118" s="2116">
        <v>0.123</v>
      </c>
      <c r="D118" s="2116">
        <v>0.123</v>
      </c>
      <c r="E118" s="2116">
        <v>0.11600000000000001</v>
      </c>
      <c r="F118" s="2117">
        <v>0.13</v>
      </c>
    </row>
    <row r="119" spans="1:6" ht="14.25" thickBot="1">
      <c r="A119" s="1526" t="s">
        <v>203</v>
      </c>
      <c r="B119" s="1520" t="s">
        <v>1301</v>
      </c>
      <c r="C119" s="2116">
        <v>0.127</v>
      </c>
      <c r="D119" s="2116">
        <v>0.127</v>
      </c>
      <c r="E119" s="2116">
        <v>0.124</v>
      </c>
      <c r="F119" s="2117">
        <v>0.13</v>
      </c>
    </row>
    <row r="120" spans="1:6" ht="14.25" thickBot="1">
      <c r="A120" s="1526" t="s">
        <v>203</v>
      </c>
      <c r="B120" s="1520" t="s">
        <v>1311</v>
      </c>
      <c r="C120" s="2116">
        <v>0.125</v>
      </c>
      <c r="D120" s="2116">
        <v>0.125</v>
      </c>
      <c r="E120" s="2116">
        <v>0.122</v>
      </c>
      <c r="F120" s="2117">
        <v>0.13</v>
      </c>
    </row>
    <row r="121" spans="1:6" ht="14.25" thickBot="1">
      <c r="A121" s="1526" t="s">
        <v>203</v>
      </c>
      <c r="B121" s="1520" t="s">
        <v>1321</v>
      </c>
      <c r="C121" s="2116">
        <v>0.13</v>
      </c>
      <c r="D121" s="2116">
        <v>0.13</v>
      </c>
      <c r="E121" s="2116">
        <v>0.13</v>
      </c>
      <c r="F121" s="2117">
        <v>0.13</v>
      </c>
    </row>
    <row r="122" spans="1:6" ht="14.25" thickBot="1">
      <c r="A122" s="1526" t="s">
        <v>203</v>
      </c>
      <c r="B122" s="1520" t="s">
        <v>1331</v>
      </c>
      <c r="C122" s="2116">
        <v>0.13</v>
      </c>
      <c r="D122" s="2116">
        <v>0.13</v>
      </c>
      <c r="E122" s="2116">
        <v>0.125</v>
      </c>
      <c r="F122" s="2117">
        <v>0.13</v>
      </c>
    </row>
    <row r="123" spans="1:6" ht="14.25" thickBot="1">
      <c r="A123" s="1526" t="s">
        <v>203</v>
      </c>
      <c r="B123" s="1520" t="s">
        <v>1342</v>
      </c>
      <c r="C123" s="2116">
        <v>0.129</v>
      </c>
      <c r="D123" s="2116">
        <v>0.129</v>
      </c>
      <c r="E123" s="2116">
        <v>0.123</v>
      </c>
      <c r="F123" s="2117">
        <v>0.13</v>
      </c>
    </row>
    <row r="124" spans="1:6" ht="14.25" thickBot="1">
      <c r="A124" s="1526" t="s">
        <v>203</v>
      </c>
      <c r="B124" s="1520" t="s">
        <v>1353</v>
      </c>
      <c r="C124" s="2116">
        <v>0.10199999999999999</v>
      </c>
      <c r="D124" s="2116">
        <v>0.10100000000000001</v>
      </c>
      <c r="E124" s="2116">
        <v>0.08</v>
      </c>
      <c r="F124" s="2128"/>
    </row>
    <row r="125" spans="1:6" ht="14.25" thickBot="1">
      <c r="A125" s="1526" t="s">
        <v>203</v>
      </c>
      <c r="B125" s="1520" t="s">
        <v>1363</v>
      </c>
      <c r="C125" s="2116">
        <v>0.13</v>
      </c>
      <c r="D125" s="2116">
        <v>0.13</v>
      </c>
      <c r="E125" s="2116">
        <v>0.129</v>
      </c>
      <c r="F125" s="2128"/>
    </row>
    <row r="126" spans="1:6" ht="14.25" thickBot="1">
      <c r="A126" s="1526" t="s">
        <v>203</v>
      </c>
      <c r="B126" s="1520" t="s">
        <v>1373</v>
      </c>
      <c r="C126" s="2116">
        <v>0.13</v>
      </c>
      <c r="D126" s="2116">
        <v>0.13</v>
      </c>
      <c r="E126" s="2116">
        <v>0.126</v>
      </c>
      <c r="F126" s="2128"/>
    </row>
    <row r="127" spans="1:6" ht="14.25" thickBot="1">
      <c r="A127" s="1526" t="s">
        <v>203</v>
      </c>
      <c r="B127" s="1520" t="s">
        <v>1383</v>
      </c>
      <c r="C127" s="2116">
        <v>0.125</v>
      </c>
      <c r="D127" s="2116">
        <v>0.125</v>
      </c>
      <c r="E127" s="2116">
        <v>0.121</v>
      </c>
      <c r="F127" s="2128"/>
    </row>
    <row r="128" spans="1:6" ht="14.25" thickBot="1">
      <c r="A128" s="1526" t="s">
        <v>203</v>
      </c>
      <c r="B128" s="1520" t="s">
        <v>1393</v>
      </c>
      <c r="C128" s="2116">
        <v>0.12</v>
      </c>
      <c r="D128" s="2116">
        <v>0.12</v>
      </c>
      <c r="E128" s="2116">
        <v>0.105</v>
      </c>
      <c r="F128" s="2128"/>
    </row>
    <row r="129" spans="1:6" ht="14.25" thickBot="1">
      <c r="A129" s="1526" t="s">
        <v>203</v>
      </c>
      <c r="B129" s="1520" t="s">
        <v>1402</v>
      </c>
      <c r="C129" s="2116">
        <v>0.13</v>
      </c>
      <c r="D129" s="2116">
        <v>0.13</v>
      </c>
      <c r="E129" s="2116">
        <v>0.126</v>
      </c>
      <c r="F129" s="2128"/>
    </row>
    <row r="130" spans="1:6" ht="14.25" thickBot="1">
      <c r="A130" s="1526" t="s">
        <v>203</v>
      </c>
      <c r="B130" s="1520" t="s">
        <v>1411</v>
      </c>
      <c r="C130" s="2116">
        <v>0.125</v>
      </c>
      <c r="D130" s="2116">
        <v>0.125</v>
      </c>
      <c r="E130" s="2116">
        <v>0.122</v>
      </c>
      <c r="F130" s="2128"/>
    </row>
    <row r="131" spans="1:6" ht="14.25" thickBot="1">
      <c r="A131" s="1526" t="s">
        <v>203</v>
      </c>
      <c r="B131" s="1520" t="s">
        <v>1419</v>
      </c>
      <c r="C131" s="2116">
        <v>0.127</v>
      </c>
      <c r="D131" s="2116">
        <v>0.126</v>
      </c>
      <c r="E131" s="2116">
        <v>0.123</v>
      </c>
      <c r="F131" s="2128"/>
    </row>
    <row r="132" spans="1:6" ht="14.25" thickBot="1">
      <c r="A132" s="1526" t="s">
        <v>203</v>
      </c>
      <c r="B132" s="1520" t="s">
        <v>1426</v>
      </c>
      <c r="C132" s="2116">
        <v>9.0999999999999998E-2</v>
      </c>
      <c r="D132" s="2116">
        <v>0.121</v>
      </c>
      <c r="E132" s="2116">
        <v>9.9000000000000005E-2</v>
      </c>
      <c r="F132" s="2128"/>
    </row>
    <row r="133" spans="1:6" ht="14.25" thickBot="1">
      <c r="A133" s="1526" t="s">
        <v>203</v>
      </c>
      <c r="B133" s="1520" t="s">
        <v>1433</v>
      </c>
      <c r="C133" s="2116">
        <v>0.13</v>
      </c>
      <c r="D133" s="2116">
        <v>0.13</v>
      </c>
      <c r="E133" s="2116">
        <v>0.129</v>
      </c>
      <c r="F133" s="2128"/>
    </row>
    <row r="134" spans="1:6" ht="14.25" thickBot="1">
      <c r="A134" s="1526" t="s">
        <v>203</v>
      </c>
      <c r="B134" s="1520" t="s">
        <v>2169</v>
      </c>
      <c r="C134" s="2116">
        <v>6.8000000000000005E-2</v>
      </c>
      <c r="D134" s="2116">
        <v>6.5000000000000002E-2</v>
      </c>
      <c r="E134" s="2116">
        <v>6.5000000000000002E-2</v>
      </c>
      <c r="F134" s="2117">
        <v>0.13</v>
      </c>
    </row>
    <row r="135" spans="1:6" ht="14.25" thickBot="1">
      <c r="A135" s="1526" t="s">
        <v>203</v>
      </c>
      <c r="B135" s="1520" t="s">
        <v>1447</v>
      </c>
      <c r="C135" s="2116">
        <v>0.123</v>
      </c>
      <c r="D135" s="2116">
        <v>0.123</v>
      </c>
      <c r="E135" s="2116">
        <v>0.11</v>
      </c>
      <c r="F135" s="2128"/>
    </row>
    <row r="136" spans="1:6" ht="14.25" thickBot="1">
      <c r="A136" s="1526" t="s">
        <v>203</v>
      </c>
      <c r="B136" s="1520" t="s">
        <v>1454</v>
      </c>
      <c r="C136" s="2116">
        <v>0.13</v>
      </c>
      <c r="D136" s="2116">
        <v>0.13</v>
      </c>
      <c r="E136" s="2116">
        <v>0.125</v>
      </c>
      <c r="F136" s="2128"/>
    </row>
    <row r="137" spans="1:6" ht="14.25" thickBot="1">
      <c r="A137" s="1526" t="s">
        <v>203</v>
      </c>
      <c r="B137" s="1520" t="s">
        <v>1461</v>
      </c>
      <c r="C137" s="2116">
        <v>0.121</v>
      </c>
      <c r="D137" s="2116">
        <v>0.122</v>
      </c>
      <c r="E137" s="2116">
        <v>0.115</v>
      </c>
      <c r="F137" s="2128"/>
    </row>
    <row r="138" spans="1:6" ht="14.25" thickBot="1">
      <c r="A138" s="1526" t="s">
        <v>203</v>
      </c>
      <c r="B138" s="1520" t="s">
        <v>2170</v>
      </c>
      <c r="C138" s="2116">
        <v>0.105</v>
      </c>
      <c r="D138" s="2116">
        <v>0.125</v>
      </c>
      <c r="E138" s="2116">
        <v>0.112</v>
      </c>
      <c r="F138" s="2128"/>
    </row>
    <row r="139" spans="1:6" ht="14.25" thickBot="1">
      <c r="A139" s="1526" t="s">
        <v>203</v>
      </c>
      <c r="B139" s="1520" t="s">
        <v>2171</v>
      </c>
      <c r="C139" s="2116">
        <v>0.127</v>
      </c>
      <c r="D139" s="2116">
        <v>0.127</v>
      </c>
      <c r="E139" s="2116">
        <v>0.122</v>
      </c>
      <c r="F139" s="2117">
        <v>0.13</v>
      </c>
    </row>
    <row r="140" spans="1:6" ht="14.25" thickBot="1">
      <c r="A140" s="1526" t="s">
        <v>203</v>
      </c>
      <c r="B140" s="1520" t="s">
        <v>2172</v>
      </c>
      <c r="C140" s="2116">
        <v>0.125</v>
      </c>
      <c r="D140" s="2116">
        <v>0.125</v>
      </c>
      <c r="E140" s="2116">
        <v>0.11899999999999999</v>
      </c>
      <c r="F140" s="2117">
        <v>0.13</v>
      </c>
    </row>
    <row r="141" spans="1:6" ht="14.25" thickBot="1">
      <c r="A141" s="1526" t="s">
        <v>203</v>
      </c>
      <c r="B141" s="1520" t="s">
        <v>1480</v>
      </c>
      <c r="C141" s="2116">
        <v>0.125</v>
      </c>
      <c r="D141" s="2116">
        <v>0.125</v>
      </c>
      <c r="E141" s="2116">
        <v>0.11700000000000001</v>
      </c>
      <c r="F141" s="2128"/>
    </row>
    <row r="142" spans="1:6" ht="14.25" thickBot="1">
      <c r="A142" s="1526" t="s">
        <v>203</v>
      </c>
      <c r="B142" s="1520" t="s">
        <v>1485</v>
      </c>
      <c r="C142" s="2116">
        <v>0.125</v>
      </c>
      <c r="D142" s="2116">
        <v>0.125</v>
      </c>
      <c r="E142" s="2116">
        <v>0.115</v>
      </c>
      <c r="F142" s="2128"/>
    </row>
    <row r="143" spans="1:6" ht="14.25" thickBot="1">
      <c r="A143" s="1526" t="s">
        <v>203</v>
      </c>
      <c r="B143" s="1520" t="s">
        <v>1490</v>
      </c>
      <c r="C143" s="2116">
        <v>0.121</v>
      </c>
      <c r="D143" s="2116">
        <v>0.121</v>
      </c>
      <c r="E143" s="2116">
        <v>0.108</v>
      </c>
      <c r="F143" s="2128"/>
    </row>
    <row r="144" spans="1:6" ht="14.25" thickBot="1">
      <c r="A144" s="1526" t="s">
        <v>203</v>
      </c>
      <c r="B144" s="2120" t="s">
        <v>2173</v>
      </c>
      <c r="C144" s="2121">
        <v>0.126</v>
      </c>
      <c r="D144" s="2121">
        <v>0.126</v>
      </c>
      <c r="E144" s="2121">
        <v>0.121</v>
      </c>
      <c r="F144" s="2128"/>
    </row>
    <row r="145" spans="1:6" ht="14.25" thickBot="1">
      <c r="A145" s="1536" t="s">
        <v>203</v>
      </c>
      <c r="B145" s="2122" t="s">
        <v>2174</v>
      </c>
      <c r="C145" s="2130"/>
      <c r="D145" s="2130"/>
      <c r="E145" s="2130"/>
      <c r="F145" s="2123">
        <v>0.05</v>
      </c>
    </row>
    <row r="146" spans="1:6" ht="24.75" thickBot="1">
      <c r="A146" s="2124" t="s">
        <v>203</v>
      </c>
      <c r="B146" s="1530" t="s">
        <v>2175</v>
      </c>
      <c r="C146" s="2129"/>
      <c r="D146" s="2129"/>
      <c r="E146" s="2129"/>
      <c r="F146" s="2125">
        <v>0.05</v>
      </c>
    </row>
    <row r="147" spans="1:6" ht="24.75" thickBot="1">
      <c r="A147" s="1526" t="s">
        <v>203</v>
      </c>
      <c r="B147" s="1520" t="s">
        <v>2176</v>
      </c>
      <c r="C147" s="2129"/>
      <c r="D147" s="2129"/>
      <c r="E147" s="2129"/>
      <c r="F147" s="2117">
        <v>0.05</v>
      </c>
    </row>
    <row r="148" spans="1:6" ht="24.75" thickBot="1">
      <c r="A148" s="1526" t="s">
        <v>203</v>
      </c>
      <c r="B148" s="1520" t="s">
        <v>2177</v>
      </c>
      <c r="C148" s="2129"/>
      <c r="D148" s="2129"/>
      <c r="E148" s="2129"/>
      <c r="F148" s="2117">
        <v>0.05</v>
      </c>
    </row>
    <row r="149" spans="1:6" ht="24.75" thickBot="1">
      <c r="A149" s="1526" t="s">
        <v>203</v>
      </c>
      <c r="B149" s="1520" t="s">
        <v>2178</v>
      </c>
      <c r="C149" s="2129"/>
      <c r="D149" s="2129"/>
      <c r="E149" s="2129"/>
      <c r="F149" s="2117">
        <v>0.05</v>
      </c>
    </row>
    <row r="150" spans="1:6" ht="24.75" thickBot="1">
      <c r="A150" s="1526" t="s">
        <v>203</v>
      </c>
      <c r="B150" s="1520" t="s">
        <v>2179</v>
      </c>
      <c r="C150" s="2129"/>
      <c r="D150" s="2129"/>
      <c r="E150" s="2129"/>
      <c r="F150" s="2117">
        <v>0.05</v>
      </c>
    </row>
    <row r="151" spans="1:6" ht="24.75" thickBot="1">
      <c r="A151" s="1526" t="s">
        <v>203</v>
      </c>
      <c r="B151" s="1520" t="s">
        <v>2180</v>
      </c>
      <c r="C151" s="2129"/>
      <c r="D151" s="2129"/>
      <c r="E151" s="2129"/>
      <c r="F151" s="2117">
        <v>0.05</v>
      </c>
    </row>
    <row r="152" spans="1:6" ht="24.75" thickBot="1">
      <c r="A152" s="1526" t="s">
        <v>203</v>
      </c>
      <c r="B152" s="1520" t="s">
        <v>1523</v>
      </c>
      <c r="C152" s="2129"/>
      <c r="D152" s="2129"/>
      <c r="E152" s="2129"/>
      <c r="F152" s="2117">
        <v>0.05</v>
      </c>
    </row>
    <row r="153" spans="1:6" ht="14.25" thickBot="1">
      <c r="A153" s="1526" t="s">
        <v>203</v>
      </c>
      <c r="B153" s="1520" t="s">
        <v>2181</v>
      </c>
      <c r="C153" s="2129"/>
      <c r="D153" s="2129"/>
      <c r="E153" s="2129"/>
      <c r="F153" s="2117">
        <v>0.05</v>
      </c>
    </row>
    <row r="154" spans="1:6" ht="14.25" thickBot="1">
      <c r="A154" s="1526" t="s">
        <v>203</v>
      </c>
      <c r="B154" s="1520" t="s">
        <v>2182</v>
      </c>
      <c r="C154" s="2129"/>
      <c r="D154" s="2129"/>
      <c r="E154" s="2129"/>
      <c r="F154" s="2117">
        <v>0.05</v>
      </c>
    </row>
    <row r="155" spans="1:6" ht="24.75" thickBot="1">
      <c r="A155" s="1526" t="s">
        <v>203</v>
      </c>
      <c r="B155" s="1520" t="s">
        <v>2183</v>
      </c>
      <c r="C155" s="2129"/>
      <c r="D155" s="2129"/>
      <c r="E155" s="2129"/>
      <c r="F155" s="2117">
        <v>0.05</v>
      </c>
    </row>
    <row r="156" spans="1:6" ht="24.75" thickBot="1">
      <c r="A156" s="1526" t="s">
        <v>203</v>
      </c>
      <c r="B156" s="1520" t="s">
        <v>2184</v>
      </c>
      <c r="C156" s="2129"/>
      <c r="D156" s="2129"/>
      <c r="E156" s="2129"/>
      <c r="F156" s="2117">
        <v>0.05</v>
      </c>
    </row>
    <row r="157" spans="1:6" ht="14.25" thickBot="1">
      <c r="A157" s="1536" t="s">
        <v>203</v>
      </c>
      <c r="B157" s="1532" t="s">
        <v>2185</v>
      </c>
      <c r="C157" s="2126"/>
      <c r="D157" s="2126"/>
      <c r="E157" s="2126"/>
      <c r="F157" s="2119">
        <v>0.05</v>
      </c>
    </row>
    <row r="158" spans="1:6" ht="14.25" thickBot="1">
      <c r="A158" s="1526" t="s">
        <v>1542</v>
      </c>
      <c r="B158" s="1527" t="s">
        <v>2186</v>
      </c>
      <c r="C158" s="2114">
        <v>0.13</v>
      </c>
      <c r="D158" s="2114">
        <v>0.13</v>
      </c>
      <c r="E158" s="2114">
        <v>0.13</v>
      </c>
      <c r="F158" s="2115">
        <v>0.13</v>
      </c>
    </row>
    <row r="159" spans="1:6" ht="14.25" thickBot="1">
      <c r="A159" s="1526" t="s">
        <v>1542</v>
      </c>
      <c r="B159" s="1520" t="s">
        <v>1209</v>
      </c>
      <c r="C159" s="2116">
        <v>0.13</v>
      </c>
      <c r="D159" s="2116">
        <v>0.13</v>
      </c>
      <c r="E159" s="2116">
        <v>0.13</v>
      </c>
      <c r="F159" s="2117">
        <v>0.13</v>
      </c>
    </row>
    <row r="160" spans="1:6" ht="14.25" thickBot="1">
      <c r="A160" s="1526" t="s">
        <v>1542</v>
      </c>
      <c r="B160" s="1520" t="s">
        <v>1222</v>
      </c>
      <c r="C160" s="2116">
        <v>0.13</v>
      </c>
      <c r="D160" s="2116">
        <v>0.13</v>
      </c>
      <c r="E160" s="2116">
        <v>0.129</v>
      </c>
      <c r="F160" s="2117">
        <v>0.13</v>
      </c>
    </row>
    <row r="161" spans="1:6" ht="14.25" thickBot="1">
      <c r="A161" s="1526" t="s">
        <v>1542</v>
      </c>
      <c r="B161" s="1520" t="s">
        <v>1235</v>
      </c>
      <c r="C161" s="2116">
        <v>0.128</v>
      </c>
      <c r="D161" s="2116">
        <v>0.128</v>
      </c>
      <c r="E161" s="2116">
        <v>0.125</v>
      </c>
      <c r="F161" s="2117">
        <v>0.13</v>
      </c>
    </row>
    <row r="162" spans="1:6" ht="14.25" thickBot="1">
      <c r="A162" s="1526" t="s">
        <v>1542</v>
      </c>
      <c r="B162" s="1520" t="s">
        <v>1247</v>
      </c>
      <c r="C162" s="2116">
        <v>0.122</v>
      </c>
      <c r="D162" s="2116">
        <v>0.122</v>
      </c>
      <c r="E162" s="2116">
        <v>0.126</v>
      </c>
      <c r="F162" s="2117">
        <v>0.122</v>
      </c>
    </row>
    <row r="163" spans="1:6" ht="14.25" thickBot="1">
      <c r="A163" s="1526" t="s">
        <v>1542</v>
      </c>
      <c r="B163" s="1520" t="s">
        <v>1258</v>
      </c>
      <c r="C163" s="2116">
        <v>0.13</v>
      </c>
      <c r="D163" s="2116">
        <v>0.13</v>
      </c>
      <c r="E163" s="2116">
        <v>0.125</v>
      </c>
      <c r="F163" s="2117">
        <v>0.13</v>
      </c>
    </row>
    <row r="164" spans="1:6" ht="14.25" thickBot="1">
      <c r="A164" s="1526" t="s">
        <v>1542</v>
      </c>
      <c r="B164" s="1520" t="s">
        <v>1269</v>
      </c>
      <c r="C164" s="2116">
        <v>0.13</v>
      </c>
      <c r="D164" s="2116">
        <v>0.13</v>
      </c>
      <c r="E164" s="2116">
        <v>0.13</v>
      </c>
      <c r="F164" s="2117">
        <v>0.13</v>
      </c>
    </row>
    <row r="165" spans="1:6" ht="14.25" thickBot="1">
      <c r="A165" s="1526" t="s">
        <v>1542</v>
      </c>
      <c r="B165" s="1520" t="s">
        <v>1280</v>
      </c>
      <c r="C165" s="2116">
        <v>0.13</v>
      </c>
      <c r="D165" s="2116">
        <v>0.13</v>
      </c>
      <c r="E165" s="2116">
        <v>0.124</v>
      </c>
      <c r="F165" s="2117">
        <v>0.13</v>
      </c>
    </row>
    <row r="166" spans="1:6" ht="14.25" thickBot="1">
      <c r="A166" s="1526" t="s">
        <v>1542</v>
      </c>
      <c r="B166" s="1520" t="s">
        <v>1292</v>
      </c>
      <c r="C166" s="2116">
        <v>0.13</v>
      </c>
      <c r="D166" s="2116">
        <v>0.13</v>
      </c>
      <c r="E166" s="2116">
        <v>0.13</v>
      </c>
      <c r="F166" s="2117">
        <v>0.13</v>
      </c>
    </row>
    <row r="167" spans="1:6" ht="14.25" thickBot="1">
      <c r="A167" s="1526" t="s">
        <v>1542</v>
      </c>
      <c r="B167" s="1520" t="s">
        <v>1302</v>
      </c>
      <c r="C167" s="2116">
        <v>0.125</v>
      </c>
      <c r="D167" s="2116">
        <v>0.125</v>
      </c>
      <c r="E167" s="2116">
        <v>0.121</v>
      </c>
      <c r="F167" s="2128"/>
    </row>
    <row r="168" spans="1:6" ht="14.25" thickBot="1">
      <c r="A168" s="1526" t="s">
        <v>1542</v>
      </c>
      <c r="B168" s="1520" t="s">
        <v>1312</v>
      </c>
      <c r="C168" s="2116">
        <v>0.13</v>
      </c>
      <c r="D168" s="2116">
        <v>0.13</v>
      </c>
      <c r="E168" s="2116">
        <v>0.126</v>
      </c>
      <c r="F168" s="2128"/>
    </row>
    <row r="169" spans="1:6" ht="14.25" thickBot="1">
      <c r="A169" s="1526" t="s">
        <v>1542</v>
      </c>
      <c r="B169" s="1520" t="s">
        <v>1322</v>
      </c>
      <c r="C169" s="2116">
        <v>0.128</v>
      </c>
      <c r="D169" s="2116">
        <v>0.129</v>
      </c>
      <c r="E169" s="2116">
        <v>0.13</v>
      </c>
      <c r="F169" s="2128"/>
    </row>
    <row r="170" spans="1:6" ht="14.25" thickBot="1">
      <c r="A170" s="1526" t="s">
        <v>1542</v>
      </c>
      <c r="B170" s="1520" t="s">
        <v>1332</v>
      </c>
      <c r="C170" s="2116">
        <v>0.14099999999999999</v>
      </c>
      <c r="D170" s="2116">
        <v>0.13</v>
      </c>
      <c r="E170" s="2116">
        <v>0.125</v>
      </c>
      <c r="F170" s="2128"/>
    </row>
    <row r="171" spans="1:6" ht="14.25" thickBot="1">
      <c r="A171" s="1526" t="s">
        <v>1542</v>
      </c>
      <c r="B171" s="1520" t="s">
        <v>2187</v>
      </c>
      <c r="C171" s="2116">
        <v>0.127</v>
      </c>
      <c r="D171" s="2116">
        <v>0.126</v>
      </c>
      <c r="E171" s="2116">
        <v>0.126</v>
      </c>
      <c r="F171" s="2117">
        <v>0.11799999999999999</v>
      </c>
    </row>
    <row r="172" spans="1:6" ht="14.25" thickBot="1">
      <c r="A172" s="1526" t="s">
        <v>1542</v>
      </c>
      <c r="B172" s="1520" t="s">
        <v>2188</v>
      </c>
      <c r="C172" s="2116">
        <v>0.13</v>
      </c>
      <c r="D172" s="2116">
        <v>0.13</v>
      </c>
      <c r="E172" s="2116">
        <v>0.13</v>
      </c>
      <c r="F172" s="2128"/>
    </row>
    <row r="173" spans="1:6" ht="14.25" thickBot="1">
      <c r="A173" s="1526" t="s">
        <v>1542</v>
      </c>
      <c r="B173" s="1520" t="s">
        <v>1364</v>
      </c>
      <c r="C173" s="2116">
        <v>0.13</v>
      </c>
      <c r="D173" s="2116">
        <v>0.13</v>
      </c>
      <c r="E173" s="2116">
        <v>0.13</v>
      </c>
      <c r="F173" s="2128"/>
    </row>
    <row r="174" spans="1:6" ht="14.25" thickBot="1">
      <c r="A174" s="1526" t="s">
        <v>1542</v>
      </c>
      <c r="B174" s="1520" t="s">
        <v>2189</v>
      </c>
      <c r="C174" s="2116">
        <v>0.13</v>
      </c>
      <c r="D174" s="2116">
        <v>0.13</v>
      </c>
      <c r="E174" s="2116">
        <v>0.13</v>
      </c>
      <c r="F174" s="2117">
        <v>0.13</v>
      </c>
    </row>
    <row r="175" spans="1:6" ht="14.25" thickBot="1">
      <c r="A175" s="1526" t="s">
        <v>1542</v>
      </c>
      <c r="B175" s="1520" t="s">
        <v>2190</v>
      </c>
      <c r="C175" s="2116">
        <v>0.13</v>
      </c>
      <c r="D175" s="2116">
        <v>0.13</v>
      </c>
      <c r="E175" s="2116">
        <v>0.13</v>
      </c>
      <c r="F175" s="2117">
        <v>0.13</v>
      </c>
    </row>
    <row r="176" spans="1:6" ht="14.25" thickBot="1">
      <c r="A176" s="1526" t="s">
        <v>1542</v>
      </c>
      <c r="B176" s="1520" t="s">
        <v>1394</v>
      </c>
      <c r="C176" s="2116">
        <v>0.13</v>
      </c>
      <c r="D176" s="2116">
        <v>0.13</v>
      </c>
      <c r="E176" s="2116">
        <v>0.13</v>
      </c>
      <c r="F176" s="2117">
        <v>0.13</v>
      </c>
    </row>
    <row r="177" spans="1:6" ht="14.25" thickBot="1">
      <c r="A177" s="1526" t="s">
        <v>1542</v>
      </c>
      <c r="B177" s="1520" t="s">
        <v>2191</v>
      </c>
      <c r="C177" s="2116">
        <v>0.13</v>
      </c>
      <c r="D177" s="2116">
        <v>0.13</v>
      </c>
      <c r="E177" s="2116">
        <v>0.13</v>
      </c>
      <c r="F177" s="2117">
        <v>0.13</v>
      </c>
    </row>
    <row r="178" spans="1:6" ht="14.25" thickBot="1">
      <c r="A178" s="1526" t="s">
        <v>1542</v>
      </c>
      <c r="B178" s="1520" t="s">
        <v>1412</v>
      </c>
      <c r="C178" s="2116">
        <v>0.13</v>
      </c>
      <c r="D178" s="2116">
        <v>0.13</v>
      </c>
      <c r="E178" s="2116">
        <v>0.13</v>
      </c>
      <c r="F178" s="2117">
        <v>0.127</v>
      </c>
    </row>
    <row r="179" spans="1:6" ht="14.25" thickBot="1">
      <c r="A179" s="1526" t="s">
        <v>1542</v>
      </c>
      <c r="B179" s="1520" t="s">
        <v>1420</v>
      </c>
      <c r="C179" s="2116">
        <v>0.13</v>
      </c>
      <c r="D179" s="2116">
        <v>0.13</v>
      </c>
      <c r="E179" s="2116">
        <v>0.13</v>
      </c>
      <c r="F179" s="2128"/>
    </row>
    <row r="180" spans="1:6" ht="14.25" thickBot="1">
      <c r="A180" s="1526" t="s">
        <v>1542</v>
      </c>
      <c r="B180" s="1520" t="s">
        <v>2192</v>
      </c>
      <c r="C180" s="2116">
        <v>0.13</v>
      </c>
      <c r="D180" s="2116">
        <v>0.13</v>
      </c>
      <c r="E180" s="2116">
        <v>0.125</v>
      </c>
      <c r="F180" s="2117">
        <v>0.13</v>
      </c>
    </row>
    <row r="181" spans="1:6" ht="14.25" thickBot="1">
      <c r="A181" s="1526" t="s">
        <v>1542</v>
      </c>
      <c r="B181" s="1520" t="s">
        <v>1434</v>
      </c>
      <c r="C181" s="2116">
        <v>0.122</v>
      </c>
      <c r="D181" s="2116">
        <v>0.123</v>
      </c>
      <c r="E181" s="2116">
        <v>0.126</v>
      </c>
      <c r="F181" s="2117">
        <v>0.121</v>
      </c>
    </row>
    <row r="182" spans="1:6" ht="14.25" thickBot="1">
      <c r="A182" s="1526" t="s">
        <v>1542</v>
      </c>
      <c r="B182" s="1520" t="s">
        <v>1441</v>
      </c>
      <c r="C182" s="2116">
        <v>0.125</v>
      </c>
      <c r="D182" s="2116">
        <v>0.125</v>
      </c>
      <c r="E182" s="2116">
        <v>0.11700000000000001</v>
      </c>
      <c r="F182" s="2117">
        <v>0.13</v>
      </c>
    </row>
    <row r="183" spans="1:6" ht="14.25" thickBot="1">
      <c r="A183" s="1526" t="s">
        <v>1542</v>
      </c>
      <c r="B183" s="1520" t="s">
        <v>1448</v>
      </c>
      <c r="C183" s="2116">
        <v>0.127</v>
      </c>
      <c r="D183" s="2116">
        <v>0.127</v>
      </c>
      <c r="E183" s="2116">
        <v>0.128</v>
      </c>
      <c r="F183" s="2128"/>
    </row>
    <row r="184" spans="1:6" ht="14.25" thickBot="1">
      <c r="A184" s="1526" t="s">
        <v>1542</v>
      </c>
      <c r="B184" s="1520" t="s">
        <v>1455</v>
      </c>
      <c r="C184" s="2116">
        <v>0.125</v>
      </c>
      <c r="D184" s="2116">
        <v>0.125</v>
      </c>
      <c r="E184" s="2116">
        <v>0.127</v>
      </c>
      <c r="F184" s="2128"/>
    </row>
    <row r="185" spans="1:6" ht="14.25" thickBot="1">
      <c r="A185" s="1526" t="s">
        <v>1542</v>
      </c>
      <c r="B185" s="1520" t="s">
        <v>2193</v>
      </c>
      <c r="C185" s="2116">
        <v>0.127</v>
      </c>
      <c r="D185" s="2116">
        <v>0.127</v>
      </c>
      <c r="E185" s="2116">
        <v>0.128</v>
      </c>
      <c r="F185" s="2117">
        <v>0.13</v>
      </c>
    </row>
    <row r="186" spans="1:6" ht="24.75" thickBot="1">
      <c r="A186" s="1526" t="s">
        <v>1542</v>
      </c>
      <c r="B186" s="1520" t="s">
        <v>2194</v>
      </c>
      <c r="C186" s="2129"/>
      <c r="D186" s="2129"/>
      <c r="E186" s="2129"/>
      <c r="F186" s="2117">
        <v>0.05</v>
      </c>
    </row>
    <row r="187" spans="1:6" ht="14.25" thickBot="1">
      <c r="A187" s="1526" t="s">
        <v>1542</v>
      </c>
      <c r="B187" s="1520" t="s">
        <v>2195</v>
      </c>
      <c r="C187" s="2129"/>
      <c r="D187" s="2129"/>
      <c r="E187" s="2129"/>
      <c r="F187" s="2117">
        <v>0.05</v>
      </c>
    </row>
    <row r="188" spans="1:6" ht="14.25" thickBot="1">
      <c r="A188" s="1526" t="s">
        <v>1542</v>
      </c>
      <c r="B188" s="1520" t="s">
        <v>2196</v>
      </c>
      <c r="C188" s="2129"/>
      <c r="D188" s="2129"/>
      <c r="E188" s="2129"/>
      <c r="F188" s="2117">
        <v>0.05</v>
      </c>
    </row>
    <row r="189" spans="1:6" ht="24.75" thickBot="1">
      <c r="A189" s="1526" t="s">
        <v>1542</v>
      </c>
      <c r="B189" s="1520" t="s">
        <v>2197</v>
      </c>
      <c r="C189" s="2129"/>
      <c r="D189" s="2129"/>
      <c r="E189" s="2129"/>
      <c r="F189" s="2117">
        <v>0.05</v>
      </c>
    </row>
    <row r="190" spans="1:6" ht="24.75" thickBot="1">
      <c r="A190" s="1526" t="s">
        <v>1542</v>
      </c>
      <c r="B190" s="1520" t="s">
        <v>2198</v>
      </c>
      <c r="C190" s="2129"/>
      <c r="D190" s="2129"/>
      <c r="E190" s="2129"/>
      <c r="F190" s="2117">
        <v>0.05</v>
      </c>
    </row>
    <row r="191" spans="1:6" ht="24.75" thickBot="1">
      <c r="A191" s="1526" t="s">
        <v>1542</v>
      </c>
      <c r="B191" s="1520" t="s">
        <v>2199</v>
      </c>
      <c r="C191" s="2129"/>
      <c r="D191" s="2129"/>
      <c r="E191" s="2129"/>
      <c r="F191" s="2117">
        <v>0.05</v>
      </c>
    </row>
    <row r="192" spans="1:6" ht="24.75" thickBot="1">
      <c r="A192" s="1526" t="s">
        <v>1542</v>
      </c>
      <c r="B192" s="1520" t="s">
        <v>2200</v>
      </c>
      <c r="C192" s="2129"/>
      <c r="D192" s="2129"/>
      <c r="E192" s="2129"/>
      <c r="F192" s="2117">
        <v>0.05</v>
      </c>
    </row>
    <row r="193" spans="1:6" ht="24.75" thickBot="1">
      <c r="A193" s="1526" t="s">
        <v>1542</v>
      </c>
      <c r="B193" s="1520" t="s">
        <v>2201</v>
      </c>
      <c r="C193" s="2129"/>
      <c r="D193" s="2129"/>
      <c r="E193" s="2129"/>
      <c r="F193" s="2117">
        <v>0.05</v>
      </c>
    </row>
    <row r="194" spans="1:6" ht="24.75" thickBot="1">
      <c r="A194" s="1526" t="s">
        <v>1542</v>
      </c>
      <c r="B194" s="1520" t="s">
        <v>2202</v>
      </c>
      <c r="C194" s="2129"/>
      <c r="D194" s="2129"/>
      <c r="E194" s="2129"/>
      <c r="F194" s="2117">
        <v>0.05</v>
      </c>
    </row>
    <row r="195" spans="1:6" ht="14.25" thickBot="1">
      <c r="A195" s="1526" t="s">
        <v>1542</v>
      </c>
      <c r="B195" s="1520" t="s">
        <v>2203</v>
      </c>
      <c r="C195" s="2129"/>
      <c r="D195" s="2129"/>
      <c r="E195" s="2129"/>
      <c r="F195" s="2117">
        <v>0.05</v>
      </c>
    </row>
    <row r="196" spans="1:6" ht="24.75" thickBot="1">
      <c r="A196" s="1526" t="s">
        <v>1542</v>
      </c>
      <c r="B196" s="1520" t="s">
        <v>2204</v>
      </c>
      <c r="C196" s="2129"/>
      <c r="D196" s="2129"/>
      <c r="E196" s="2129"/>
      <c r="F196" s="2117">
        <v>0.05</v>
      </c>
    </row>
    <row r="197" spans="1:6" ht="24.75" thickBot="1">
      <c r="A197" s="1526" t="s">
        <v>1542</v>
      </c>
      <c r="B197" s="1520" t="s">
        <v>2205</v>
      </c>
      <c r="C197" s="2129"/>
      <c r="D197" s="2129"/>
      <c r="E197" s="2129"/>
      <c r="F197" s="2117">
        <v>0.05</v>
      </c>
    </row>
    <row r="198" spans="1:6" ht="24.75" thickBot="1">
      <c r="A198" s="1526" t="s">
        <v>1542</v>
      </c>
      <c r="B198" s="1520" t="s">
        <v>2206</v>
      </c>
      <c r="C198" s="2129"/>
      <c r="D198" s="2129"/>
      <c r="E198" s="2129"/>
      <c r="F198" s="2117">
        <v>0.05</v>
      </c>
    </row>
    <row r="199" spans="1:6" ht="24.75" thickBot="1">
      <c r="A199" s="1526" t="s">
        <v>1542</v>
      </c>
      <c r="B199" s="1520" t="s">
        <v>2207</v>
      </c>
      <c r="C199" s="2129"/>
      <c r="D199" s="2129"/>
      <c r="E199" s="2129"/>
      <c r="F199" s="2117">
        <v>0.05</v>
      </c>
    </row>
    <row r="200" spans="1:6" ht="24.75" thickBot="1">
      <c r="A200" s="1526" t="s">
        <v>1542</v>
      </c>
      <c r="B200" s="1520" t="s">
        <v>2208</v>
      </c>
      <c r="C200" s="2129"/>
      <c r="D200" s="2129"/>
      <c r="E200" s="2129"/>
      <c r="F200" s="2117">
        <v>0.05</v>
      </c>
    </row>
    <row r="201" spans="1:6" ht="24.75" thickBot="1">
      <c r="A201" s="1526" t="s">
        <v>1542</v>
      </c>
      <c r="B201" s="1520" t="s">
        <v>2209</v>
      </c>
      <c r="C201" s="2129"/>
      <c r="D201" s="2129"/>
      <c r="E201" s="2129"/>
      <c r="F201" s="2117">
        <v>0.05</v>
      </c>
    </row>
    <row r="202" spans="1:6" ht="24.75" thickBot="1">
      <c r="A202" s="1526" t="s">
        <v>1542</v>
      </c>
      <c r="B202" s="1520" t="s">
        <v>2210</v>
      </c>
      <c r="C202" s="2129"/>
      <c r="D202" s="2129"/>
      <c r="E202" s="2129"/>
      <c r="F202" s="2117">
        <v>0.05</v>
      </c>
    </row>
    <row r="203" spans="1:6" ht="24.75" thickBot="1">
      <c r="A203" s="1526" t="s">
        <v>1542</v>
      </c>
      <c r="B203" s="1520" t="s">
        <v>2211</v>
      </c>
      <c r="C203" s="2129"/>
      <c r="D203" s="2129"/>
      <c r="E203" s="2129"/>
      <c r="F203" s="2117">
        <v>0.05</v>
      </c>
    </row>
    <row r="204" spans="1:6" ht="14.25" thickBot="1">
      <c r="A204" s="1526" t="s">
        <v>1542</v>
      </c>
      <c r="B204" s="1520" t="s">
        <v>2212</v>
      </c>
      <c r="C204" s="2129"/>
      <c r="D204" s="2129"/>
      <c r="E204" s="2129"/>
      <c r="F204" s="2117">
        <v>0.05</v>
      </c>
    </row>
    <row r="205" spans="1:6" ht="14.25" thickBot="1">
      <c r="A205" s="1536" t="s">
        <v>1542</v>
      </c>
      <c r="B205" s="1532" t="s">
        <v>2213</v>
      </c>
      <c r="C205" s="2126"/>
      <c r="D205" s="2126"/>
      <c r="E205" s="2126"/>
      <c r="F205" s="2119">
        <v>0.05</v>
      </c>
    </row>
    <row r="206" spans="1:6" ht="14.25" thickBot="1">
      <c r="A206" s="1526" t="s">
        <v>1544</v>
      </c>
      <c r="B206" s="1527" t="s">
        <v>2214</v>
      </c>
      <c r="C206" s="2114">
        <v>0.15</v>
      </c>
      <c r="D206" s="2114">
        <v>0.15</v>
      </c>
      <c r="E206" s="2114">
        <v>0.15</v>
      </c>
      <c r="F206" s="2115">
        <v>0.15</v>
      </c>
    </row>
    <row r="207" spans="1:6" ht="14.25" thickBot="1">
      <c r="A207" s="1526" t="s">
        <v>1544</v>
      </c>
      <c r="B207" s="1520" t="s">
        <v>1210</v>
      </c>
      <c r="C207" s="2116">
        <v>0.15</v>
      </c>
      <c r="D207" s="2116">
        <v>0.15</v>
      </c>
      <c r="E207" s="2116">
        <v>0.15</v>
      </c>
      <c r="F207" s="2117">
        <v>0.14399999999999999</v>
      </c>
    </row>
    <row r="208" spans="1:6" ht="14.25" thickBot="1">
      <c r="A208" s="1526" t="s">
        <v>1544</v>
      </c>
      <c r="B208" s="1520" t="s">
        <v>1223</v>
      </c>
      <c r="C208" s="2116">
        <v>0.15</v>
      </c>
      <c r="D208" s="2116">
        <v>0.15</v>
      </c>
      <c r="E208" s="2116">
        <v>0.15</v>
      </c>
      <c r="F208" s="2117">
        <v>0.15</v>
      </c>
    </row>
    <row r="209" spans="1:6" ht="14.25" thickBot="1">
      <c r="A209" s="1526" t="s">
        <v>1544</v>
      </c>
      <c r="B209" s="1520" t="s">
        <v>1236</v>
      </c>
      <c r="C209" s="2116">
        <v>0.13700000000000001</v>
      </c>
      <c r="D209" s="2116">
        <v>0.13700000000000001</v>
      </c>
      <c r="E209" s="2116">
        <v>0.14000000000000001</v>
      </c>
      <c r="F209" s="2117">
        <v>0.11700000000000001</v>
      </c>
    </row>
    <row r="210" spans="1:6" ht="14.25" thickBot="1">
      <c r="A210" s="1526" t="s">
        <v>1544</v>
      </c>
      <c r="B210" s="1520" t="s">
        <v>2215</v>
      </c>
      <c r="C210" s="2116">
        <v>0.15</v>
      </c>
      <c r="D210" s="2116">
        <v>0.15</v>
      </c>
      <c r="E210" s="2116">
        <v>0.15</v>
      </c>
      <c r="F210" s="2117">
        <v>0.13800000000000001</v>
      </c>
    </row>
    <row r="211" spans="1:6" ht="14.25" thickBot="1">
      <c r="A211" s="1526" t="s">
        <v>1544</v>
      </c>
      <c r="B211" s="1520" t="s">
        <v>2216</v>
      </c>
      <c r="C211" s="2116">
        <v>0.13700000000000001</v>
      </c>
      <c r="D211" s="2116">
        <v>0.13500000000000001</v>
      </c>
      <c r="E211" s="2116">
        <v>0.13600000000000001</v>
      </c>
      <c r="F211" s="2117">
        <v>0.1</v>
      </c>
    </row>
    <row r="212" spans="1:6" ht="14.25" thickBot="1">
      <c r="A212" s="1526" t="s">
        <v>1544</v>
      </c>
      <c r="B212" s="1520" t="s">
        <v>2217</v>
      </c>
      <c r="C212" s="2116">
        <v>0.15</v>
      </c>
      <c r="D212" s="2116">
        <v>0.15</v>
      </c>
      <c r="E212" s="2116">
        <v>0.14799999999999999</v>
      </c>
      <c r="F212" s="2117">
        <v>0.13600000000000001</v>
      </c>
    </row>
    <row r="213" spans="1:6" ht="14.25" thickBot="1">
      <c r="A213" s="1526" t="s">
        <v>1544</v>
      </c>
      <c r="B213" s="1520" t="s">
        <v>1281</v>
      </c>
      <c r="C213" s="2116">
        <v>0.15</v>
      </c>
      <c r="D213" s="2116">
        <v>0.15</v>
      </c>
      <c r="E213" s="2116">
        <v>0.15</v>
      </c>
      <c r="F213" s="2117">
        <v>0.13800000000000001</v>
      </c>
    </row>
    <row r="214" spans="1:6" ht="14.25" thickBot="1">
      <c r="A214" s="1526" t="s">
        <v>1544</v>
      </c>
      <c r="B214" s="1520" t="s">
        <v>1293</v>
      </c>
      <c r="C214" s="2116">
        <v>9.0999999999999998E-2</v>
      </c>
      <c r="D214" s="2116">
        <v>0.09</v>
      </c>
      <c r="E214" s="2116">
        <v>9.1999999999999998E-2</v>
      </c>
      <c r="F214" s="2128"/>
    </row>
    <row r="215" spans="1:6" ht="14.25" thickBot="1">
      <c r="A215" s="1526" t="s">
        <v>1544</v>
      </c>
      <c r="B215" s="1520" t="s">
        <v>2218</v>
      </c>
      <c r="C215" s="2116">
        <v>0.15</v>
      </c>
      <c r="D215" s="2116">
        <v>0.15</v>
      </c>
      <c r="E215" s="2116">
        <v>0.15</v>
      </c>
      <c r="F215" s="2117">
        <v>0.15</v>
      </c>
    </row>
    <row r="216" spans="1:6" ht="14.25" thickBot="1">
      <c r="A216" s="1526" t="s">
        <v>1544</v>
      </c>
      <c r="B216" s="1520" t="s">
        <v>1313</v>
      </c>
      <c r="C216" s="2116">
        <v>0.14699999999999999</v>
      </c>
      <c r="D216" s="2116">
        <v>0.14699999999999999</v>
      </c>
      <c r="E216" s="2116">
        <v>0.15</v>
      </c>
      <c r="F216" s="2117">
        <v>0.14000000000000001</v>
      </c>
    </row>
    <row r="217" spans="1:6" ht="14.25" thickBot="1">
      <c r="A217" s="1526" t="s">
        <v>1544</v>
      </c>
      <c r="B217" s="1520" t="s">
        <v>1323</v>
      </c>
      <c r="C217" s="2116">
        <v>0.15</v>
      </c>
      <c r="D217" s="2116">
        <v>0.15</v>
      </c>
      <c r="E217" s="2116">
        <v>0.15</v>
      </c>
      <c r="F217" s="2117">
        <v>0.15</v>
      </c>
    </row>
    <row r="218" spans="1:6" ht="14.25" thickBot="1">
      <c r="A218" s="1526" t="s">
        <v>1544</v>
      </c>
      <c r="B218" s="1520" t="s">
        <v>2219</v>
      </c>
      <c r="C218" s="2116">
        <v>0.15</v>
      </c>
      <c r="D218" s="2116">
        <v>0.15</v>
      </c>
      <c r="E218" s="2116">
        <v>0.15</v>
      </c>
      <c r="F218" s="2117">
        <v>0.15</v>
      </c>
    </row>
    <row r="219" spans="1:6" ht="14.25" thickBot="1">
      <c r="A219" s="1526" t="s">
        <v>1544</v>
      </c>
      <c r="B219" s="1520" t="s">
        <v>1344</v>
      </c>
      <c r="C219" s="2116">
        <v>0.15</v>
      </c>
      <c r="D219" s="2116">
        <v>0.15</v>
      </c>
      <c r="E219" s="2116">
        <v>0.15</v>
      </c>
      <c r="F219" s="2117">
        <v>0.14799999999999999</v>
      </c>
    </row>
    <row r="220" spans="1:6" ht="14.25" thickBot="1">
      <c r="A220" s="1526" t="s">
        <v>1544</v>
      </c>
      <c r="B220" s="1520" t="s">
        <v>2220</v>
      </c>
      <c r="C220" s="2116">
        <v>0.15</v>
      </c>
      <c r="D220" s="2116">
        <v>0.15</v>
      </c>
      <c r="E220" s="2116">
        <v>0.15</v>
      </c>
      <c r="F220" s="2117">
        <v>0.15</v>
      </c>
    </row>
    <row r="221" spans="1:6" ht="14.25" thickBot="1">
      <c r="A221" s="1526" t="s">
        <v>1544</v>
      </c>
      <c r="B221" s="1520" t="s">
        <v>1365</v>
      </c>
      <c r="C221" s="2116"/>
      <c r="D221" s="2129"/>
      <c r="E221" s="2129"/>
      <c r="F221" s="2117">
        <v>0.14799999999999999</v>
      </c>
    </row>
    <row r="222" spans="1:6" ht="14.25" thickBot="1">
      <c r="A222" s="1526" t="s">
        <v>1544</v>
      </c>
      <c r="B222" s="1520" t="s">
        <v>1375</v>
      </c>
      <c r="C222" s="2116"/>
      <c r="D222" s="2129"/>
      <c r="E222" s="2129"/>
      <c r="F222" s="2117">
        <v>0.1</v>
      </c>
    </row>
    <row r="223" spans="1:6" ht="14.25" thickBot="1">
      <c r="A223" s="1526" t="s">
        <v>1544</v>
      </c>
      <c r="B223" s="1520" t="s">
        <v>1385</v>
      </c>
      <c r="C223" s="2116"/>
      <c r="D223" s="2129"/>
      <c r="E223" s="2129"/>
      <c r="F223" s="2117">
        <v>0.15</v>
      </c>
    </row>
    <row r="224" spans="1:6" ht="14.25" thickBot="1">
      <c r="A224" s="1526" t="s">
        <v>1544</v>
      </c>
      <c r="B224" s="1520" t="s">
        <v>1395</v>
      </c>
      <c r="C224" s="2116"/>
      <c r="D224" s="2129"/>
      <c r="E224" s="2129"/>
      <c r="F224" s="2117">
        <v>0.15</v>
      </c>
    </row>
    <row r="225" spans="1:6" ht="14.25" thickBot="1">
      <c r="A225" s="1526" t="s">
        <v>1544</v>
      </c>
      <c r="B225" s="1520" t="s">
        <v>2221</v>
      </c>
      <c r="C225" s="2116">
        <v>0.15</v>
      </c>
      <c r="D225" s="2116">
        <v>0.15</v>
      </c>
      <c r="E225" s="2116">
        <v>0.15</v>
      </c>
      <c r="F225" s="2117">
        <v>0.15</v>
      </c>
    </row>
    <row r="226" spans="1:6" ht="14.25" thickBot="1">
      <c r="A226" s="1526" t="s">
        <v>1544</v>
      </c>
      <c r="B226" s="1520" t="s">
        <v>1413</v>
      </c>
      <c r="C226" s="2116">
        <v>0.15</v>
      </c>
      <c r="D226" s="2116">
        <v>0.15</v>
      </c>
      <c r="E226" s="2116">
        <v>0.15</v>
      </c>
      <c r="F226" s="2117">
        <v>0.14799999999999999</v>
      </c>
    </row>
    <row r="227" spans="1:6" ht="14.25" thickBot="1">
      <c r="A227" s="1526" t="s">
        <v>1544</v>
      </c>
      <c r="B227" s="1520" t="s">
        <v>2222</v>
      </c>
      <c r="C227" s="2116">
        <v>0.15</v>
      </c>
      <c r="D227" s="2116">
        <v>0.15</v>
      </c>
      <c r="E227" s="2116">
        <v>0.15</v>
      </c>
      <c r="F227" s="2117">
        <v>0.15</v>
      </c>
    </row>
    <row r="228" spans="1:6" ht="14.25" thickBot="1">
      <c r="A228" s="1526" t="s">
        <v>1544</v>
      </c>
      <c r="B228" s="1520" t="s">
        <v>1428</v>
      </c>
      <c r="C228" s="2116">
        <v>0.15</v>
      </c>
      <c r="D228" s="2116">
        <v>0.15</v>
      </c>
      <c r="E228" s="2116">
        <v>0.15</v>
      </c>
      <c r="F228" s="2117">
        <v>0.15</v>
      </c>
    </row>
    <row r="229" spans="1:6" ht="14.25" thickBot="1">
      <c r="A229" s="1526" t="s">
        <v>1544</v>
      </c>
      <c r="B229" s="1520" t="s">
        <v>1435</v>
      </c>
      <c r="C229" s="2116">
        <v>0.15</v>
      </c>
      <c r="D229" s="2116">
        <v>0.15</v>
      </c>
      <c r="E229" s="2116">
        <v>0.15</v>
      </c>
      <c r="F229" s="2128"/>
    </row>
    <row r="230" spans="1:6" ht="14.25" thickBot="1">
      <c r="A230" s="1526" t="s">
        <v>1544</v>
      </c>
      <c r="B230" s="1520" t="s">
        <v>1442</v>
      </c>
      <c r="C230" s="2116">
        <v>0.14499999999999999</v>
      </c>
      <c r="D230" s="2116">
        <v>0.14499999999999999</v>
      </c>
      <c r="E230" s="2116">
        <v>0.14399999999999999</v>
      </c>
      <c r="F230" s="2128"/>
    </row>
    <row r="231" spans="1:6" ht="14.25" thickBot="1">
      <c r="A231" s="1526" t="s">
        <v>1544</v>
      </c>
      <c r="B231" s="1520" t="s">
        <v>2223</v>
      </c>
      <c r="C231" s="2116">
        <v>0.128</v>
      </c>
      <c r="D231" s="2116">
        <v>0.125</v>
      </c>
      <c r="E231" s="2116">
        <v>0.13200000000000001</v>
      </c>
      <c r="F231" s="2128"/>
    </row>
    <row r="232" spans="1:6" ht="14.25" thickBot="1">
      <c r="A232" s="1526" t="s">
        <v>1544</v>
      </c>
      <c r="B232" s="1520" t="s">
        <v>2224</v>
      </c>
      <c r="C232" s="2116">
        <v>0.14499999999999999</v>
      </c>
      <c r="D232" s="2116">
        <v>0.14399999999999999</v>
      </c>
      <c r="E232" s="2116">
        <v>0.14599999999999999</v>
      </c>
      <c r="F232" s="2117">
        <v>0.13800000000000001</v>
      </c>
    </row>
    <row r="233" spans="1:6" ht="14.25" thickBot="1">
      <c r="A233" s="1526" t="s">
        <v>1544</v>
      </c>
      <c r="B233" s="1520" t="s">
        <v>2225</v>
      </c>
      <c r="C233" s="2116">
        <v>0.14499999999999999</v>
      </c>
      <c r="D233" s="2116">
        <v>0.14299999999999999</v>
      </c>
      <c r="E233" s="2116">
        <v>0.14199999999999999</v>
      </c>
      <c r="F233" s="2128"/>
    </row>
    <row r="234" spans="1:6" ht="14.25" thickBot="1">
      <c r="A234" s="1526" t="s">
        <v>1544</v>
      </c>
      <c r="B234" s="1520" t="s">
        <v>2226</v>
      </c>
      <c r="C234" s="2116">
        <v>0.14000000000000001</v>
      </c>
      <c r="D234" s="2116">
        <v>0.14000000000000001</v>
      </c>
      <c r="E234" s="2116">
        <v>0.14399999999999999</v>
      </c>
      <c r="F234" s="2128"/>
    </row>
    <row r="235" spans="1:6" ht="14.25" thickBot="1">
      <c r="A235" s="1526" t="s">
        <v>1544</v>
      </c>
      <c r="B235" s="1520" t="s">
        <v>2227</v>
      </c>
      <c r="C235" s="2116">
        <v>0.14099999999999999</v>
      </c>
      <c r="D235" s="2116">
        <v>0.14199999999999999</v>
      </c>
      <c r="E235" s="2116">
        <v>0.14499999999999999</v>
      </c>
      <c r="F235" s="2117">
        <v>0.15</v>
      </c>
    </row>
    <row r="236" spans="1:6" ht="14.25" thickBot="1">
      <c r="A236" s="1526" t="s">
        <v>1544</v>
      </c>
      <c r="B236" s="1520" t="s">
        <v>1477</v>
      </c>
      <c r="C236" s="2129"/>
      <c r="D236" s="2129"/>
      <c r="E236" s="2129"/>
      <c r="F236" s="2117">
        <v>0.14299999999999999</v>
      </c>
    </row>
    <row r="237" spans="1:6" ht="24.75" thickBot="1">
      <c r="A237" s="1526" t="s">
        <v>1544</v>
      </c>
      <c r="B237" s="1520" t="s">
        <v>2228</v>
      </c>
      <c r="C237" s="2129"/>
      <c r="D237" s="2129"/>
      <c r="E237" s="2129"/>
      <c r="F237" s="2117">
        <v>0.05</v>
      </c>
    </row>
    <row r="238" spans="1:6" ht="24.75" thickBot="1">
      <c r="A238" s="1526" t="s">
        <v>1544</v>
      </c>
      <c r="B238" s="1520" t="s">
        <v>2229</v>
      </c>
      <c r="C238" s="2129"/>
      <c r="D238" s="2129"/>
      <c r="E238" s="2129"/>
      <c r="F238" s="2117">
        <v>0.05</v>
      </c>
    </row>
    <row r="239" spans="1:6" ht="24.75" thickBot="1">
      <c r="A239" s="1526" t="s">
        <v>1544</v>
      </c>
      <c r="B239" s="1520" t="s">
        <v>2230</v>
      </c>
      <c r="C239" s="2129"/>
      <c r="D239" s="2129"/>
      <c r="E239" s="2129"/>
      <c r="F239" s="2117">
        <v>0.05</v>
      </c>
    </row>
    <row r="240" spans="1:6" ht="24.75" thickBot="1">
      <c r="A240" s="1526" t="s">
        <v>1544</v>
      </c>
      <c r="B240" s="1520" t="s">
        <v>2231</v>
      </c>
      <c r="C240" s="2129"/>
      <c r="D240" s="2129"/>
      <c r="E240" s="2129"/>
      <c r="F240" s="2117">
        <v>0.05</v>
      </c>
    </row>
    <row r="241" spans="1:6" ht="24.75" thickBot="1">
      <c r="A241" s="1526" t="s">
        <v>1544</v>
      </c>
      <c r="B241" s="1520" t="s">
        <v>2232</v>
      </c>
      <c r="C241" s="2129"/>
      <c r="D241" s="2129"/>
      <c r="E241" s="2129"/>
      <c r="F241" s="2117">
        <v>0.05</v>
      </c>
    </row>
    <row r="242" spans="1:6" ht="24.75" thickBot="1">
      <c r="A242" s="1526" t="s">
        <v>1544</v>
      </c>
      <c r="B242" s="1520" t="s">
        <v>2233</v>
      </c>
      <c r="C242" s="2129"/>
      <c r="D242" s="2129"/>
      <c r="E242" s="2129"/>
      <c r="F242" s="2117">
        <v>0.05</v>
      </c>
    </row>
    <row r="243" spans="1:6" ht="24.75" thickBot="1">
      <c r="A243" s="1526" t="s">
        <v>1544</v>
      </c>
      <c r="B243" s="1520" t="s">
        <v>2234</v>
      </c>
      <c r="C243" s="2129"/>
      <c r="D243" s="2129"/>
      <c r="E243" s="2129"/>
      <c r="F243" s="2117">
        <v>0.05</v>
      </c>
    </row>
    <row r="244" spans="1:6" ht="24.75" thickBot="1">
      <c r="A244" s="1536" t="s">
        <v>1544</v>
      </c>
      <c r="B244" s="1532" t="s">
        <v>2235</v>
      </c>
      <c r="C244" s="2126"/>
      <c r="D244" s="2126"/>
      <c r="E244" s="2126"/>
      <c r="F244" s="2119">
        <v>0.05</v>
      </c>
    </row>
    <row r="245" spans="1:6" ht="14.25" thickBot="1">
      <c r="A245" s="1526" t="s">
        <v>1546</v>
      </c>
      <c r="B245" s="1527" t="s">
        <v>2236</v>
      </c>
      <c r="C245" s="2114">
        <v>0.15</v>
      </c>
      <c r="D245" s="2114">
        <v>0.15</v>
      </c>
      <c r="E245" s="2114">
        <v>0.15</v>
      </c>
      <c r="F245" s="2115">
        <v>0.14299999999999999</v>
      </c>
    </row>
    <row r="246" spans="1:6" ht="14.25" thickBot="1">
      <c r="A246" s="1526" t="s">
        <v>1546</v>
      </c>
      <c r="B246" s="1520" t="s">
        <v>1211</v>
      </c>
      <c r="C246" s="2116">
        <v>0.15</v>
      </c>
      <c r="D246" s="2116">
        <v>0.15</v>
      </c>
      <c r="E246" s="2116">
        <v>0.15</v>
      </c>
      <c r="F246" s="2117">
        <v>0.114</v>
      </c>
    </row>
    <row r="247" spans="1:6" ht="14.25" thickBot="1">
      <c r="A247" s="1526" t="s">
        <v>1546</v>
      </c>
      <c r="B247" s="1520" t="s">
        <v>2237</v>
      </c>
      <c r="C247" s="2116">
        <v>0.15</v>
      </c>
      <c r="D247" s="2116">
        <v>0.15</v>
      </c>
      <c r="E247" s="2116">
        <v>0.15</v>
      </c>
      <c r="F247" s="2117">
        <v>0.15</v>
      </c>
    </row>
    <row r="248" spans="1:6" ht="14.25" thickBot="1">
      <c r="A248" s="1526" t="s">
        <v>1546</v>
      </c>
      <c r="B248" s="1520" t="s">
        <v>2238</v>
      </c>
      <c r="C248" s="2116">
        <v>0.15</v>
      </c>
      <c r="D248" s="2116">
        <v>0.15</v>
      </c>
      <c r="E248" s="2116">
        <v>0.15</v>
      </c>
      <c r="F248" s="2117">
        <v>0.14000000000000001</v>
      </c>
    </row>
    <row r="249" spans="1:6" ht="14.25" thickBot="1">
      <c r="A249" s="1526" t="s">
        <v>1546</v>
      </c>
      <c r="B249" s="1520" t="s">
        <v>2239</v>
      </c>
      <c r="C249" s="2116">
        <v>0.15</v>
      </c>
      <c r="D249" s="2116">
        <v>0.14899999999999999</v>
      </c>
      <c r="E249" s="2116">
        <v>0.15</v>
      </c>
      <c r="F249" s="2117">
        <v>0.1</v>
      </c>
    </row>
    <row r="250" spans="1:6" ht="14.25" thickBot="1">
      <c r="A250" s="1526" t="s">
        <v>1546</v>
      </c>
      <c r="B250" s="1520" t="s">
        <v>2240</v>
      </c>
      <c r="C250" s="2116">
        <v>0.15</v>
      </c>
      <c r="D250" s="2116">
        <v>0.15</v>
      </c>
      <c r="E250" s="2116">
        <v>0.15</v>
      </c>
      <c r="F250" s="2117">
        <v>0.14399999999999999</v>
      </c>
    </row>
    <row r="251" spans="1:6" ht="14.25" thickBot="1">
      <c r="A251" s="1526" t="s">
        <v>1546</v>
      </c>
      <c r="B251" s="1520" t="s">
        <v>1271</v>
      </c>
      <c r="C251" s="2116">
        <v>0.15</v>
      </c>
      <c r="D251" s="2116">
        <v>0.15</v>
      </c>
      <c r="E251" s="2116">
        <v>0.15</v>
      </c>
      <c r="F251" s="2117">
        <v>0.14299999999999999</v>
      </c>
    </row>
    <row r="252" spans="1:6" ht="14.25" thickBot="1">
      <c r="A252" s="1526" t="s">
        <v>1546</v>
      </c>
      <c r="B252" s="1520" t="s">
        <v>1282</v>
      </c>
      <c r="C252" s="2116">
        <v>0.15</v>
      </c>
      <c r="D252" s="2116">
        <v>0.15</v>
      </c>
      <c r="E252" s="2116">
        <v>0.15</v>
      </c>
      <c r="F252" s="2117">
        <v>0.1</v>
      </c>
    </row>
    <row r="253" spans="1:6" ht="14.25" thickBot="1">
      <c r="A253" s="1526" t="s">
        <v>1546</v>
      </c>
      <c r="B253" s="1520" t="s">
        <v>1294</v>
      </c>
      <c r="C253" s="2116">
        <v>0.15</v>
      </c>
      <c r="D253" s="2116">
        <v>0.15</v>
      </c>
      <c r="E253" s="2116">
        <v>0.15</v>
      </c>
      <c r="F253" s="2117">
        <v>0.1</v>
      </c>
    </row>
    <row r="254" spans="1:6" ht="14.25" thickBot="1">
      <c r="A254" s="1526" t="s">
        <v>1546</v>
      </c>
      <c r="B254" s="1520" t="s">
        <v>1304</v>
      </c>
      <c r="C254" s="2129"/>
      <c r="D254" s="2129"/>
      <c r="E254" s="2129"/>
      <c r="F254" s="2117">
        <v>0.15</v>
      </c>
    </row>
    <row r="255" spans="1:6" ht="14.25" thickBot="1">
      <c r="A255" s="1526" t="s">
        <v>1546</v>
      </c>
      <c r="B255" s="1520" t="s">
        <v>1314</v>
      </c>
      <c r="C255" s="2129"/>
      <c r="D255" s="2129"/>
      <c r="E255" s="2129"/>
      <c r="F255" s="2117">
        <v>0.14299999999999999</v>
      </c>
    </row>
    <row r="256" spans="1:6" ht="14.25" thickBot="1">
      <c r="A256" s="1526" t="s">
        <v>1546</v>
      </c>
      <c r="B256" s="1520" t="s">
        <v>2241</v>
      </c>
      <c r="C256" s="2116">
        <v>0.14599999999999999</v>
      </c>
      <c r="D256" s="2116">
        <v>0.14699999999999999</v>
      </c>
      <c r="E256" s="2116">
        <v>0.15</v>
      </c>
      <c r="F256" s="2117">
        <v>0.13200000000000001</v>
      </c>
    </row>
    <row r="257" spans="1:6" ht="14.25" thickBot="1">
      <c r="A257" s="1526" t="s">
        <v>1546</v>
      </c>
      <c r="B257" s="1520" t="s">
        <v>1334</v>
      </c>
      <c r="C257" s="2116">
        <v>0.15</v>
      </c>
      <c r="D257" s="2116">
        <v>0.15</v>
      </c>
      <c r="E257" s="2116">
        <v>0.15</v>
      </c>
      <c r="F257" s="2117">
        <v>0.13900000000000001</v>
      </c>
    </row>
    <row r="258" spans="1:6" ht="14.25" thickBot="1">
      <c r="A258" s="1526" t="s">
        <v>1546</v>
      </c>
      <c r="B258" s="1520" t="s">
        <v>1345</v>
      </c>
      <c r="C258" s="2116">
        <v>0.15</v>
      </c>
      <c r="D258" s="2116">
        <v>0.15</v>
      </c>
      <c r="E258" s="2116">
        <v>0.15</v>
      </c>
      <c r="F258" s="2117">
        <v>0.13</v>
      </c>
    </row>
    <row r="259" spans="1:6" ht="14.25" thickBot="1">
      <c r="A259" s="1526" t="s">
        <v>1546</v>
      </c>
      <c r="B259" s="1520" t="s">
        <v>2242</v>
      </c>
      <c r="C259" s="2116">
        <v>0.14799999999999999</v>
      </c>
      <c r="D259" s="2116">
        <v>0.14899999999999999</v>
      </c>
      <c r="E259" s="2116">
        <v>0.15</v>
      </c>
      <c r="F259" s="2117">
        <v>0.13700000000000001</v>
      </c>
    </row>
    <row r="260" spans="1:6" ht="14.25" thickBot="1">
      <c r="A260" s="1526" t="s">
        <v>1546</v>
      </c>
      <c r="B260" s="1520" t="s">
        <v>1366</v>
      </c>
      <c r="C260" s="2116">
        <v>0.15</v>
      </c>
      <c r="D260" s="2116">
        <v>0.15</v>
      </c>
      <c r="E260" s="2116">
        <v>0.15</v>
      </c>
      <c r="F260" s="2117">
        <v>0.14199999999999999</v>
      </c>
    </row>
    <row r="261" spans="1:6" ht="14.25" thickBot="1">
      <c r="A261" s="1526" t="s">
        <v>1546</v>
      </c>
      <c r="B261" s="1520" t="s">
        <v>1376</v>
      </c>
      <c r="C261" s="2116">
        <v>0.15</v>
      </c>
      <c r="D261" s="2116">
        <v>0.15</v>
      </c>
      <c r="E261" s="2116">
        <v>0.14899999999999999</v>
      </c>
      <c r="F261" s="2117">
        <v>0.14799999999999999</v>
      </c>
    </row>
    <row r="262" spans="1:6" ht="14.25" thickBot="1">
      <c r="A262" s="1526" t="s">
        <v>1546</v>
      </c>
      <c r="B262" s="1520" t="s">
        <v>1386</v>
      </c>
      <c r="C262" s="2116">
        <v>0.15</v>
      </c>
      <c r="D262" s="2116">
        <v>0.15</v>
      </c>
      <c r="E262" s="2116">
        <v>0.15</v>
      </c>
      <c r="F262" s="2128"/>
    </row>
    <row r="263" spans="1:6" ht="14.25" thickBot="1">
      <c r="A263" s="1526" t="s">
        <v>1546</v>
      </c>
      <c r="B263" s="1520" t="s">
        <v>2243</v>
      </c>
      <c r="C263" s="2116">
        <v>0.14899999999999999</v>
      </c>
      <c r="D263" s="2116">
        <v>0.14899999999999999</v>
      </c>
      <c r="E263" s="2116">
        <v>0.15</v>
      </c>
      <c r="F263" s="2117">
        <v>0.13</v>
      </c>
    </row>
    <row r="264" spans="1:6" ht="14.25" thickBot="1">
      <c r="A264" s="1526" t="s">
        <v>1546</v>
      </c>
      <c r="B264" s="1520" t="s">
        <v>1405</v>
      </c>
      <c r="C264" s="2116">
        <v>0.14799999999999999</v>
      </c>
      <c r="D264" s="2116">
        <v>0.14699999999999999</v>
      </c>
      <c r="E264" s="2116">
        <v>0.15</v>
      </c>
      <c r="F264" s="2117">
        <v>7.8E-2</v>
      </c>
    </row>
    <row r="265" spans="1:6" ht="14.25" thickBot="1">
      <c r="A265" s="1526" t="s">
        <v>1546</v>
      </c>
      <c r="B265" s="1520" t="s">
        <v>1414</v>
      </c>
      <c r="C265" s="2116">
        <v>0.15</v>
      </c>
      <c r="D265" s="2116">
        <v>0.15</v>
      </c>
      <c r="E265" s="2116">
        <v>0.15</v>
      </c>
      <c r="F265" s="2117">
        <v>7.3999999999999996E-2</v>
      </c>
    </row>
    <row r="266" spans="1:6" ht="14.25" thickBot="1">
      <c r="A266" s="1526" t="s">
        <v>1546</v>
      </c>
      <c r="B266" s="1520" t="s">
        <v>1422</v>
      </c>
      <c r="C266" s="2116">
        <v>0.14699999999999999</v>
      </c>
      <c r="D266" s="2116">
        <v>0.14699999999999999</v>
      </c>
      <c r="E266" s="2116">
        <v>0.15</v>
      </c>
      <c r="F266" s="2117">
        <v>0.14299999999999999</v>
      </c>
    </row>
    <row r="267" spans="1:6" ht="14.25" thickBot="1">
      <c r="A267" s="1526" t="s">
        <v>1546</v>
      </c>
      <c r="B267" s="1520" t="s">
        <v>1429</v>
      </c>
      <c r="C267" s="2116">
        <v>0.14199999999999999</v>
      </c>
      <c r="D267" s="2116">
        <v>0.14299999999999999</v>
      </c>
      <c r="E267" s="2116">
        <v>0.15</v>
      </c>
      <c r="F267" s="2128"/>
    </row>
    <row r="268" spans="1:6" ht="14.25" thickBot="1">
      <c r="A268" s="1526" t="s">
        <v>1546</v>
      </c>
      <c r="B268" s="1520" t="s">
        <v>2244</v>
      </c>
      <c r="C268" s="2116">
        <v>0.15</v>
      </c>
      <c r="D268" s="2116">
        <v>0.15</v>
      </c>
      <c r="E268" s="2116">
        <v>0.15</v>
      </c>
      <c r="F268" s="2117">
        <v>0.13</v>
      </c>
    </row>
    <row r="269" spans="1:6" ht="14.25" thickBot="1">
      <c r="A269" s="1526" t="s">
        <v>1546</v>
      </c>
      <c r="B269" s="1520" t="s">
        <v>1443</v>
      </c>
      <c r="C269" s="2116">
        <v>0.15</v>
      </c>
      <c r="D269" s="2116">
        <v>0.15</v>
      </c>
      <c r="E269" s="2116">
        <v>0.15</v>
      </c>
      <c r="F269" s="2117">
        <v>0.14299999999999999</v>
      </c>
    </row>
    <row r="270" spans="1:6" ht="14.25" thickBot="1">
      <c r="A270" s="1526" t="s">
        <v>1546</v>
      </c>
      <c r="B270" s="1520" t="s">
        <v>1450</v>
      </c>
      <c r="C270" s="2116">
        <v>0.14499999999999999</v>
      </c>
      <c r="D270" s="2116">
        <v>0.14499999999999999</v>
      </c>
      <c r="E270" s="2116">
        <v>0.15</v>
      </c>
      <c r="F270" s="2117">
        <v>0.14699999999999999</v>
      </c>
    </row>
    <row r="271" spans="1:6" ht="14.25" thickBot="1">
      <c r="A271" s="1526" t="s">
        <v>1546</v>
      </c>
      <c r="B271" s="1520" t="s">
        <v>1457</v>
      </c>
      <c r="C271" s="2116">
        <v>0.15</v>
      </c>
      <c r="D271" s="2116">
        <v>0.15</v>
      </c>
      <c r="E271" s="2116">
        <v>0.15</v>
      </c>
      <c r="F271" s="2117">
        <v>0.13800000000000001</v>
      </c>
    </row>
    <row r="272" spans="1:6" ht="14.25" thickBot="1">
      <c r="A272" s="1526" t="s">
        <v>1546</v>
      </c>
      <c r="B272" s="1520" t="s">
        <v>1464</v>
      </c>
      <c r="C272" s="2129"/>
      <c r="D272" s="2129"/>
      <c r="E272" s="2129"/>
      <c r="F272" s="2117">
        <v>0.14000000000000001</v>
      </c>
    </row>
    <row r="273" spans="1:6" ht="14.25" thickBot="1">
      <c r="A273" s="1526" t="s">
        <v>1546</v>
      </c>
      <c r="B273" s="1520" t="s">
        <v>2245</v>
      </c>
      <c r="C273" s="2116">
        <v>0.14199999999999999</v>
      </c>
      <c r="D273" s="2116">
        <v>0.14299999999999999</v>
      </c>
      <c r="E273" s="2116">
        <v>0.15</v>
      </c>
      <c r="F273" s="2117">
        <v>0.1</v>
      </c>
    </row>
    <row r="274" spans="1:6" ht="14.25" thickBot="1">
      <c r="A274" s="1526" t="s">
        <v>1546</v>
      </c>
      <c r="B274" s="1520" t="s">
        <v>2246</v>
      </c>
      <c r="C274" s="2116">
        <v>0.14799999999999999</v>
      </c>
      <c r="D274" s="2116">
        <v>0.14799999999999999</v>
      </c>
      <c r="E274" s="2116">
        <v>0.15</v>
      </c>
      <c r="F274" s="2117">
        <v>6.7000000000000004E-2</v>
      </c>
    </row>
    <row r="275" spans="1:6" ht="14.25" thickBot="1">
      <c r="A275" s="1526" t="s">
        <v>1546</v>
      </c>
      <c r="B275" s="1520" t="s">
        <v>2247</v>
      </c>
      <c r="C275" s="2116">
        <v>0.15</v>
      </c>
      <c r="D275" s="2116">
        <v>0.15</v>
      </c>
      <c r="E275" s="2116">
        <v>0.15</v>
      </c>
      <c r="F275" s="2117">
        <v>0.15</v>
      </c>
    </row>
    <row r="276" spans="1:6" ht="14.25" thickBot="1">
      <c r="A276" s="1526" t="s">
        <v>1546</v>
      </c>
      <c r="B276" s="1520" t="s">
        <v>2248</v>
      </c>
      <c r="C276" s="2116">
        <v>0.14499999999999999</v>
      </c>
      <c r="D276" s="2116">
        <v>0.14299999999999999</v>
      </c>
      <c r="E276" s="2116">
        <v>0.15</v>
      </c>
      <c r="F276" s="2117">
        <v>5.8999999999999997E-2</v>
      </c>
    </row>
    <row r="277" spans="1:6" ht="14.25" thickBot="1">
      <c r="A277" s="1526" t="s">
        <v>1546</v>
      </c>
      <c r="B277" s="1520" t="s">
        <v>2249</v>
      </c>
      <c r="C277" s="2116">
        <v>0.15</v>
      </c>
      <c r="D277" s="2116">
        <v>0.15</v>
      </c>
      <c r="E277" s="2116">
        <v>0.15</v>
      </c>
      <c r="F277" s="2117">
        <v>0.121</v>
      </c>
    </row>
    <row r="278" spans="1:6" ht="14.25" thickBot="1">
      <c r="A278" s="1526" t="s">
        <v>1546</v>
      </c>
      <c r="B278" s="1520" t="s">
        <v>2250</v>
      </c>
      <c r="C278" s="2116">
        <v>0.15</v>
      </c>
      <c r="D278" s="2116">
        <v>0.15</v>
      </c>
      <c r="E278" s="2116">
        <v>0.15</v>
      </c>
      <c r="F278" s="2117">
        <v>0.13800000000000001</v>
      </c>
    </row>
    <row r="279" spans="1:6" ht="24.75" thickBot="1">
      <c r="A279" s="1526" t="s">
        <v>1546</v>
      </c>
      <c r="B279" s="1520" t="s">
        <v>2251</v>
      </c>
      <c r="C279" s="2129"/>
      <c r="D279" s="2129"/>
      <c r="E279" s="2129"/>
      <c r="F279" s="2117">
        <v>0.05</v>
      </c>
    </row>
    <row r="280" spans="1:6" ht="24.75" thickBot="1">
      <c r="A280" s="1526" t="s">
        <v>1546</v>
      </c>
      <c r="B280" s="1520" t="s">
        <v>2252</v>
      </c>
      <c r="C280" s="2129"/>
      <c r="D280" s="2129"/>
      <c r="E280" s="2129"/>
      <c r="F280" s="2117">
        <v>0.05</v>
      </c>
    </row>
    <row r="281" spans="1:6" ht="24.75" thickBot="1">
      <c r="A281" s="1526" t="s">
        <v>1546</v>
      </c>
      <c r="B281" s="1520" t="s">
        <v>2253</v>
      </c>
      <c r="C281" s="2129"/>
      <c r="D281" s="2129"/>
      <c r="E281" s="2129"/>
      <c r="F281" s="2117">
        <v>0.05</v>
      </c>
    </row>
    <row r="282" spans="1:6" ht="24.75" thickBot="1">
      <c r="A282" s="1526" t="s">
        <v>1546</v>
      </c>
      <c r="B282" s="1520" t="s">
        <v>2254</v>
      </c>
      <c r="C282" s="2129"/>
      <c r="D282" s="2129"/>
      <c r="E282" s="2129"/>
      <c r="F282" s="2117">
        <v>0.05</v>
      </c>
    </row>
    <row r="283" spans="1:6" ht="24.75" thickBot="1">
      <c r="A283" s="1526" t="s">
        <v>1546</v>
      </c>
      <c r="B283" s="1520" t="s">
        <v>2255</v>
      </c>
      <c r="C283" s="2129"/>
      <c r="D283" s="2129"/>
      <c r="E283" s="2129"/>
      <c r="F283" s="2117">
        <v>0.05</v>
      </c>
    </row>
    <row r="284" spans="1:6" ht="24.75" thickBot="1">
      <c r="A284" s="1526" t="s">
        <v>1546</v>
      </c>
      <c r="B284" s="1520" t="s">
        <v>2256</v>
      </c>
      <c r="C284" s="2129"/>
      <c r="D284" s="2129"/>
      <c r="E284" s="2129"/>
      <c r="F284" s="2117">
        <v>0.05</v>
      </c>
    </row>
    <row r="285" spans="1:6" ht="24.75" thickBot="1">
      <c r="A285" s="1526" t="s">
        <v>1546</v>
      </c>
      <c r="B285" s="1520" t="s">
        <v>2257</v>
      </c>
      <c r="C285" s="2129"/>
      <c r="D285" s="2129"/>
      <c r="E285" s="2129"/>
      <c r="F285" s="2117">
        <v>0.05</v>
      </c>
    </row>
    <row r="286" spans="1:6" ht="24.75" thickBot="1">
      <c r="A286" s="1526" t="s">
        <v>1546</v>
      </c>
      <c r="B286" s="1520" t="s">
        <v>2258</v>
      </c>
      <c r="C286" s="2129"/>
      <c r="D286" s="2129"/>
      <c r="E286" s="2129"/>
      <c r="F286" s="2117">
        <v>0.05</v>
      </c>
    </row>
    <row r="287" spans="1:6" ht="24.75" thickBot="1">
      <c r="A287" s="1526" t="s">
        <v>1546</v>
      </c>
      <c r="B287" s="1520" t="s">
        <v>2259</v>
      </c>
      <c r="C287" s="2129"/>
      <c r="D287" s="2129"/>
      <c r="E287" s="2129"/>
      <c r="F287" s="2117">
        <v>0.05</v>
      </c>
    </row>
    <row r="288" spans="1:6" ht="24.75" thickBot="1">
      <c r="A288" s="1526" t="s">
        <v>1546</v>
      </c>
      <c r="B288" s="1520" t="s">
        <v>2260</v>
      </c>
      <c r="C288" s="2129"/>
      <c r="D288" s="2129"/>
      <c r="E288" s="2129"/>
      <c r="F288" s="2117">
        <v>0.05</v>
      </c>
    </row>
    <row r="289" spans="1:6" ht="24.75" thickBot="1">
      <c r="A289" s="1536" t="s">
        <v>1546</v>
      </c>
      <c r="B289" s="1532" t="s">
        <v>2261</v>
      </c>
      <c r="C289" s="2126"/>
      <c r="D289" s="2126"/>
      <c r="E289" s="2126"/>
      <c r="F289" s="2119">
        <v>0.05</v>
      </c>
    </row>
    <row r="290" spans="1:6" ht="14.25" thickBot="1">
      <c r="A290" s="1526" t="s">
        <v>1550</v>
      </c>
      <c r="B290" s="1527" t="s">
        <v>2262</v>
      </c>
      <c r="C290" s="2114">
        <v>0.15</v>
      </c>
      <c r="D290" s="2114">
        <v>0.15</v>
      </c>
      <c r="E290" s="2114">
        <v>0.15</v>
      </c>
      <c r="F290" s="2131"/>
    </row>
    <row r="291" spans="1:6" ht="14.25" thickBot="1">
      <c r="A291" s="1526" t="s">
        <v>1550</v>
      </c>
      <c r="B291" s="1520" t="s">
        <v>1212</v>
      </c>
      <c r="C291" s="2116">
        <v>0.15</v>
      </c>
      <c r="D291" s="2116">
        <v>0.15</v>
      </c>
      <c r="E291" s="2116">
        <v>0.15</v>
      </c>
      <c r="F291" s="2128"/>
    </row>
    <row r="292" spans="1:6" ht="14.25" thickBot="1">
      <c r="A292" s="1526" t="s">
        <v>1550</v>
      </c>
      <c r="B292" s="1520" t="s">
        <v>2263</v>
      </c>
      <c r="C292" s="2116">
        <v>0.15</v>
      </c>
      <c r="D292" s="2116">
        <v>0.15</v>
      </c>
      <c r="E292" s="2116">
        <v>0.15</v>
      </c>
      <c r="F292" s="2117">
        <v>0.14699999999999999</v>
      </c>
    </row>
    <row r="293" spans="1:6" ht="14.25" thickBot="1">
      <c r="A293" s="1526" t="s">
        <v>1550</v>
      </c>
      <c r="B293" s="1520" t="s">
        <v>2264</v>
      </c>
      <c r="C293" s="2129"/>
      <c r="D293" s="2129"/>
      <c r="E293" s="2129"/>
      <c r="F293" s="2117">
        <v>0.1</v>
      </c>
    </row>
    <row r="294" spans="1:6" ht="14.25" thickBot="1">
      <c r="A294" s="1526" t="s">
        <v>1550</v>
      </c>
      <c r="B294" s="1520" t="s">
        <v>2265</v>
      </c>
      <c r="C294" s="2116">
        <v>0.15</v>
      </c>
      <c r="D294" s="2116">
        <v>0.15</v>
      </c>
      <c r="E294" s="2116">
        <v>0.15</v>
      </c>
      <c r="F294" s="2117">
        <v>0.15</v>
      </c>
    </row>
    <row r="295" spans="1:6" ht="14.25" thickBot="1">
      <c r="A295" s="1526" t="s">
        <v>1550</v>
      </c>
      <c r="B295" s="1520" t="s">
        <v>1250</v>
      </c>
      <c r="C295" s="2116">
        <v>0.15</v>
      </c>
      <c r="D295" s="2116">
        <v>0.15</v>
      </c>
      <c r="E295" s="2116">
        <v>0.15</v>
      </c>
      <c r="F295" s="2117">
        <v>0.15</v>
      </c>
    </row>
    <row r="296" spans="1:6" ht="14.25" thickBot="1">
      <c r="A296" s="1526" t="s">
        <v>1550</v>
      </c>
      <c r="B296" s="1520" t="s">
        <v>2266</v>
      </c>
      <c r="C296" s="2116">
        <v>0.15</v>
      </c>
      <c r="D296" s="2116">
        <v>0.15</v>
      </c>
      <c r="E296" s="2116">
        <v>0.15</v>
      </c>
      <c r="F296" s="2117">
        <v>0.15</v>
      </c>
    </row>
    <row r="297" spans="1:6" ht="14.25" thickBot="1">
      <c r="A297" s="1526" t="s">
        <v>1550</v>
      </c>
      <c r="B297" s="1520" t="s">
        <v>2267</v>
      </c>
      <c r="C297" s="2116">
        <v>0.14799999999999999</v>
      </c>
      <c r="D297" s="2116">
        <v>0.14899999999999999</v>
      </c>
      <c r="E297" s="2116">
        <v>0.15</v>
      </c>
      <c r="F297" s="2117">
        <v>0.13700000000000001</v>
      </c>
    </row>
    <row r="298" spans="1:6" ht="14.25" thickBot="1">
      <c r="A298" s="1526" t="s">
        <v>1550</v>
      </c>
      <c r="B298" s="1520" t="s">
        <v>1283</v>
      </c>
      <c r="C298" s="2116">
        <v>0.13400000000000001</v>
      </c>
      <c r="D298" s="2116">
        <v>0.13400000000000001</v>
      </c>
      <c r="E298" s="2116">
        <v>0.14499999999999999</v>
      </c>
      <c r="F298" s="2117">
        <v>0.14799999999999999</v>
      </c>
    </row>
    <row r="299" spans="1:6" ht="14.25" thickBot="1">
      <c r="A299" s="1526" t="s">
        <v>1550</v>
      </c>
      <c r="B299" s="1520" t="s">
        <v>1295</v>
      </c>
      <c r="C299" s="2116">
        <v>0.15</v>
      </c>
      <c r="D299" s="2116">
        <v>0.15</v>
      </c>
      <c r="E299" s="2116">
        <v>0.15</v>
      </c>
      <c r="F299" s="2128"/>
    </row>
    <row r="300" spans="1:6" ht="14.25" thickBot="1">
      <c r="A300" s="1526" t="s">
        <v>1550</v>
      </c>
      <c r="B300" s="1520" t="s">
        <v>2268</v>
      </c>
      <c r="C300" s="2116">
        <v>0.15</v>
      </c>
      <c r="D300" s="2116">
        <v>0.15</v>
      </c>
      <c r="E300" s="2116">
        <v>0.15</v>
      </c>
      <c r="F300" s="2117">
        <v>0.15</v>
      </c>
    </row>
    <row r="301" spans="1:6" ht="14.25" thickBot="1">
      <c r="A301" s="1526" t="s">
        <v>1550</v>
      </c>
      <c r="B301" s="1520" t="s">
        <v>1315</v>
      </c>
      <c r="C301" s="2116">
        <v>0.15</v>
      </c>
      <c r="D301" s="2116">
        <v>0.15</v>
      </c>
      <c r="E301" s="2116">
        <v>0.15</v>
      </c>
      <c r="F301" s="2128"/>
    </row>
    <row r="302" spans="1:6" ht="14.25" thickBot="1">
      <c r="A302" s="1526" t="s">
        <v>1550</v>
      </c>
      <c r="B302" s="1520" t="s">
        <v>2269</v>
      </c>
      <c r="C302" s="2116">
        <v>0.15</v>
      </c>
      <c r="D302" s="2116">
        <v>0.15</v>
      </c>
      <c r="E302" s="2116">
        <v>0.15</v>
      </c>
      <c r="F302" s="2117">
        <v>0.15</v>
      </c>
    </row>
    <row r="303" spans="1:6" ht="14.25" thickBot="1">
      <c r="A303" s="1526" t="s">
        <v>1550</v>
      </c>
      <c r="B303" s="1520" t="s">
        <v>1335</v>
      </c>
      <c r="C303" s="2116">
        <v>0.15</v>
      </c>
      <c r="D303" s="2116">
        <v>0.15</v>
      </c>
      <c r="E303" s="2116">
        <v>0.15</v>
      </c>
      <c r="F303" s="2117">
        <v>0.15</v>
      </c>
    </row>
    <row r="304" spans="1:6" ht="14.25" thickBot="1">
      <c r="A304" s="1526" t="s">
        <v>1550</v>
      </c>
      <c r="B304" s="1520" t="s">
        <v>1346</v>
      </c>
      <c r="C304" s="2116">
        <v>0.15</v>
      </c>
      <c r="D304" s="2116">
        <v>0.15</v>
      </c>
      <c r="E304" s="2116">
        <v>0.15</v>
      </c>
      <c r="F304" s="2128"/>
    </row>
    <row r="305" spans="1:6" ht="14.25" thickBot="1">
      <c r="A305" s="1526" t="s">
        <v>1550</v>
      </c>
      <c r="B305" s="1520" t="s">
        <v>2270</v>
      </c>
      <c r="C305" s="2116">
        <v>0.15</v>
      </c>
      <c r="D305" s="2116">
        <v>0.15</v>
      </c>
      <c r="E305" s="2116">
        <v>0.15</v>
      </c>
      <c r="F305" s="2117">
        <v>0.14000000000000001</v>
      </c>
    </row>
    <row r="306" spans="1:6" ht="14.25" thickBot="1">
      <c r="A306" s="1526" t="s">
        <v>1550</v>
      </c>
      <c r="B306" s="1520" t="s">
        <v>1367</v>
      </c>
      <c r="C306" s="2116">
        <v>0.15</v>
      </c>
      <c r="D306" s="2116">
        <v>0.15</v>
      </c>
      <c r="E306" s="2116">
        <v>0.15</v>
      </c>
      <c r="F306" s="2128"/>
    </row>
    <row r="307" spans="1:6" ht="14.25" thickBot="1">
      <c r="A307" s="1526" t="s">
        <v>1550</v>
      </c>
      <c r="B307" s="1520" t="s">
        <v>2271</v>
      </c>
      <c r="C307" s="2116">
        <v>0.15</v>
      </c>
      <c r="D307" s="2116">
        <v>0.15</v>
      </c>
      <c r="E307" s="2116">
        <v>0.15</v>
      </c>
      <c r="F307" s="2117">
        <v>0.14299999999999999</v>
      </c>
    </row>
    <row r="308" spans="1:6" ht="14.25" thickBot="1">
      <c r="A308" s="1526" t="s">
        <v>1550</v>
      </c>
      <c r="B308" s="1520" t="s">
        <v>1387</v>
      </c>
      <c r="C308" s="2116">
        <v>0.15</v>
      </c>
      <c r="D308" s="2116">
        <v>0.15</v>
      </c>
      <c r="E308" s="2116">
        <v>0.15</v>
      </c>
      <c r="F308" s="2117">
        <v>0.15</v>
      </c>
    </row>
    <row r="309" spans="1:6" ht="14.25" thickBot="1">
      <c r="A309" s="1526" t="s">
        <v>1550</v>
      </c>
      <c r="B309" s="1520" t="s">
        <v>1397</v>
      </c>
      <c r="C309" s="2116">
        <v>0.15</v>
      </c>
      <c r="D309" s="2116">
        <v>0.15</v>
      </c>
      <c r="E309" s="2116">
        <v>0.15</v>
      </c>
      <c r="F309" s="2128"/>
    </row>
    <row r="310" spans="1:6" ht="14.25" thickBot="1">
      <c r="A310" s="1526" t="s">
        <v>1550</v>
      </c>
      <c r="B310" s="1520" t="s">
        <v>2272</v>
      </c>
      <c r="C310" s="2116">
        <v>0.15</v>
      </c>
      <c r="D310" s="2116">
        <v>0.15</v>
      </c>
      <c r="E310" s="2116">
        <v>0.15</v>
      </c>
      <c r="F310" s="2117">
        <v>0.13700000000000001</v>
      </c>
    </row>
    <row r="311" spans="1:6" ht="14.25" thickBot="1">
      <c r="A311" s="1526" t="s">
        <v>1550</v>
      </c>
      <c r="B311" s="1520" t="s">
        <v>2273</v>
      </c>
      <c r="C311" s="2116">
        <v>0.15</v>
      </c>
      <c r="D311" s="2116">
        <v>0.15</v>
      </c>
      <c r="E311" s="2116">
        <v>0.15</v>
      </c>
      <c r="F311" s="2117">
        <v>0.15</v>
      </c>
    </row>
    <row r="312" spans="1:6" ht="14.25" thickBot="1">
      <c r="A312" s="1526" t="s">
        <v>1550</v>
      </c>
      <c r="B312" s="1520" t="s">
        <v>1423</v>
      </c>
      <c r="C312" s="2116">
        <v>0.15</v>
      </c>
      <c r="D312" s="2116">
        <v>0.15</v>
      </c>
      <c r="E312" s="2116">
        <v>0.15</v>
      </c>
      <c r="F312" s="2117">
        <v>0.1</v>
      </c>
    </row>
    <row r="313" spans="1:6" ht="14.25" thickBot="1">
      <c r="A313" s="1526" t="s">
        <v>1550</v>
      </c>
      <c r="B313" s="1520" t="s">
        <v>2274</v>
      </c>
      <c r="C313" s="2116">
        <v>0.15</v>
      </c>
      <c r="D313" s="2116">
        <v>0.15</v>
      </c>
      <c r="E313" s="2116">
        <v>0.15</v>
      </c>
      <c r="F313" s="2117">
        <v>0.15</v>
      </c>
    </row>
    <row r="314" spans="1:6" ht="24.75" thickBot="1">
      <c r="A314" s="1526" t="s">
        <v>1550</v>
      </c>
      <c r="B314" s="1520" t="s">
        <v>2275</v>
      </c>
      <c r="C314" s="2129"/>
      <c r="D314" s="2129"/>
      <c r="E314" s="2129"/>
      <c r="F314" s="2117">
        <v>0.05</v>
      </c>
    </row>
    <row r="315" spans="1:6" ht="24.75" thickBot="1">
      <c r="A315" s="1526" t="s">
        <v>1550</v>
      </c>
      <c r="B315" s="1520" t="s">
        <v>2276</v>
      </c>
      <c r="C315" s="2129"/>
      <c r="D315" s="2129"/>
      <c r="E315" s="2129"/>
      <c r="F315" s="2117">
        <v>0.05</v>
      </c>
    </row>
    <row r="316" spans="1:6" ht="24.75" thickBot="1">
      <c r="A316" s="1536" t="s">
        <v>1550</v>
      </c>
      <c r="B316" s="1532" t="s">
        <v>2277</v>
      </c>
      <c r="C316" s="2126"/>
      <c r="D316" s="2126"/>
      <c r="E316" s="2126"/>
      <c r="F316" s="2119">
        <v>0.05</v>
      </c>
    </row>
    <row r="317" spans="1:6" ht="14.25" thickBot="1">
      <c r="A317" s="1526" t="s">
        <v>2278</v>
      </c>
      <c r="B317" s="1527" t="s">
        <v>2279</v>
      </c>
      <c r="C317" s="2114">
        <v>0.15</v>
      </c>
      <c r="D317" s="2114">
        <v>0.15</v>
      </c>
      <c r="E317" s="2114">
        <v>0.15</v>
      </c>
      <c r="F317" s="2115">
        <v>0.15</v>
      </c>
    </row>
    <row r="318" spans="1:6" ht="14.25" thickBot="1">
      <c r="A318" s="1526" t="s">
        <v>2278</v>
      </c>
      <c r="B318" s="1520" t="s">
        <v>2280</v>
      </c>
      <c r="C318" s="2116">
        <v>0.107</v>
      </c>
      <c r="D318" s="2116">
        <v>0.11</v>
      </c>
      <c r="E318" s="2116">
        <v>0.112</v>
      </c>
      <c r="F318" s="2128"/>
    </row>
    <row r="319" spans="1:6" ht="14.25" thickBot="1">
      <c r="A319" s="1526" t="s">
        <v>2278</v>
      </c>
      <c r="B319" s="1520" t="s">
        <v>2281</v>
      </c>
      <c r="C319" s="2116">
        <v>0.15</v>
      </c>
      <c r="D319" s="2116">
        <v>0.15</v>
      </c>
      <c r="E319" s="2116">
        <v>0.15</v>
      </c>
      <c r="F319" s="2117">
        <v>0.15</v>
      </c>
    </row>
    <row r="320" spans="1:6" ht="14.25" thickBot="1">
      <c r="A320" s="1526" t="s">
        <v>2278</v>
      </c>
      <c r="B320" s="1520" t="s">
        <v>1239</v>
      </c>
      <c r="C320" s="2116">
        <v>0.15</v>
      </c>
      <c r="D320" s="2116">
        <v>0.15</v>
      </c>
      <c r="E320" s="2116">
        <v>0.15</v>
      </c>
      <c r="F320" s="2128"/>
    </row>
    <row r="321" spans="1:6" ht="14.25" thickBot="1">
      <c r="A321" s="1526" t="s">
        <v>2278</v>
      </c>
      <c r="B321" s="1520" t="s">
        <v>2282</v>
      </c>
      <c r="C321" s="2116">
        <v>0.15</v>
      </c>
      <c r="D321" s="2116">
        <v>0.15</v>
      </c>
      <c r="E321" s="2116">
        <v>0.15</v>
      </c>
      <c r="F321" s="2128"/>
    </row>
    <row r="322" spans="1:6" ht="14.25" thickBot="1">
      <c r="A322" s="1526" t="s">
        <v>2278</v>
      </c>
      <c r="B322" s="1520" t="s">
        <v>2283</v>
      </c>
      <c r="C322" s="2116">
        <v>0.15</v>
      </c>
      <c r="D322" s="2116">
        <v>0.15</v>
      </c>
      <c r="E322" s="2116">
        <v>0.15</v>
      </c>
      <c r="F322" s="2117">
        <v>0.15</v>
      </c>
    </row>
    <row r="323" spans="1:6" ht="14.25" thickBot="1">
      <c r="A323" s="1526" t="s">
        <v>2278</v>
      </c>
      <c r="B323" s="1520" t="s">
        <v>2284</v>
      </c>
      <c r="C323" s="2116">
        <v>0.15</v>
      </c>
      <c r="D323" s="2116">
        <v>0.15</v>
      </c>
      <c r="E323" s="2116">
        <v>0.15</v>
      </c>
      <c r="F323" s="2128"/>
    </row>
    <row r="324" spans="1:6" ht="14.25" thickBot="1">
      <c r="A324" s="1526" t="s">
        <v>2278</v>
      </c>
      <c r="B324" s="1520" t="s">
        <v>2285</v>
      </c>
      <c r="C324" s="2116">
        <v>0.15</v>
      </c>
      <c r="D324" s="2116">
        <v>0.15</v>
      </c>
      <c r="E324" s="2116">
        <v>0.15</v>
      </c>
      <c r="F324" s="2128"/>
    </row>
    <row r="325" spans="1:6" ht="14.25" thickBot="1">
      <c r="A325" s="1526" t="s">
        <v>2278</v>
      </c>
      <c r="B325" s="1520" t="s">
        <v>2286</v>
      </c>
      <c r="C325" s="2116">
        <v>0.15</v>
      </c>
      <c r="D325" s="2116">
        <v>0.15</v>
      </c>
      <c r="E325" s="2116">
        <v>0.15</v>
      </c>
      <c r="F325" s="2117">
        <v>0.14699999999999999</v>
      </c>
    </row>
    <row r="326" spans="1:6" ht="14.25" thickBot="1">
      <c r="A326" s="1526" t="s">
        <v>2278</v>
      </c>
      <c r="B326" s="1520" t="s">
        <v>1306</v>
      </c>
      <c r="C326" s="2116">
        <v>0.15</v>
      </c>
      <c r="D326" s="2116">
        <v>0.15</v>
      </c>
      <c r="E326" s="2116">
        <v>0.15</v>
      </c>
      <c r="F326" s="2128"/>
    </row>
    <row r="327" spans="1:6" ht="14.25" thickBot="1">
      <c r="A327" s="1526" t="s">
        <v>2278</v>
      </c>
      <c r="B327" s="1520" t="s">
        <v>2287</v>
      </c>
      <c r="C327" s="2116">
        <v>0.15</v>
      </c>
      <c r="D327" s="2116">
        <v>0.15</v>
      </c>
      <c r="E327" s="2116">
        <v>0.15</v>
      </c>
      <c r="F327" s="2117">
        <v>0.15</v>
      </c>
    </row>
    <row r="328" spans="1:6" ht="14.25" thickBot="1">
      <c r="A328" s="1526" t="s">
        <v>2278</v>
      </c>
      <c r="B328" s="1520" t="s">
        <v>1326</v>
      </c>
      <c r="C328" s="2116">
        <v>0.15</v>
      </c>
      <c r="D328" s="2116">
        <v>0.15</v>
      </c>
      <c r="E328" s="2116">
        <v>0.15</v>
      </c>
      <c r="F328" s="2117">
        <v>0.14099999999999999</v>
      </c>
    </row>
    <row r="329" spans="1:6" ht="14.25" thickBot="1">
      <c r="A329" s="1526" t="s">
        <v>2278</v>
      </c>
      <c r="B329" s="1520" t="s">
        <v>1336</v>
      </c>
      <c r="C329" s="2116">
        <v>0.15</v>
      </c>
      <c r="D329" s="2116">
        <v>0.15</v>
      </c>
      <c r="E329" s="2116">
        <v>0.15</v>
      </c>
      <c r="F329" s="2117">
        <v>0.15</v>
      </c>
    </row>
    <row r="330" spans="1:6" ht="14.25" thickBot="1">
      <c r="A330" s="1526" t="s">
        <v>2278</v>
      </c>
      <c r="B330" s="1520" t="s">
        <v>1347</v>
      </c>
      <c r="C330" s="2116">
        <v>0.15</v>
      </c>
      <c r="D330" s="2116">
        <v>0.15</v>
      </c>
      <c r="E330" s="2116">
        <v>0.15</v>
      </c>
      <c r="F330" s="2128"/>
    </row>
    <row r="331" spans="1:6" ht="14.25" thickBot="1">
      <c r="A331" s="1526" t="s">
        <v>2278</v>
      </c>
      <c r="B331" s="1520" t="s">
        <v>2288</v>
      </c>
      <c r="C331" s="2116">
        <v>0.15</v>
      </c>
      <c r="D331" s="2116">
        <v>0.15</v>
      </c>
      <c r="E331" s="2116">
        <v>0.15</v>
      </c>
      <c r="F331" s="2117">
        <v>0.15</v>
      </c>
    </row>
    <row r="332" spans="1:6" ht="14.25" thickBot="1">
      <c r="A332" s="1526" t="s">
        <v>2278</v>
      </c>
      <c r="B332" s="1520" t="s">
        <v>1368</v>
      </c>
      <c r="C332" s="2116">
        <v>0.15</v>
      </c>
      <c r="D332" s="2116">
        <v>0.15</v>
      </c>
      <c r="E332" s="2116">
        <v>0.15</v>
      </c>
      <c r="F332" s="2117">
        <v>0.15</v>
      </c>
    </row>
    <row r="333" spans="1:6" ht="14.25" thickBot="1">
      <c r="A333" s="1526" t="s">
        <v>2278</v>
      </c>
      <c r="B333" s="1520" t="s">
        <v>2289</v>
      </c>
      <c r="C333" s="2116">
        <v>0.15</v>
      </c>
      <c r="D333" s="2116">
        <v>0.15</v>
      </c>
      <c r="E333" s="2116">
        <v>0.15</v>
      </c>
      <c r="F333" s="2117">
        <v>0.14099999999999999</v>
      </c>
    </row>
    <row r="334" spans="1:6" ht="14.25" thickBot="1">
      <c r="A334" s="1526" t="s">
        <v>2278</v>
      </c>
      <c r="B334" s="1520" t="s">
        <v>1388</v>
      </c>
      <c r="C334" s="2116">
        <v>0.15</v>
      </c>
      <c r="D334" s="2116">
        <v>0.15</v>
      </c>
      <c r="E334" s="2116">
        <v>0.15</v>
      </c>
      <c r="F334" s="2117">
        <v>0.15</v>
      </c>
    </row>
    <row r="335" spans="1:6" ht="14.25" thickBot="1">
      <c r="A335" s="1526" t="s">
        <v>2278</v>
      </c>
      <c r="B335" s="1520" t="s">
        <v>1398</v>
      </c>
      <c r="C335" s="2116">
        <v>0.15</v>
      </c>
      <c r="D335" s="2116">
        <v>0.15</v>
      </c>
      <c r="E335" s="2116">
        <v>0.15</v>
      </c>
      <c r="F335" s="2128"/>
    </row>
    <row r="336" spans="1:6" ht="14.25" thickBot="1">
      <c r="A336" s="1526" t="s">
        <v>2278</v>
      </c>
      <c r="B336" s="1520" t="s">
        <v>2290</v>
      </c>
      <c r="C336" s="2116">
        <v>0.15</v>
      </c>
      <c r="D336" s="2116">
        <v>0.15</v>
      </c>
      <c r="E336" s="2116">
        <v>0.15</v>
      </c>
      <c r="F336" s="2117">
        <v>0.11799999999999999</v>
      </c>
    </row>
    <row r="337" spans="1:6" ht="14.25" thickBot="1">
      <c r="A337" s="1536" t="s">
        <v>2278</v>
      </c>
      <c r="B337" s="1532" t="s">
        <v>1416</v>
      </c>
      <c r="C337" s="2126"/>
      <c r="D337" s="2126"/>
      <c r="E337" s="2126"/>
      <c r="F337" s="2119">
        <v>0.14299999999999999</v>
      </c>
    </row>
    <row r="338" spans="1:6" ht="14.25" thickBot="1">
      <c r="A338" s="1526" t="s">
        <v>2291</v>
      </c>
      <c r="B338" s="1527" t="s">
        <v>2292</v>
      </c>
      <c r="C338" s="2114">
        <v>0.15</v>
      </c>
      <c r="D338" s="2114">
        <v>0.15</v>
      </c>
      <c r="E338" s="2114">
        <v>0.15</v>
      </c>
      <c r="F338" s="2131"/>
    </row>
    <row r="339" spans="1:6" ht="14.25" thickBot="1">
      <c r="A339" s="1526" t="s">
        <v>2291</v>
      </c>
      <c r="B339" s="1520" t="s">
        <v>2293</v>
      </c>
      <c r="C339" s="2116">
        <v>0.15</v>
      </c>
      <c r="D339" s="2116">
        <v>0.15</v>
      </c>
      <c r="E339" s="2116">
        <v>0.15</v>
      </c>
      <c r="F339" s="2128"/>
    </row>
    <row r="340" spans="1:6" ht="14.25" thickBot="1">
      <c r="A340" s="1526" t="s">
        <v>2291</v>
      </c>
      <c r="B340" s="1520" t="s">
        <v>2294</v>
      </c>
      <c r="C340" s="2116">
        <v>0.15</v>
      </c>
      <c r="D340" s="2116">
        <v>0.15</v>
      </c>
      <c r="E340" s="2116">
        <v>0.15</v>
      </c>
      <c r="F340" s="2128"/>
    </row>
    <row r="341" spans="1:6" ht="14.25" thickBot="1">
      <c r="A341" s="1526" t="s">
        <v>2291</v>
      </c>
      <c r="B341" s="1520" t="s">
        <v>2295</v>
      </c>
      <c r="C341" s="2116">
        <v>0.15</v>
      </c>
      <c r="D341" s="2116">
        <v>0.15</v>
      </c>
      <c r="E341" s="2116">
        <v>0.15</v>
      </c>
      <c r="F341" s="2117">
        <v>0.15</v>
      </c>
    </row>
    <row r="342" spans="1:6" ht="14.25" thickBot="1">
      <c r="A342" s="1526" t="s">
        <v>2291</v>
      </c>
      <c r="B342" s="1520" t="s">
        <v>2296</v>
      </c>
      <c r="C342" s="2116">
        <v>0.15</v>
      </c>
      <c r="D342" s="2116">
        <v>0.15</v>
      </c>
      <c r="E342" s="2116">
        <v>0.15</v>
      </c>
      <c r="F342" s="2117">
        <v>0.15</v>
      </c>
    </row>
    <row r="343" spans="1:6" ht="14.25" thickBot="1">
      <c r="A343" s="1526" t="s">
        <v>2291</v>
      </c>
      <c r="B343" s="1520" t="s">
        <v>2297</v>
      </c>
      <c r="C343" s="2116">
        <v>0.15</v>
      </c>
      <c r="D343" s="2116">
        <v>0.15</v>
      </c>
      <c r="E343" s="2116">
        <v>0.15</v>
      </c>
      <c r="F343" s="2117">
        <v>0.15</v>
      </c>
    </row>
    <row r="344" spans="1:6" ht="14.25" thickBot="1">
      <c r="A344" s="1536" t="s">
        <v>2291</v>
      </c>
      <c r="B344" s="1532" t="s">
        <v>2298</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2914</v>
      </c>
      <c r="C1" s="3198">
        <f>项目基本情况!D3</f>
        <v>42935</v>
      </c>
      <c r="D1" s="3204" t="s">
        <v>2915</v>
      </c>
      <c r="E1" s="3199">
        <f>'数据-取费表'!B22</f>
        <v>2.5</v>
      </c>
      <c r="F1" s="3204" t="s">
        <v>2916</v>
      </c>
      <c r="G1" s="3200">
        <f ca="1">INDIRECT("d"&amp;$K$1)/100</f>
        <v>4.7500000000000001E-2</v>
      </c>
      <c r="H1" s="3204" t="s">
        <v>2946</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2917</v>
      </c>
      <c r="E2" s="3140"/>
      <c r="F2" s="3140" t="s">
        <v>2918</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2919</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2920</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2921</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2922</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2923</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2924</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2925</v>
      </c>
      <c r="C10" s="3168"/>
      <c r="D10" s="3168"/>
      <c r="E10" s="3168"/>
      <c r="F10" s="3168"/>
      <c r="G10" s="3168"/>
      <c r="H10" s="3168"/>
      <c r="I10" s="3142"/>
      <c r="J10" s="3142"/>
      <c r="K10" s="3168"/>
      <c r="L10" s="3169" t="s">
        <v>2926</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2927</v>
      </c>
      <c r="C11" s="3173" t="s">
        <v>2928</v>
      </c>
      <c r="D11" s="3174" t="s">
        <v>2929</v>
      </c>
      <c r="E11" s="3175"/>
      <c r="F11" s="3174" t="s">
        <v>2930</v>
      </c>
      <c r="G11" s="3176"/>
      <c r="H11" s="3175"/>
      <c r="I11" s="3174" t="s">
        <v>2931</v>
      </c>
      <c r="J11" s="3175"/>
      <c r="K11" s="3171"/>
      <c r="L11" s="3172" t="s">
        <v>2927</v>
      </c>
      <c r="M11" s="3173" t="s">
        <v>2928</v>
      </c>
      <c r="N11" s="3172" t="s">
        <v>2932</v>
      </c>
      <c r="O11" s="3174" t="s">
        <v>2933</v>
      </c>
      <c r="P11" s="3176"/>
      <c r="Q11" s="3176"/>
      <c r="R11" s="3176"/>
      <c r="S11" s="3176"/>
      <c r="T11" s="3175"/>
      <c r="U11" s="3174" t="s">
        <v>2934</v>
      </c>
      <c r="V11" s="3176"/>
      <c r="W11" s="3175"/>
      <c r="X11" s="3172" t="s">
        <v>2935</v>
      </c>
      <c r="Y11" s="3172" t="s">
        <v>2936</v>
      </c>
      <c r="Z11" s="3172" t="s">
        <v>2937</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2938</v>
      </c>
      <c r="E12" s="3181" t="s">
        <v>2939</v>
      </c>
      <c r="F12" s="3181" t="s">
        <v>2940</v>
      </c>
      <c r="G12" s="3181" t="s">
        <v>2941</v>
      </c>
      <c r="H12" s="3181" t="s">
        <v>2923</v>
      </c>
      <c r="I12" s="3182" t="s">
        <v>2942</v>
      </c>
      <c r="J12" s="3182" t="s">
        <v>2942</v>
      </c>
      <c r="K12" s="3178"/>
      <c r="L12" s="3179"/>
      <c r="M12" s="3180"/>
      <c r="N12" s="3179"/>
      <c r="O12" s="3182" t="s">
        <v>2943</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2944</v>
      </c>
      <c r="C13" s="3186">
        <v>42301</v>
      </c>
      <c r="D13" s="3187">
        <v>4.3499999999999996</v>
      </c>
      <c r="E13" s="3187">
        <v>4.3499999999999996</v>
      </c>
      <c r="F13" s="3187">
        <v>4.75</v>
      </c>
      <c r="G13" s="3187">
        <v>4.75</v>
      </c>
      <c r="H13" s="3187">
        <v>4.9000000000000004</v>
      </c>
      <c r="I13" s="3187">
        <v>2.75</v>
      </c>
      <c r="J13" s="3187">
        <v>3.25</v>
      </c>
      <c r="K13" s="3184"/>
      <c r="L13" s="3185" t="s">
        <v>2944</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2945</v>
      </c>
      <c r="Y42" s="3191" t="s">
        <v>2945</v>
      </c>
      <c r="Z42" s="3191" t="s">
        <v>2945</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2945</v>
      </c>
      <c r="Y43" s="3191" t="s">
        <v>2945</v>
      </c>
      <c r="Z43" s="3191" t="s">
        <v>2945</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2945</v>
      </c>
      <c r="Y44" s="3191" t="s">
        <v>2945</v>
      </c>
      <c r="Z44" s="3191" t="s">
        <v>2945</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2945</v>
      </c>
      <c r="Y45" s="3191" t="s">
        <v>2945</v>
      </c>
      <c r="Z45" s="3191" t="s">
        <v>2945</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2945</v>
      </c>
      <c r="Y46" s="3191" t="s">
        <v>2945</v>
      </c>
      <c r="Z46" s="3191" t="s">
        <v>2945</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2945</v>
      </c>
      <c r="Y47" s="3191" t="s">
        <v>2945</v>
      </c>
      <c r="Z47" s="3191" t="s">
        <v>2945</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2945</v>
      </c>
      <c r="Y48" s="3191" t="s">
        <v>2945</v>
      </c>
      <c r="Z48" s="3191" t="s">
        <v>2945</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2945</v>
      </c>
      <c r="Y49" s="3191" t="s">
        <v>2945</v>
      </c>
      <c r="Z49" s="3191" t="s">
        <v>2945</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2945</v>
      </c>
      <c r="Y50" s="3191" t="s">
        <v>2945</v>
      </c>
      <c r="Z50" s="3191" t="s">
        <v>2945</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2945</v>
      </c>
      <c r="V51" s="3191" t="s">
        <v>2945</v>
      </c>
      <c r="W51" s="3191" t="s">
        <v>2945</v>
      </c>
      <c r="X51" s="3191" t="s">
        <v>2945</v>
      </c>
      <c r="Y51" s="3191" t="s">
        <v>2945</v>
      </c>
      <c r="Z51" s="3191" t="s">
        <v>2945</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2945</v>
      </c>
      <c r="J55" s="3191" t="s">
        <v>2945</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16"/>
  <sheetViews>
    <sheetView topLeftCell="B1" workbookViewId="0">
      <selection activeCell="R9" sqref="R9"/>
    </sheetView>
  </sheetViews>
  <sheetFormatPr defaultRowHeight="13.5"/>
  <cols>
    <col min="17" max="17" width="10" customWidth="1"/>
  </cols>
  <sheetData>
    <row r="1" spans="12:18">
      <c r="N1">
        <v>1</v>
      </c>
      <c r="O1">
        <v>101</v>
      </c>
      <c r="P1">
        <v>1160</v>
      </c>
      <c r="Q1">
        <f>ROUND(P1*10000/O1,0)</f>
        <v>114851</v>
      </c>
      <c r="R1" s="3341" t="s">
        <v>3046</v>
      </c>
    </row>
    <row r="2" spans="12:18">
      <c r="N2" s="3398">
        <v>1</v>
      </c>
      <c r="O2" s="3398">
        <v>100</v>
      </c>
      <c r="P2" s="3398">
        <v>1500</v>
      </c>
      <c r="Q2" s="3398">
        <f t="shared" ref="Q2:Q4" si="0">ROUND(P2*10000/O2,0)</f>
        <v>150000</v>
      </c>
      <c r="R2" s="3352" t="s">
        <v>3047</v>
      </c>
    </row>
    <row r="3" spans="12:18">
      <c r="N3" s="3398">
        <v>1</v>
      </c>
      <c r="O3" s="3398">
        <v>45</v>
      </c>
      <c r="P3" s="3398">
        <v>650</v>
      </c>
      <c r="Q3" s="3398">
        <f t="shared" si="0"/>
        <v>144444</v>
      </c>
      <c r="R3" s="3352" t="s">
        <v>3655</v>
      </c>
    </row>
    <row r="4" spans="12:18">
      <c r="N4" s="3398">
        <v>1</v>
      </c>
      <c r="O4" s="3398">
        <v>50</v>
      </c>
      <c r="P4" s="3398">
        <v>700</v>
      </c>
      <c r="Q4" s="3398">
        <f t="shared" si="0"/>
        <v>140000</v>
      </c>
      <c r="R4" s="3352" t="s">
        <v>3657</v>
      </c>
    </row>
    <row r="5" spans="12:18">
      <c r="N5" s="3341" t="s">
        <v>3048</v>
      </c>
    </row>
    <row r="6" spans="12:18">
      <c r="L6" s="3342"/>
      <c r="M6" s="3342"/>
      <c r="N6" s="3342">
        <v>1</v>
      </c>
      <c r="O6" s="3342">
        <v>188</v>
      </c>
      <c r="P6" s="3342">
        <v>1504</v>
      </c>
      <c r="Q6" s="3342">
        <f>ROUND(P6*10000/O6,0)</f>
        <v>80000</v>
      </c>
    </row>
    <row r="7" spans="12:18">
      <c r="L7" s="3342"/>
      <c r="M7" s="3342"/>
      <c r="N7" s="3342">
        <v>1</v>
      </c>
      <c r="O7" s="3342">
        <v>120</v>
      </c>
      <c r="P7" s="3342">
        <v>840</v>
      </c>
      <c r="Q7" s="3342">
        <f t="shared" ref="Q7:Q16" si="1">ROUND(P7*10000/O7,0)</f>
        <v>70000</v>
      </c>
    </row>
    <row r="8" spans="12:18">
      <c r="N8">
        <v>1</v>
      </c>
      <c r="O8">
        <v>60</v>
      </c>
      <c r="P8">
        <v>900</v>
      </c>
      <c r="Q8">
        <f t="shared" si="1"/>
        <v>150000</v>
      </c>
    </row>
    <row r="9" spans="12:18">
      <c r="N9">
        <v>1</v>
      </c>
      <c r="O9">
        <v>106</v>
      </c>
      <c r="P9">
        <v>1108</v>
      </c>
      <c r="Q9">
        <f t="shared" si="1"/>
        <v>104528</v>
      </c>
    </row>
    <row r="10" spans="12:18">
      <c r="N10">
        <v>1</v>
      </c>
      <c r="O10">
        <v>68</v>
      </c>
      <c r="P10">
        <v>790</v>
      </c>
      <c r="Q10">
        <f t="shared" si="1"/>
        <v>116176</v>
      </c>
    </row>
    <row r="11" spans="12:18">
      <c r="M11" s="3342"/>
      <c r="N11" s="3342">
        <v>1</v>
      </c>
      <c r="O11" s="3342">
        <v>500</v>
      </c>
      <c r="P11" s="3342">
        <v>3500</v>
      </c>
      <c r="Q11" s="3342">
        <f t="shared" si="1"/>
        <v>70000</v>
      </c>
    </row>
    <row r="12" spans="12:18">
      <c r="N12">
        <v>1</v>
      </c>
      <c r="O12">
        <v>200</v>
      </c>
      <c r="P12">
        <v>3200</v>
      </c>
      <c r="Q12">
        <f t="shared" si="1"/>
        <v>160000</v>
      </c>
    </row>
    <row r="13" spans="12:18">
      <c r="N13">
        <v>1</v>
      </c>
      <c r="O13">
        <v>90</v>
      </c>
      <c r="P13">
        <v>1440</v>
      </c>
      <c r="Q13">
        <f t="shared" si="1"/>
        <v>160000</v>
      </c>
    </row>
    <row r="14" spans="12:18">
      <c r="N14">
        <v>2</v>
      </c>
      <c r="O14">
        <v>51</v>
      </c>
      <c r="P14">
        <v>350</v>
      </c>
      <c r="Q14">
        <f t="shared" si="1"/>
        <v>68627</v>
      </c>
      <c r="R14" s="3341" t="s">
        <v>3656</v>
      </c>
    </row>
    <row r="15" spans="12:18">
      <c r="N15">
        <v>1</v>
      </c>
      <c r="O15">
        <v>110</v>
      </c>
      <c r="P15">
        <v>1500</v>
      </c>
      <c r="Q15">
        <f t="shared" si="1"/>
        <v>136364</v>
      </c>
    </row>
    <row r="16" spans="12:18">
      <c r="N16">
        <v>1</v>
      </c>
      <c r="O16">
        <v>50</v>
      </c>
      <c r="P16">
        <v>700</v>
      </c>
      <c r="Q16">
        <f t="shared" si="1"/>
        <v>140000</v>
      </c>
    </row>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28" t="s">
        <v>2044</v>
      </c>
      <c r="B1" s="3428"/>
      <c r="C1" s="3428"/>
      <c r="D1" s="3428"/>
      <c r="E1" s="3428"/>
      <c r="F1" s="3428"/>
      <c r="G1" s="3428"/>
      <c r="H1" s="3428"/>
      <c r="I1" s="3428"/>
    </row>
    <row r="2" spans="1:9" ht="30" customHeight="1" thickTop="1">
      <c r="A2" s="3429" t="s">
        <v>2883</v>
      </c>
      <c r="B2" s="3429" t="s">
        <v>2045</v>
      </c>
      <c r="C2" s="3429" t="s">
        <v>2046</v>
      </c>
      <c r="D2" s="3429" t="str">
        <f>结果表!D116</f>
        <v>出让国有建设用地使用权价值</v>
      </c>
      <c r="E2" s="3429"/>
      <c r="F2" s="3429" t="str">
        <f>结果表!F116</f>
        <v>在建建筑物价值</v>
      </c>
      <c r="G2" s="3429"/>
      <c r="H2" s="3429" t="s">
        <v>6</v>
      </c>
      <c r="I2" s="3429"/>
    </row>
    <row r="3" spans="1:9" ht="14.25">
      <c r="A3" s="3430"/>
      <c r="B3" s="3430"/>
      <c r="C3" s="3430"/>
      <c r="D3" s="1910" t="s">
        <v>7</v>
      </c>
      <c r="E3" s="1910" t="s">
        <v>2047</v>
      </c>
      <c r="F3" s="1910" t="s">
        <v>7</v>
      </c>
      <c r="G3" s="1910" t="s">
        <v>8</v>
      </c>
      <c r="H3" s="1910" t="s">
        <v>7</v>
      </c>
      <c r="I3" s="1910" t="s">
        <v>8</v>
      </c>
    </row>
    <row r="4" spans="1:9" ht="15">
      <c r="A4" s="1980" t="str">
        <f>项目基本情况!S2</f>
        <v>福建省福州市晋安区房地产</v>
      </c>
      <c r="B4" s="1974">
        <f>项目基本情况!C17</f>
        <v>31303.89</v>
      </c>
      <c r="C4" s="1974">
        <f>项目基本情况!C18</f>
        <v>0</v>
      </c>
      <c r="D4" s="1974" t="e">
        <f ca="1">结果表!D118</f>
        <v>#REF!</v>
      </c>
      <c r="E4" s="1974" t="e">
        <f ca="1">结果表!E118</f>
        <v>#REF!</v>
      </c>
      <c r="F4" s="1974" t="e">
        <f ca="1">结果表!F118</f>
        <v>#REF!</v>
      </c>
      <c r="G4" s="1974" t="e">
        <f ca="1">结果表!G118</f>
        <v>#REF!</v>
      </c>
      <c r="H4" s="1974">
        <f ca="1">结果表!H118</f>
        <v>21523</v>
      </c>
      <c r="I4" s="1974">
        <f ca="1">结果表!I118</f>
        <v>6876</v>
      </c>
    </row>
    <row r="5" spans="1:9" ht="30" customHeight="1">
      <c r="A5" s="3430" t="s">
        <v>9</v>
      </c>
      <c r="B5" s="3430"/>
      <c r="C5" s="3430"/>
      <c r="D5" s="3431" t="e">
        <f ca="1">结果表!D119</f>
        <v>#REF!</v>
      </c>
      <c r="E5" s="3431"/>
      <c r="F5" s="3431" t="e">
        <f ca="1">结果表!F119</f>
        <v>#REF!</v>
      </c>
      <c r="G5" s="3431"/>
      <c r="H5" s="3431" t="str">
        <f ca="1">结果表!H119</f>
        <v>贰亿壹仟伍佰贰拾叁万元整</v>
      </c>
      <c r="I5" s="3431"/>
    </row>
    <row r="6" spans="1:9" ht="15.75">
      <c r="A6" s="3432" t="str">
        <f>结果表!A120</f>
        <v>估价师知悉的法定优先受偿款</v>
      </c>
      <c r="B6" s="3432"/>
      <c r="C6" s="3432"/>
      <c r="D6" s="3433">
        <f>结果表!D120</f>
        <v>0</v>
      </c>
      <c r="E6" s="3433"/>
      <c r="F6" s="3433"/>
      <c r="G6" s="3433"/>
      <c r="H6" s="3433"/>
      <c r="I6" s="3433"/>
    </row>
    <row r="7" spans="1:9" ht="14.25">
      <c r="A7" s="3430" t="s">
        <v>9</v>
      </c>
      <c r="B7" s="3430"/>
      <c r="C7" s="3430"/>
      <c r="D7" s="3434" t="str">
        <f>结果表!D121</f>
        <v>零元整</v>
      </c>
      <c r="E7" s="3435"/>
      <c r="F7" s="3435"/>
      <c r="G7" s="3435"/>
      <c r="H7" s="3435"/>
      <c r="I7" s="3436"/>
    </row>
    <row r="8" spans="1:9" ht="15.75">
      <c r="A8" s="3432" t="str">
        <f>结果表!A122</f>
        <v>房地产抵押价值</v>
      </c>
      <c r="B8" s="3432"/>
      <c r="C8" s="3432"/>
      <c r="D8" s="3433">
        <f ca="1">结果表!D122</f>
        <v>21523</v>
      </c>
      <c r="E8" s="3433"/>
      <c r="F8" s="3433"/>
      <c r="G8" s="3433"/>
      <c r="H8" s="3433"/>
      <c r="I8" s="3433"/>
    </row>
    <row r="9" spans="1:9" ht="14.25">
      <c r="A9" s="3430" t="s">
        <v>9</v>
      </c>
      <c r="B9" s="3430"/>
      <c r="C9" s="3430"/>
      <c r="D9" s="3431" t="str">
        <f ca="1">结果表!D123</f>
        <v>贰亿壹仟伍佰贰拾叁万元整</v>
      </c>
      <c r="E9" s="3431"/>
      <c r="F9" s="3431"/>
      <c r="G9" s="3431"/>
      <c r="H9" s="3431"/>
      <c r="I9" s="3431"/>
    </row>
    <row r="10" spans="1:9" ht="15.75">
      <c r="A10" s="3432" t="str">
        <f>结果表!A124</f>
        <v/>
      </c>
      <c r="B10" s="3432"/>
      <c r="C10" s="3432"/>
      <c r="D10" s="3433" t="str">
        <f>结果表!D124</f>
        <v>——</v>
      </c>
      <c r="E10" s="3433"/>
      <c r="F10" s="3433"/>
      <c r="G10" s="3433"/>
      <c r="H10" s="3433"/>
      <c r="I10" s="3433"/>
    </row>
    <row r="11" spans="1:9" ht="14.25">
      <c r="A11" s="3430" t="s">
        <v>9</v>
      </c>
      <c r="B11" s="3430"/>
      <c r="C11" s="3430"/>
      <c r="D11" s="3431" t="e">
        <f>结果表!D125</f>
        <v>#VALUE!</v>
      </c>
      <c r="E11" s="3431"/>
      <c r="F11" s="3431"/>
      <c r="G11" s="3431"/>
      <c r="H11" s="3431"/>
      <c r="I11" s="3431"/>
    </row>
    <row r="12" spans="1:9" ht="15.75">
      <c r="A12" s="3432" t="str">
        <f>结果表!A126</f>
        <v/>
      </c>
      <c r="B12" s="3432"/>
      <c r="C12" s="3432"/>
      <c r="D12" s="3433" t="str">
        <f>结果表!D126</f>
        <v>——</v>
      </c>
      <c r="E12" s="3433"/>
      <c r="F12" s="3433"/>
      <c r="G12" s="3433"/>
      <c r="H12" s="3433"/>
      <c r="I12" s="3433"/>
    </row>
    <row r="13" spans="1:9" ht="15" thickBot="1">
      <c r="A13" s="3437" t="s">
        <v>9</v>
      </c>
      <c r="B13" s="3437"/>
      <c r="C13" s="3437"/>
      <c r="D13" s="3438" t="e">
        <f>结果表!D127</f>
        <v>#VALUE!</v>
      </c>
      <c r="E13" s="3438"/>
      <c r="F13" s="3438"/>
      <c r="G13" s="3438"/>
      <c r="H13" s="3438"/>
      <c r="I13" s="3438"/>
    </row>
    <row r="14" spans="1:9" ht="14.25" thickTop="1">
      <c r="A14" s="3439" t="s">
        <v>2048</v>
      </c>
      <c r="B14" s="3439"/>
      <c r="C14" s="3439"/>
      <c r="D14" s="3439"/>
      <c r="E14" s="3439"/>
      <c r="F14" s="3439"/>
      <c r="G14" s="3439"/>
      <c r="H14" s="3439"/>
      <c r="I14" s="3439"/>
    </row>
    <row r="16" spans="1:9" ht="18.75">
      <c r="A16" s="1989" t="s">
        <v>2049</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Q26"/>
  <sheetViews>
    <sheetView topLeftCell="E1" workbookViewId="0">
      <selection activeCell="T17" sqref="T17"/>
    </sheetView>
  </sheetViews>
  <sheetFormatPr defaultRowHeight="13.5"/>
  <sheetData>
    <row r="4" spans="13:17">
      <c r="M4" s="3342">
        <v>1</v>
      </c>
      <c r="N4" s="3342">
        <v>65</v>
      </c>
      <c r="O4" s="3342">
        <v>28000</v>
      </c>
      <c r="P4" s="3342">
        <f>ROUND(O4/N4/30,0)</f>
        <v>14</v>
      </c>
      <c r="Q4" s="3343" t="s">
        <v>3049</v>
      </c>
    </row>
    <row r="5" spans="13:17">
      <c r="M5" s="3342">
        <v>1</v>
      </c>
      <c r="N5" s="3342">
        <v>18</v>
      </c>
      <c r="O5" s="3342">
        <v>7000</v>
      </c>
      <c r="P5" s="3342">
        <f>ROUND(O5/N5/30,0)</f>
        <v>13</v>
      </c>
      <c r="Q5" s="3343" t="s">
        <v>3049</v>
      </c>
    </row>
    <row r="6" spans="13:17">
      <c r="M6">
        <v>1</v>
      </c>
      <c r="N6">
        <v>25</v>
      </c>
      <c r="O6">
        <v>9000</v>
      </c>
      <c r="P6">
        <f>ROUND(O6/N6/30,0)</f>
        <v>12</v>
      </c>
    </row>
    <row r="7" spans="13:17">
      <c r="M7">
        <v>1</v>
      </c>
      <c r="N7">
        <v>45</v>
      </c>
      <c r="O7">
        <v>14500</v>
      </c>
      <c r="P7">
        <f t="shared" ref="P7:P26" si="0">ROUND(O7/N7/30,0)</f>
        <v>11</v>
      </c>
    </row>
    <row r="8" spans="13:17">
      <c r="M8">
        <v>1</v>
      </c>
      <c r="N8">
        <v>40</v>
      </c>
      <c r="O8">
        <v>18000</v>
      </c>
      <c r="P8">
        <f t="shared" si="0"/>
        <v>15</v>
      </c>
    </row>
    <row r="9" spans="13:17">
      <c r="M9" s="3342">
        <v>1</v>
      </c>
      <c r="N9" s="3342">
        <v>20</v>
      </c>
      <c r="O9" s="3342">
        <v>8800</v>
      </c>
      <c r="P9" s="3342">
        <f t="shared" si="0"/>
        <v>15</v>
      </c>
      <c r="Q9" s="3343" t="s">
        <v>3050</v>
      </c>
    </row>
    <row r="10" spans="13:17">
      <c r="P10" t="e">
        <f t="shared" si="0"/>
        <v>#DIV/0!</v>
      </c>
    </row>
    <row r="11" spans="13:17">
      <c r="P11" t="e">
        <f t="shared" si="0"/>
        <v>#DIV/0!</v>
      </c>
    </row>
    <row r="12" spans="13:17">
      <c r="P12" t="e">
        <f t="shared" si="0"/>
        <v>#DIV/0!</v>
      </c>
    </row>
    <row r="13" spans="13:17">
      <c r="M13" s="3344">
        <v>1</v>
      </c>
      <c r="N13" s="3344">
        <v>50</v>
      </c>
      <c r="O13" s="3344">
        <v>9000</v>
      </c>
      <c r="P13" s="3344">
        <v>6.5</v>
      </c>
      <c r="Q13" s="3345" t="s">
        <v>3051</v>
      </c>
    </row>
    <row r="14" spans="13:17">
      <c r="M14" s="3344">
        <v>1</v>
      </c>
      <c r="N14" s="3344">
        <v>60</v>
      </c>
      <c r="O14" s="3344">
        <v>230</v>
      </c>
      <c r="P14" s="3344">
        <v>7.2</v>
      </c>
      <c r="Q14" s="3345" t="s">
        <v>3052</v>
      </c>
    </row>
    <row r="15" spans="13:17">
      <c r="M15" s="3344">
        <v>1</v>
      </c>
      <c r="N15" s="3344">
        <v>115</v>
      </c>
      <c r="O15" s="3344">
        <v>22000</v>
      </c>
      <c r="P15" s="3344">
        <f>ROUND(O15/N15/30,1)</f>
        <v>6.4</v>
      </c>
      <c r="Q15" s="3345" t="s">
        <v>3053</v>
      </c>
    </row>
    <row r="16" spans="13:17">
      <c r="P16" t="e">
        <f t="shared" si="0"/>
        <v>#DIV/0!</v>
      </c>
    </row>
    <row r="17" spans="16:16">
      <c r="P17" t="e">
        <f t="shared" si="0"/>
        <v>#DIV/0!</v>
      </c>
    </row>
    <row r="18" spans="16:16">
      <c r="P18" t="e">
        <f t="shared" si="0"/>
        <v>#DIV/0!</v>
      </c>
    </row>
    <row r="19" spans="16:16">
      <c r="P19" t="e">
        <f t="shared" si="0"/>
        <v>#DIV/0!</v>
      </c>
    </row>
    <row r="20" spans="16:16">
      <c r="P20" t="e">
        <f t="shared" si="0"/>
        <v>#DIV/0!</v>
      </c>
    </row>
    <row r="21" spans="16:16">
      <c r="P21" t="e">
        <f t="shared" si="0"/>
        <v>#DIV/0!</v>
      </c>
    </row>
    <row r="22" spans="16:16">
      <c r="P22" t="e">
        <f t="shared" si="0"/>
        <v>#DIV/0!</v>
      </c>
    </row>
    <row r="23" spans="16:16">
      <c r="P23" t="e">
        <f t="shared" si="0"/>
        <v>#DIV/0!</v>
      </c>
    </row>
    <row r="24" spans="16:16">
      <c r="P24" t="e">
        <f t="shared" si="0"/>
        <v>#DIV/0!</v>
      </c>
    </row>
    <row r="25" spans="16:16">
      <c r="P25" t="e">
        <f t="shared" si="0"/>
        <v>#DIV/0!</v>
      </c>
    </row>
    <row r="26" spans="16:16">
      <c r="P26" t="e">
        <f t="shared" si="0"/>
        <v>#DIV/0!</v>
      </c>
    </row>
  </sheetData>
  <phoneticPr fontId="20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topLeftCell="A110" workbookViewId="0">
      <selection activeCell="H128" sqref="H128"/>
    </sheetView>
  </sheetViews>
  <sheetFormatPr defaultRowHeight="13.5"/>
  <cols>
    <col min="1" max="1" width="4.75" customWidth="1"/>
    <col min="2" max="2" width="39.5" customWidth="1"/>
    <col min="3" max="3" width="18" customWidth="1"/>
    <col min="4" max="4" width="7" customWidth="1"/>
    <col min="5" max="5" width="16.125" customWidth="1"/>
    <col min="6" max="6" width="13.125" customWidth="1"/>
    <col min="7" max="7" width="12.5" customWidth="1"/>
  </cols>
  <sheetData>
    <row r="1" spans="1:8" ht="22.5">
      <c r="A1" s="3346" t="s">
        <v>218</v>
      </c>
      <c r="B1" s="3347" t="s">
        <v>3054</v>
      </c>
      <c r="C1" s="3347" t="s">
        <v>3055</v>
      </c>
      <c r="D1" s="3347" t="s">
        <v>3625</v>
      </c>
      <c r="E1" s="3347" t="s">
        <v>3056</v>
      </c>
      <c r="F1" s="3347" t="s">
        <v>3057</v>
      </c>
      <c r="G1" s="3347" t="s">
        <v>3058</v>
      </c>
    </row>
    <row r="2" spans="1:8" ht="22.5">
      <c r="A2" s="3346">
        <v>1</v>
      </c>
      <c r="B2" s="3348" t="s">
        <v>3059</v>
      </c>
      <c r="C2" s="3349" t="s">
        <v>3060</v>
      </c>
      <c r="D2" s="3349" t="s">
        <v>3626</v>
      </c>
      <c r="E2" s="3347">
        <v>77.900000000000006</v>
      </c>
      <c r="F2" s="3347" t="s">
        <v>3062</v>
      </c>
      <c r="G2" s="3347">
        <v>-1</v>
      </c>
      <c r="H2" s="3793" t="s">
        <v>3063</v>
      </c>
    </row>
    <row r="3" spans="1:8" ht="22.5">
      <c r="A3" s="3346">
        <v>2</v>
      </c>
      <c r="B3" s="3348" t="s">
        <v>3064</v>
      </c>
      <c r="C3" s="3349" t="s">
        <v>3065</v>
      </c>
      <c r="D3" s="3349" t="s">
        <v>3626</v>
      </c>
      <c r="E3" s="3347">
        <v>61.16</v>
      </c>
      <c r="F3" s="3347" t="s">
        <v>3062</v>
      </c>
      <c r="G3" s="3347">
        <v>-1</v>
      </c>
      <c r="H3" s="3794"/>
    </row>
    <row r="4" spans="1:8" ht="22.5">
      <c r="A4" s="3346">
        <v>3</v>
      </c>
      <c r="B4" s="3348" t="s">
        <v>3066</v>
      </c>
      <c r="C4" s="3349" t="s">
        <v>3067</v>
      </c>
      <c r="D4" s="3349" t="s">
        <v>3626</v>
      </c>
      <c r="E4" s="3347">
        <v>95.71</v>
      </c>
      <c r="F4" s="3347" t="s">
        <v>3062</v>
      </c>
      <c r="G4" s="3347">
        <v>-1</v>
      </c>
      <c r="H4" s="3794"/>
    </row>
    <row r="5" spans="1:8" ht="22.5">
      <c r="A5" s="3346">
        <v>4</v>
      </c>
      <c r="B5" s="3348" t="s">
        <v>3068</v>
      </c>
      <c r="C5" s="3349" t="s">
        <v>3069</v>
      </c>
      <c r="D5" s="3349" t="s">
        <v>3626</v>
      </c>
      <c r="E5" s="3347">
        <v>80.28</v>
      </c>
      <c r="F5" s="3347" t="s">
        <v>3062</v>
      </c>
      <c r="G5" s="3347">
        <v>-1</v>
      </c>
      <c r="H5" s="3794"/>
    </row>
    <row r="6" spans="1:8" ht="22.5">
      <c r="A6" s="3346">
        <v>5</v>
      </c>
      <c r="B6" s="3348" t="s">
        <v>3070</v>
      </c>
      <c r="C6" s="3349" t="s">
        <v>3071</v>
      </c>
      <c r="D6" s="3349" t="s">
        <v>3626</v>
      </c>
      <c r="E6" s="3347">
        <v>47.7</v>
      </c>
      <c r="F6" s="3347" t="s">
        <v>3062</v>
      </c>
      <c r="G6" s="3347">
        <v>-1</v>
      </c>
      <c r="H6" s="3794"/>
    </row>
    <row r="7" spans="1:8" ht="22.5">
      <c r="A7" s="3346">
        <v>6</v>
      </c>
      <c r="B7" s="3348" t="s">
        <v>3072</v>
      </c>
      <c r="C7" s="3349" t="s">
        <v>3073</v>
      </c>
      <c r="D7" s="3349" t="s">
        <v>3626</v>
      </c>
      <c r="E7" s="3347">
        <v>57.94</v>
      </c>
      <c r="F7" s="3347" t="s">
        <v>3062</v>
      </c>
      <c r="G7" s="3347">
        <v>-1</v>
      </c>
      <c r="H7" s="3794"/>
    </row>
    <row r="8" spans="1:8" ht="22.5">
      <c r="A8" s="3346">
        <v>7</v>
      </c>
      <c r="B8" s="3348" t="s">
        <v>3074</v>
      </c>
      <c r="C8" s="3349" t="s">
        <v>3075</v>
      </c>
      <c r="D8" s="3349" t="s">
        <v>3626</v>
      </c>
      <c r="E8" s="3347">
        <v>56.08</v>
      </c>
      <c r="F8" s="3347" t="s">
        <v>3062</v>
      </c>
      <c r="G8" s="3347">
        <v>-1</v>
      </c>
      <c r="H8" s="3794"/>
    </row>
    <row r="9" spans="1:8" ht="22.5">
      <c r="A9" s="3346">
        <v>8</v>
      </c>
      <c r="B9" s="3348" t="s">
        <v>3076</v>
      </c>
      <c r="C9" s="3349" t="s">
        <v>3077</v>
      </c>
      <c r="D9" s="3349" t="s">
        <v>3626</v>
      </c>
      <c r="E9" s="3347">
        <v>56.08</v>
      </c>
      <c r="F9" s="3347" t="s">
        <v>3062</v>
      </c>
      <c r="G9" s="3347">
        <v>-1</v>
      </c>
      <c r="H9" s="3794"/>
    </row>
    <row r="10" spans="1:8" ht="22.5">
      <c r="A10" s="3346">
        <v>9</v>
      </c>
      <c r="B10" s="3348" t="s">
        <v>3078</v>
      </c>
      <c r="C10" s="3349" t="s">
        <v>3079</v>
      </c>
      <c r="D10" s="3349" t="s">
        <v>3626</v>
      </c>
      <c r="E10" s="3347">
        <v>56.08</v>
      </c>
      <c r="F10" s="3347" t="s">
        <v>3062</v>
      </c>
      <c r="G10" s="3347">
        <v>-1</v>
      </c>
      <c r="H10" s="3794"/>
    </row>
    <row r="11" spans="1:8" ht="22.5">
      <c r="A11" s="3346">
        <v>10</v>
      </c>
      <c r="B11" s="3348" t="s">
        <v>3080</v>
      </c>
      <c r="C11" s="3349" t="s">
        <v>3081</v>
      </c>
      <c r="D11" s="3349" t="s">
        <v>3626</v>
      </c>
      <c r="E11" s="3347">
        <v>72.540000000000006</v>
      </c>
      <c r="F11" s="3347" t="s">
        <v>3062</v>
      </c>
      <c r="G11" s="3347">
        <v>-1</v>
      </c>
      <c r="H11" s="3794"/>
    </row>
    <row r="12" spans="1:8" ht="22.5">
      <c r="A12" s="3346">
        <v>11</v>
      </c>
      <c r="B12" s="3348" t="s">
        <v>3082</v>
      </c>
      <c r="C12" s="3349" t="s">
        <v>3083</v>
      </c>
      <c r="D12" s="3349" t="s">
        <v>3626</v>
      </c>
      <c r="E12" s="3347">
        <v>72.180000000000007</v>
      </c>
      <c r="F12" s="3347" t="s">
        <v>3062</v>
      </c>
      <c r="G12" s="3347">
        <v>-1</v>
      </c>
      <c r="H12" s="3794"/>
    </row>
    <row r="13" spans="1:8" ht="22.5">
      <c r="A13" s="3346">
        <v>12</v>
      </c>
      <c r="B13" s="3348" t="s">
        <v>3084</v>
      </c>
      <c r="C13" s="3349" t="s">
        <v>3085</v>
      </c>
      <c r="D13" s="3349" t="s">
        <v>3626</v>
      </c>
      <c r="E13" s="3347">
        <v>68.37</v>
      </c>
      <c r="F13" s="3347" t="s">
        <v>3062</v>
      </c>
      <c r="G13" s="3347">
        <v>-1</v>
      </c>
      <c r="H13" s="3794"/>
    </row>
    <row r="14" spans="1:8" ht="22.5">
      <c r="A14" s="3346">
        <v>13</v>
      </c>
      <c r="B14" s="3348" t="s">
        <v>3086</v>
      </c>
      <c r="C14" s="3349" t="s">
        <v>3087</v>
      </c>
      <c r="D14" s="3349" t="s">
        <v>3626</v>
      </c>
      <c r="E14" s="3347">
        <v>55.11</v>
      </c>
      <c r="F14" s="3347" t="s">
        <v>3062</v>
      </c>
      <c r="G14" s="3347">
        <v>-1</v>
      </c>
      <c r="H14" s="3794"/>
    </row>
    <row r="15" spans="1:8" ht="22.5">
      <c r="A15" s="3346">
        <v>14</v>
      </c>
      <c r="B15" s="3348" t="s">
        <v>3088</v>
      </c>
      <c r="C15" s="3349" t="s">
        <v>3089</v>
      </c>
      <c r="D15" s="3349" t="s">
        <v>3626</v>
      </c>
      <c r="E15" s="3347">
        <v>46.64</v>
      </c>
      <c r="F15" s="3347" t="s">
        <v>3062</v>
      </c>
      <c r="G15" s="3347">
        <v>-1</v>
      </c>
      <c r="H15" s="3794"/>
    </row>
    <row r="16" spans="1:8" ht="22.5">
      <c r="A16" s="3346">
        <v>15</v>
      </c>
      <c r="B16" s="3348" t="s">
        <v>3090</v>
      </c>
      <c r="C16" s="3349" t="s">
        <v>3091</v>
      </c>
      <c r="D16" s="3349" t="s">
        <v>3626</v>
      </c>
      <c r="E16" s="3347">
        <v>66.709999999999994</v>
      </c>
      <c r="F16" s="3347" t="s">
        <v>3062</v>
      </c>
      <c r="G16" s="3347">
        <v>-1</v>
      </c>
      <c r="H16" s="3794"/>
    </row>
    <row r="17" spans="1:8" ht="22.5">
      <c r="A17" s="3346">
        <v>16</v>
      </c>
      <c r="B17" s="3348" t="s">
        <v>3092</v>
      </c>
      <c r="C17" s="3349" t="s">
        <v>3093</v>
      </c>
      <c r="D17" s="3349" t="s">
        <v>3626</v>
      </c>
      <c r="E17" s="3347">
        <v>48.4</v>
      </c>
      <c r="F17" s="3347" t="s">
        <v>3062</v>
      </c>
      <c r="G17" s="3347">
        <v>-1</v>
      </c>
      <c r="H17" s="3794"/>
    </row>
    <row r="18" spans="1:8" ht="22.5">
      <c r="A18" s="3346">
        <v>17</v>
      </c>
      <c r="B18" s="3348" t="s">
        <v>3094</v>
      </c>
      <c r="C18" s="3349" t="s">
        <v>3095</v>
      </c>
      <c r="D18" s="3349" t="s">
        <v>3626</v>
      </c>
      <c r="E18" s="3347">
        <v>88.29</v>
      </c>
      <c r="F18" s="3347" t="s">
        <v>3062</v>
      </c>
      <c r="G18" s="3347">
        <v>-1</v>
      </c>
      <c r="H18" s="3794"/>
    </row>
    <row r="19" spans="1:8" ht="22.5">
      <c r="A19" s="3346">
        <v>18</v>
      </c>
      <c r="B19" s="3348" t="s">
        <v>3096</v>
      </c>
      <c r="C19" s="3349" t="s">
        <v>3097</v>
      </c>
      <c r="D19" s="3349" t="s">
        <v>3626</v>
      </c>
      <c r="E19" s="3347">
        <v>59.83</v>
      </c>
      <c r="F19" s="3347" t="s">
        <v>3062</v>
      </c>
      <c r="G19" s="3347">
        <v>-1</v>
      </c>
      <c r="H19" s="3794"/>
    </row>
    <row r="20" spans="1:8" ht="22.5">
      <c r="A20" s="3346">
        <v>19</v>
      </c>
      <c r="B20" s="3348" t="s">
        <v>3098</v>
      </c>
      <c r="C20" s="3349" t="s">
        <v>3099</v>
      </c>
      <c r="D20" s="3349" t="s">
        <v>3626</v>
      </c>
      <c r="E20" s="3347">
        <v>57.5</v>
      </c>
      <c r="F20" s="3347" t="s">
        <v>3062</v>
      </c>
      <c r="G20" s="3347">
        <v>-1</v>
      </c>
      <c r="H20" s="3794"/>
    </row>
    <row r="21" spans="1:8" ht="22.5">
      <c r="A21" s="3346">
        <v>20</v>
      </c>
      <c r="B21" s="3348" t="s">
        <v>3100</v>
      </c>
      <c r="C21" s="3349" t="s">
        <v>3101</v>
      </c>
      <c r="D21" s="3349" t="s">
        <v>3626</v>
      </c>
      <c r="E21" s="3347">
        <v>76.290000000000006</v>
      </c>
      <c r="F21" s="3347" t="s">
        <v>3062</v>
      </c>
      <c r="G21" s="3347">
        <v>-1</v>
      </c>
      <c r="H21" s="3794"/>
    </row>
    <row r="22" spans="1:8" ht="22.5">
      <c r="A22" s="3346">
        <v>21</v>
      </c>
      <c r="B22" s="3348" t="s">
        <v>3102</v>
      </c>
      <c r="C22" s="3349" t="s">
        <v>3103</v>
      </c>
      <c r="D22" s="3349" t="s">
        <v>3626</v>
      </c>
      <c r="E22" s="3347">
        <v>55.71</v>
      </c>
      <c r="F22" s="3347" t="s">
        <v>3062</v>
      </c>
      <c r="G22" s="3347">
        <v>-1</v>
      </c>
      <c r="H22" s="3794"/>
    </row>
    <row r="23" spans="1:8" ht="22.5">
      <c r="A23" s="3346">
        <v>22</v>
      </c>
      <c r="B23" s="3348" t="s">
        <v>3104</v>
      </c>
      <c r="C23" s="3349" t="s">
        <v>3105</v>
      </c>
      <c r="D23" s="3349" t="s">
        <v>3626</v>
      </c>
      <c r="E23" s="3347">
        <v>70.72</v>
      </c>
      <c r="F23" s="3347" t="s">
        <v>3062</v>
      </c>
      <c r="G23" s="3347">
        <v>-1</v>
      </c>
      <c r="H23" s="3794"/>
    </row>
    <row r="24" spans="1:8" ht="22.5">
      <c r="A24" s="3346">
        <v>23</v>
      </c>
      <c r="B24" s="3348" t="s">
        <v>3106</v>
      </c>
      <c r="C24" s="3349" t="s">
        <v>3107</v>
      </c>
      <c r="D24" s="3349" t="s">
        <v>3626</v>
      </c>
      <c r="E24" s="3347">
        <v>66.5</v>
      </c>
      <c r="F24" s="3347" t="s">
        <v>3062</v>
      </c>
      <c r="G24" s="3347">
        <v>-1</v>
      </c>
      <c r="H24" s="3794"/>
    </row>
    <row r="25" spans="1:8" ht="22.5">
      <c r="A25" s="3346">
        <v>24</v>
      </c>
      <c r="B25" s="3348" t="s">
        <v>3108</v>
      </c>
      <c r="C25" s="3349" t="s">
        <v>3109</v>
      </c>
      <c r="D25" s="3349" t="s">
        <v>3626</v>
      </c>
      <c r="E25" s="3347">
        <v>60.13</v>
      </c>
      <c r="F25" s="3347" t="s">
        <v>3062</v>
      </c>
      <c r="G25" s="3347">
        <v>-1</v>
      </c>
      <c r="H25" s="3794"/>
    </row>
    <row r="26" spans="1:8" ht="22.5">
      <c r="A26" s="3346">
        <v>25</v>
      </c>
      <c r="B26" s="3348" t="s">
        <v>3110</v>
      </c>
      <c r="C26" s="3349" t="s">
        <v>3111</v>
      </c>
      <c r="D26" s="3349" t="s">
        <v>3626</v>
      </c>
      <c r="E26" s="3347">
        <v>59.08</v>
      </c>
      <c r="F26" s="3347" t="s">
        <v>3062</v>
      </c>
      <c r="G26" s="3347">
        <v>-1</v>
      </c>
      <c r="H26" s="3794"/>
    </row>
    <row r="27" spans="1:8" ht="22.5">
      <c r="A27" s="3346">
        <v>26</v>
      </c>
      <c r="B27" s="3348" t="s">
        <v>3112</v>
      </c>
      <c r="C27" s="3349" t="s">
        <v>3113</v>
      </c>
      <c r="D27" s="3349" t="s">
        <v>3626</v>
      </c>
      <c r="E27" s="3347">
        <v>66.95</v>
      </c>
      <c r="F27" s="3347" t="s">
        <v>3062</v>
      </c>
      <c r="G27" s="3347">
        <v>-1</v>
      </c>
      <c r="H27" s="3794"/>
    </row>
    <row r="28" spans="1:8" ht="22.5">
      <c r="A28" s="3346">
        <v>27</v>
      </c>
      <c r="B28" s="3348" t="s">
        <v>3114</v>
      </c>
      <c r="C28" s="3349" t="s">
        <v>3115</v>
      </c>
      <c r="D28" s="3349" t="s">
        <v>3626</v>
      </c>
      <c r="E28" s="3347">
        <v>68.88</v>
      </c>
      <c r="F28" s="3347" t="s">
        <v>3062</v>
      </c>
      <c r="G28" s="3347">
        <v>-1</v>
      </c>
      <c r="H28" s="3794"/>
    </row>
    <row r="29" spans="1:8" ht="22.5">
      <c r="A29" s="3346">
        <v>28</v>
      </c>
      <c r="B29" s="3348" t="s">
        <v>3116</v>
      </c>
      <c r="C29" s="3349" t="s">
        <v>3117</v>
      </c>
      <c r="D29" s="3349" t="s">
        <v>3626</v>
      </c>
      <c r="E29" s="3347">
        <v>103.62</v>
      </c>
      <c r="F29" s="3347" t="s">
        <v>3062</v>
      </c>
      <c r="G29" s="3347">
        <v>-1</v>
      </c>
      <c r="H29" s="3794"/>
    </row>
    <row r="30" spans="1:8" ht="22.5">
      <c r="A30" s="3346">
        <v>29</v>
      </c>
      <c r="B30" s="3348" t="s">
        <v>3118</v>
      </c>
      <c r="C30" s="3349" t="s">
        <v>3119</v>
      </c>
      <c r="D30" s="3349" t="s">
        <v>3626</v>
      </c>
      <c r="E30" s="3347">
        <v>74.22</v>
      </c>
      <c r="F30" s="3347" t="s">
        <v>3062</v>
      </c>
      <c r="G30" s="3347">
        <v>-1</v>
      </c>
      <c r="H30" s="3794"/>
    </row>
    <row r="31" spans="1:8" ht="22.5">
      <c r="A31" s="3346">
        <v>30</v>
      </c>
      <c r="B31" s="3348" t="s">
        <v>3120</v>
      </c>
      <c r="C31" s="3349" t="s">
        <v>3121</v>
      </c>
      <c r="D31" s="3349" t="s">
        <v>3626</v>
      </c>
      <c r="E31" s="3347">
        <v>83.2</v>
      </c>
      <c r="F31" s="3347" t="s">
        <v>3062</v>
      </c>
      <c r="G31" s="3347">
        <v>-1</v>
      </c>
      <c r="H31" s="3794"/>
    </row>
    <row r="32" spans="1:8" ht="22.5">
      <c r="A32" s="3346">
        <v>31</v>
      </c>
      <c r="B32" s="3348" t="s">
        <v>3122</v>
      </c>
      <c r="C32" s="3349" t="s">
        <v>3123</v>
      </c>
      <c r="D32" s="3349" t="s">
        <v>3626</v>
      </c>
      <c r="E32" s="3347">
        <v>77.540000000000006</v>
      </c>
      <c r="F32" s="3347" t="s">
        <v>3062</v>
      </c>
      <c r="G32" s="3347">
        <v>-1</v>
      </c>
      <c r="H32" s="3794"/>
    </row>
    <row r="33" spans="1:8" ht="22.5">
      <c r="A33" s="3346">
        <v>32</v>
      </c>
      <c r="B33" s="3348" t="s">
        <v>3124</v>
      </c>
      <c r="C33" s="3349" t="s">
        <v>3125</v>
      </c>
      <c r="D33" s="3349" t="s">
        <v>3626</v>
      </c>
      <c r="E33" s="3347">
        <v>102.9</v>
      </c>
      <c r="F33" s="3347" t="s">
        <v>3062</v>
      </c>
      <c r="G33" s="3347">
        <v>-1</v>
      </c>
      <c r="H33" s="3794"/>
    </row>
    <row r="34" spans="1:8" ht="22.5">
      <c r="A34" s="3346">
        <v>33</v>
      </c>
      <c r="B34" s="3348" t="s">
        <v>3126</v>
      </c>
      <c r="C34" s="3349" t="s">
        <v>3127</v>
      </c>
      <c r="D34" s="3349" t="s">
        <v>3626</v>
      </c>
      <c r="E34" s="3347">
        <v>74.28</v>
      </c>
      <c r="F34" s="3347" t="s">
        <v>3062</v>
      </c>
      <c r="G34" s="3347">
        <v>-1</v>
      </c>
      <c r="H34" s="3794"/>
    </row>
    <row r="35" spans="1:8" ht="22.5">
      <c r="A35" s="3346">
        <v>34</v>
      </c>
      <c r="B35" s="3348" t="s">
        <v>3128</v>
      </c>
      <c r="C35" s="3349" t="s">
        <v>3129</v>
      </c>
      <c r="D35" s="3349" t="s">
        <v>3626</v>
      </c>
      <c r="E35" s="3347">
        <v>72.64</v>
      </c>
      <c r="F35" s="3347" t="s">
        <v>3062</v>
      </c>
      <c r="G35" s="3347">
        <v>-1</v>
      </c>
      <c r="H35" s="3794"/>
    </row>
    <row r="36" spans="1:8" ht="22.5">
      <c r="A36" s="3346">
        <v>35</v>
      </c>
      <c r="B36" s="3348" t="s">
        <v>3130</v>
      </c>
      <c r="C36" s="3349" t="s">
        <v>3131</v>
      </c>
      <c r="D36" s="3349" t="s">
        <v>3626</v>
      </c>
      <c r="E36" s="3347">
        <v>51.9</v>
      </c>
      <c r="F36" s="3347" t="s">
        <v>3062</v>
      </c>
      <c r="G36" s="3347">
        <v>-1</v>
      </c>
      <c r="H36" s="3794"/>
    </row>
    <row r="37" spans="1:8" ht="22.5">
      <c r="A37" s="3346">
        <v>36</v>
      </c>
      <c r="B37" s="3348" t="s">
        <v>3132</v>
      </c>
      <c r="C37" s="3349" t="s">
        <v>3133</v>
      </c>
      <c r="D37" s="3349" t="s">
        <v>3626</v>
      </c>
      <c r="E37" s="3347">
        <v>83.85</v>
      </c>
      <c r="F37" s="3347" t="s">
        <v>3062</v>
      </c>
      <c r="G37" s="3347">
        <v>-1</v>
      </c>
      <c r="H37" s="3794"/>
    </row>
    <row r="38" spans="1:8" ht="22.5">
      <c r="A38" s="3346">
        <v>37</v>
      </c>
      <c r="B38" s="3348" t="s">
        <v>3134</v>
      </c>
      <c r="C38" s="3349" t="s">
        <v>3135</v>
      </c>
      <c r="D38" s="3349" t="s">
        <v>3626</v>
      </c>
      <c r="E38" s="3347">
        <v>84.26</v>
      </c>
      <c r="F38" s="3347" t="s">
        <v>3062</v>
      </c>
      <c r="G38" s="3347">
        <v>-1</v>
      </c>
      <c r="H38" s="3794"/>
    </row>
    <row r="39" spans="1:8" ht="22.5">
      <c r="A39" s="3346">
        <v>38</v>
      </c>
      <c r="B39" s="3348" t="s">
        <v>3136</v>
      </c>
      <c r="C39" s="3349" t="s">
        <v>3137</v>
      </c>
      <c r="D39" s="3349" t="s">
        <v>3626</v>
      </c>
      <c r="E39" s="3347">
        <v>84.07</v>
      </c>
      <c r="F39" s="3347" t="s">
        <v>3062</v>
      </c>
      <c r="G39" s="3347">
        <v>-1</v>
      </c>
      <c r="H39" s="3794"/>
    </row>
    <row r="40" spans="1:8" ht="22.5">
      <c r="A40" s="3346">
        <v>39</v>
      </c>
      <c r="B40" s="3348" t="s">
        <v>3138</v>
      </c>
      <c r="C40" s="3349" t="s">
        <v>3139</v>
      </c>
      <c r="D40" s="3349" t="s">
        <v>3626</v>
      </c>
      <c r="E40" s="3347">
        <v>73.400000000000006</v>
      </c>
      <c r="F40" s="3347" t="s">
        <v>3062</v>
      </c>
      <c r="G40" s="3347">
        <v>-1</v>
      </c>
      <c r="H40" s="3794"/>
    </row>
    <row r="41" spans="1:8" ht="22.5">
      <c r="A41" s="3346">
        <v>40</v>
      </c>
      <c r="B41" s="3348" t="s">
        <v>3140</v>
      </c>
      <c r="C41" s="3349" t="s">
        <v>3141</v>
      </c>
      <c r="D41" s="3349" t="s">
        <v>3626</v>
      </c>
      <c r="E41" s="3347">
        <v>1562.46</v>
      </c>
      <c r="F41" s="3347" t="s">
        <v>3062</v>
      </c>
      <c r="G41" s="3347">
        <v>-1</v>
      </c>
      <c r="H41" s="3794"/>
    </row>
    <row r="42" spans="1:8" ht="22.5">
      <c r="A42" s="3346">
        <v>52</v>
      </c>
      <c r="B42" s="3349" t="s">
        <v>3142</v>
      </c>
      <c r="C42" s="3349" t="s">
        <v>3143</v>
      </c>
      <c r="D42" s="3349" t="s">
        <v>3627</v>
      </c>
      <c r="E42" s="3347">
        <v>140.27000000000001</v>
      </c>
      <c r="F42" s="3347" t="s">
        <v>3144</v>
      </c>
      <c r="G42" s="3347" t="s">
        <v>3146</v>
      </c>
      <c r="H42" s="3794"/>
    </row>
    <row r="43" spans="1:8" ht="22.5">
      <c r="A43" s="3346">
        <v>53</v>
      </c>
      <c r="B43" s="3349" t="s">
        <v>3147</v>
      </c>
      <c r="C43" s="3349" t="s">
        <v>3148</v>
      </c>
      <c r="D43" s="3349" t="s">
        <v>3627</v>
      </c>
      <c r="E43" s="3347">
        <v>66.41</v>
      </c>
      <c r="F43" s="3347" t="s">
        <v>3144</v>
      </c>
      <c r="G43" s="3347" t="s">
        <v>3149</v>
      </c>
      <c r="H43" s="3794"/>
    </row>
    <row r="44" spans="1:8" ht="22.5">
      <c r="A44" s="3346">
        <v>54</v>
      </c>
      <c r="B44" s="3349" t="s">
        <v>3150</v>
      </c>
      <c r="C44" s="3349" t="s">
        <v>3151</v>
      </c>
      <c r="D44" s="3349" t="s">
        <v>3627</v>
      </c>
      <c r="E44" s="3347">
        <v>300.94</v>
      </c>
      <c r="F44" s="3347" t="s">
        <v>3144</v>
      </c>
      <c r="G44" s="3347" t="s">
        <v>3146</v>
      </c>
      <c r="H44" s="3794"/>
    </row>
    <row r="45" spans="1:8" ht="22.5">
      <c r="A45" s="3346">
        <v>55</v>
      </c>
      <c r="B45" s="3349" t="s">
        <v>3152</v>
      </c>
      <c r="C45" s="3349" t="s">
        <v>3153</v>
      </c>
      <c r="D45" s="3349" t="s">
        <v>3627</v>
      </c>
      <c r="E45" s="3347">
        <v>63.86</v>
      </c>
      <c r="F45" s="3347" t="s">
        <v>3144</v>
      </c>
      <c r="G45" s="3347" t="s">
        <v>3149</v>
      </c>
      <c r="H45" s="3794"/>
    </row>
    <row r="46" spans="1:8" ht="33.75">
      <c r="A46" s="3346">
        <v>56</v>
      </c>
      <c r="B46" s="3349" t="s">
        <v>3154</v>
      </c>
      <c r="C46" s="3349" t="s">
        <v>3155</v>
      </c>
      <c r="D46" s="3349" t="s">
        <v>3627</v>
      </c>
      <c r="E46" s="3347">
        <v>82.62</v>
      </c>
      <c r="F46" s="3347" t="s">
        <v>3144</v>
      </c>
      <c r="G46" s="3347" t="s">
        <v>3149</v>
      </c>
      <c r="H46" s="3794"/>
    </row>
    <row r="47" spans="1:8" ht="22.5">
      <c r="A47" s="3346">
        <v>57</v>
      </c>
      <c r="B47" s="3349" t="s">
        <v>3156</v>
      </c>
      <c r="C47" s="3349" t="s">
        <v>3157</v>
      </c>
      <c r="D47" s="3349" t="s">
        <v>3627</v>
      </c>
      <c r="E47" s="3347">
        <v>65.08</v>
      </c>
      <c r="F47" s="3347" t="s">
        <v>3144</v>
      </c>
      <c r="G47" s="3347">
        <v>1</v>
      </c>
      <c r="H47" s="3794"/>
    </row>
    <row r="48" spans="1:8" ht="22.5">
      <c r="A48" s="3346">
        <v>58</v>
      </c>
      <c r="B48" s="3349" t="s">
        <v>3158</v>
      </c>
      <c r="C48" s="3349" t="s">
        <v>3159</v>
      </c>
      <c r="D48" s="3349" t="s">
        <v>3627</v>
      </c>
      <c r="E48" s="3347">
        <v>35.78</v>
      </c>
      <c r="F48" s="3347" t="s">
        <v>3144</v>
      </c>
      <c r="G48" s="3347">
        <v>1</v>
      </c>
      <c r="H48" s="3794"/>
    </row>
    <row r="49" spans="1:8" ht="22.5">
      <c r="A49" s="3346">
        <v>59</v>
      </c>
      <c r="B49" s="3349" t="s">
        <v>3160</v>
      </c>
      <c r="C49" s="3349" t="s">
        <v>3161</v>
      </c>
      <c r="D49" s="3349" t="s">
        <v>3628</v>
      </c>
      <c r="E49" s="3347">
        <v>39.79</v>
      </c>
      <c r="F49" s="3347" t="s">
        <v>3162</v>
      </c>
      <c r="G49" s="3347">
        <v>1</v>
      </c>
      <c r="H49" s="3794"/>
    </row>
    <row r="50" spans="1:8" ht="22.5">
      <c r="A50" s="3346">
        <v>60</v>
      </c>
      <c r="B50" s="3349" t="s">
        <v>3163</v>
      </c>
      <c r="C50" s="3349" t="s">
        <v>3164</v>
      </c>
      <c r="D50" s="3349" t="s">
        <v>3629</v>
      </c>
      <c r="E50" s="3347">
        <v>103.72</v>
      </c>
      <c r="F50" s="3347" t="s">
        <v>3165</v>
      </c>
      <c r="G50" s="3347" t="s">
        <v>3146</v>
      </c>
      <c r="H50" s="3794"/>
    </row>
    <row r="51" spans="1:8" ht="22.5">
      <c r="A51" s="3346">
        <v>61</v>
      </c>
      <c r="B51" s="3349" t="s">
        <v>3166</v>
      </c>
      <c r="C51" s="3349" t="s">
        <v>3167</v>
      </c>
      <c r="D51" s="3349" t="s">
        <v>3629</v>
      </c>
      <c r="E51" s="3347">
        <v>94.32</v>
      </c>
      <c r="F51" s="3347" t="s">
        <v>3165</v>
      </c>
      <c r="G51" s="3347" t="s">
        <v>3146</v>
      </c>
      <c r="H51" s="3794"/>
    </row>
    <row r="52" spans="1:8" ht="22.5">
      <c r="A52" s="3346">
        <v>62</v>
      </c>
      <c r="B52" s="3349" t="s">
        <v>3168</v>
      </c>
      <c r="C52" s="3349" t="s">
        <v>3169</v>
      </c>
      <c r="D52" s="3349" t="s">
        <v>3629</v>
      </c>
      <c r="E52" s="3347">
        <v>112.6</v>
      </c>
      <c r="F52" s="3347" t="s">
        <v>3165</v>
      </c>
      <c r="G52" s="3347" t="s">
        <v>3146</v>
      </c>
      <c r="H52" s="3794"/>
    </row>
    <row r="53" spans="1:8" ht="22.5">
      <c r="A53" s="3346">
        <v>63</v>
      </c>
      <c r="B53" s="3349" t="s">
        <v>3170</v>
      </c>
      <c r="C53" s="3349" t="s">
        <v>3171</v>
      </c>
      <c r="D53" s="3349" t="s">
        <v>3629</v>
      </c>
      <c r="E53" s="3347">
        <v>112.6</v>
      </c>
      <c r="F53" s="3347" t="s">
        <v>3165</v>
      </c>
      <c r="G53" s="3347" t="s">
        <v>3146</v>
      </c>
      <c r="H53" s="3794"/>
    </row>
    <row r="54" spans="1:8" ht="22.5">
      <c r="A54" s="3346">
        <v>64</v>
      </c>
      <c r="B54" s="3349" t="s">
        <v>3172</v>
      </c>
      <c r="C54" s="3349" t="s">
        <v>3173</v>
      </c>
      <c r="D54" s="3349" t="s">
        <v>3629</v>
      </c>
      <c r="E54" s="3347">
        <v>112.6</v>
      </c>
      <c r="F54" s="3347" t="s">
        <v>3165</v>
      </c>
      <c r="G54" s="3347" t="s">
        <v>3146</v>
      </c>
      <c r="H54" s="3794"/>
    </row>
    <row r="55" spans="1:8" ht="22.5">
      <c r="A55" s="3346">
        <v>65</v>
      </c>
      <c r="B55" s="3349" t="s">
        <v>3174</v>
      </c>
      <c r="C55" s="3349" t="s">
        <v>3175</v>
      </c>
      <c r="D55" s="3349" t="s">
        <v>3629</v>
      </c>
      <c r="E55" s="3347">
        <v>242.56</v>
      </c>
      <c r="F55" s="3347" t="s">
        <v>3165</v>
      </c>
      <c r="G55" s="3347" t="s">
        <v>3146</v>
      </c>
      <c r="H55" s="3794"/>
    </row>
    <row r="56" spans="1:8" ht="22.5">
      <c r="A56" s="3346">
        <v>66</v>
      </c>
      <c r="B56" s="3349" t="s">
        <v>3176</v>
      </c>
      <c r="C56" s="3349" t="s">
        <v>3177</v>
      </c>
      <c r="D56" s="3349" t="s">
        <v>3629</v>
      </c>
      <c r="E56" s="3347">
        <v>119.91</v>
      </c>
      <c r="F56" s="3347" t="s">
        <v>3165</v>
      </c>
      <c r="G56" s="3347">
        <v>1</v>
      </c>
      <c r="H56" s="3794"/>
    </row>
    <row r="57" spans="1:8" ht="22.5">
      <c r="A57" s="3346">
        <v>67</v>
      </c>
      <c r="B57" s="3349" t="s">
        <v>3178</v>
      </c>
      <c r="C57" s="3349" t="s">
        <v>3179</v>
      </c>
      <c r="D57" s="3349" t="s">
        <v>3629</v>
      </c>
      <c r="E57" s="3347">
        <v>105.61</v>
      </c>
      <c r="F57" s="3347" t="s">
        <v>3165</v>
      </c>
      <c r="G57" s="3347">
        <v>1</v>
      </c>
      <c r="H57" s="3794"/>
    </row>
    <row r="58" spans="1:8" ht="22.5">
      <c r="A58" s="3346">
        <v>68</v>
      </c>
      <c r="B58" s="3349" t="s">
        <v>3180</v>
      </c>
      <c r="C58" s="3349" t="s">
        <v>3181</v>
      </c>
      <c r="D58" s="3349" t="s">
        <v>3629</v>
      </c>
      <c r="E58" s="3347">
        <v>64.83</v>
      </c>
      <c r="F58" s="3347" t="s">
        <v>3165</v>
      </c>
      <c r="G58" s="3347">
        <v>1</v>
      </c>
      <c r="H58" s="3794"/>
    </row>
    <row r="59" spans="1:8" ht="22.5">
      <c r="A59" s="3346">
        <v>69</v>
      </c>
      <c r="B59" s="3349" t="s">
        <v>3182</v>
      </c>
      <c r="C59" s="3349" t="s">
        <v>3183</v>
      </c>
      <c r="D59" s="3349" t="s">
        <v>3629</v>
      </c>
      <c r="E59" s="3347">
        <v>62.55</v>
      </c>
      <c r="F59" s="3347" t="s">
        <v>3165</v>
      </c>
      <c r="G59" s="3347">
        <v>1</v>
      </c>
      <c r="H59" s="3794"/>
    </row>
    <row r="60" spans="1:8" ht="22.5">
      <c r="A60" s="3346">
        <v>70</v>
      </c>
      <c r="B60" s="3349" t="s">
        <v>3184</v>
      </c>
      <c r="C60" s="3349" t="s">
        <v>3185</v>
      </c>
      <c r="D60" s="3349" t="s">
        <v>3629</v>
      </c>
      <c r="E60" s="3347">
        <v>50.37</v>
      </c>
      <c r="F60" s="3347" t="s">
        <v>3165</v>
      </c>
      <c r="G60" s="3347">
        <v>1</v>
      </c>
      <c r="H60" s="3794"/>
    </row>
    <row r="61" spans="1:8" ht="22.5">
      <c r="A61" s="3346">
        <v>71</v>
      </c>
      <c r="B61" s="3349" t="s">
        <v>3186</v>
      </c>
      <c r="C61" s="3349" t="s">
        <v>3187</v>
      </c>
      <c r="D61" s="3349" t="s">
        <v>3629</v>
      </c>
      <c r="E61" s="3347">
        <v>106.46</v>
      </c>
      <c r="F61" s="3347" t="s">
        <v>3165</v>
      </c>
      <c r="G61" s="3347">
        <v>1</v>
      </c>
      <c r="H61" s="3794"/>
    </row>
    <row r="62" spans="1:8" ht="22.5">
      <c r="A62" s="3346">
        <v>72</v>
      </c>
      <c r="B62" s="3349" t="s">
        <v>3188</v>
      </c>
      <c r="C62" s="3349" t="s">
        <v>3189</v>
      </c>
      <c r="D62" s="3349" t="s">
        <v>3629</v>
      </c>
      <c r="E62" s="3350">
        <v>101.71</v>
      </c>
      <c r="F62" s="3347" t="s">
        <v>3165</v>
      </c>
      <c r="G62" s="3347">
        <v>2</v>
      </c>
      <c r="H62" s="3794"/>
    </row>
    <row r="63" spans="1:8" ht="22.5">
      <c r="A63" s="3346">
        <v>73</v>
      </c>
      <c r="B63" s="3349" t="s">
        <v>3190</v>
      </c>
      <c r="C63" s="3349" t="s">
        <v>3191</v>
      </c>
      <c r="D63" s="3349" t="s">
        <v>3629</v>
      </c>
      <c r="E63" s="3350">
        <v>60.84</v>
      </c>
      <c r="F63" s="3347" t="s">
        <v>3165</v>
      </c>
      <c r="G63" s="3347">
        <v>2</v>
      </c>
      <c r="H63" s="3794"/>
    </row>
    <row r="64" spans="1:8" ht="22.5">
      <c r="A64" s="3346">
        <v>74</v>
      </c>
      <c r="B64" s="3349" t="s">
        <v>3192</v>
      </c>
      <c r="C64" s="3349" t="s">
        <v>3193</v>
      </c>
      <c r="D64" s="3349" t="s">
        <v>3629</v>
      </c>
      <c r="E64" s="3350">
        <v>65.88</v>
      </c>
      <c r="F64" s="3347" t="s">
        <v>3165</v>
      </c>
      <c r="G64" s="3347">
        <v>2</v>
      </c>
      <c r="H64" s="3794"/>
    </row>
    <row r="65" spans="1:9" ht="22.5">
      <c r="A65" s="3346">
        <v>75</v>
      </c>
      <c r="B65" s="3349" t="s">
        <v>3194</v>
      </c>
      <c r="C65" s="3349" t="s">
        <v>3195</v>
      </c>
      <c r="D65" s="3349" t="s">
        <v>3629</v>
      </c>
      <c r="E65" s="3350">
        <v>58.03</v>
      </c>
      <c r="F65" s="3347" t="s">
        <v>3165</v>
      </c>
      <c r="G65" s="3347">
        <v>2</v>
      </c>
      <c r="H65" s="3794"/>
    </row>
    <row r="66" spans="1:9" ht="22.5">
      <c r="A66" s="3346">
        <v>76</v>
      </c>
      <c r="B66" s="3349" t="s">
        <v>3196</v>
      </c>
      <c r="C66" s="3349" t="s">
        <v>3197</v>
      </c>
      <c r="D66" s="3349" t="s">
        <v>3629</v>
      </c>
      <c r="E66" s="3350">
        <v>61.88</v>
      </c>
      <c r="F66" s="3347" t="s">
        <v>3165</v>
      </c>
      <c r="G66" s="3347">
        <v>2</v>
      </c>
      <c r="H66" s="3794"/>
    </row>
    <row r="67" spans="1:9" ht="22.5">
      <c r="A67" s="3346">
        <v>77</v>
      </c>
      <c r="B67" s="3349" t="s">
        <v>3198</v>
      </c>
      <c r="C67" s="3349" t="s">
        <v>3199</v>
      </c>
      <c r="D67" s="3349" t="s">
        <v>3629</v>
      </c>
      <c r="E67" s="3350">
        <v>53.44</v>
      </c>
      <c r="F67" s="3347" t="s">
        <v>3165</v>
      </c>
      <c r="G67" s="3347">
        <v>2</v>
      </c>
      <c r="H67" s="3794"/>
    </row>
    <row r="68" spans="1:9" ht="22.5">
      <c r="A68" s="3346">
        <v>78</v>
      </c>
      <c r="B68" s="3349" t="s">
        <v>3200</v>
      </c>
      <c r="C68" s="3349" t="s">
        <v>3201</v>
      </c>
      <c r="D68" s="3349" t="s">
        <v>3629</v>
      </c>
      <c r="E68" s="3350">
        <v>84.08</v>
      </c>
      <c r="F68" s="3347" t="s">
        <v>3165</v>
      </c>
      <c r="G68" s="3347">
        <v>2</v>
      </c>
      <c r="H68" s="3794"/>
    </row>
    <row r="69" spans="1:9" s="3398" customFormat="1" ht="22.5">
      <c r="A69" s="3396">
        <v>79</v>
      </c>
      <c r="B69" s="3397" t="s">
        <v>3202</v>
      </c>
      <c r="C69" s="3397" t="s">
        <v>3203</v>
      </c>
      <c r="D69" s="3397" t="s">
        <v>3630</v>
      </c>
      <c r="E69" s="3351">
        <v>97.04</v>
      </c>
      <c r="F69" s="3351" t="s">
        <v>3204</v>
      </c>
      <c r="G69" s="3351">
        <v>1</v>
      </c>
      <c r="H69" s="3794"/>
      <c r="I69" s="3352" t="s">
        <v>3205</v>
      </c>
    </row>
    <row r="70" spans="1:9" ht="22.5">
      <c r="A70" s="3346">
        <v>80</v>
      </c>
      <c r="B70" s="3349" t="s">
        <v>3206</v>
      </c>
      <c r="C70" s="3349" t="s">
        <v>3207</v>
      </c>
      <c r="D70" s="3349" t="s">
        <v>3630</v>
      </c>
      <c r="E70" s="3347">
        <v>106.1</v>
      </c>
      <c r="F70" s="3347" t="s">
        <v>3204</v>
      </c>
      <c r="G70" s="3347">
        <v>1</v>
      </c>
      <c r="H70" s="3794"/>
    </row>
    <row r="71" spans="1:9" ht="22.5">
      <c r="A71" s="3346">
        <v>81</v>
      </c>
      <c r="B71" s="3349" t="s">
        <v>3208</v>
      </c>
      <c r="C71" s="3349" t="s">
        <v>3209</v>
      </c>
      <c r="D71" s="3349" t="s">
        <v>3630</v>
      </c>
      <c r="E71" s="3347">
        <v>132.52000000000001</v>
      </c>
      <c r="F71" s="3347" t="s">
        <v>3204</v>
      </c>
      <c r="G71" s="3347">
        <v>1</v>
      </c>
      <c r="H71" s="3794"/>
    </row>
    <row r="72" spans="1:9" ht="22.5">
      <c r="A72" s="3346">
        <v>82</v>
      </c>
      <c r="B72" s="3349" t="s">
        <v>3210</v>
      </c>
      <c r="C72" s="3349" t="s">
        <v>3211</v>
      </c>
      <c r="D72" s="3349" t="s">
        <v>3630</v>
      </c>
      <c r="E72" s="3347">
        <v>145.62</v>
      </c>
      <c r="F72" s="3347" t="s">
        <v>3204</v>
      </c>
      <c r="G72" s="3347">
        <v>1</v>
      </c>
      <c r="H72" s="3794"/>
    </row>
    <row r="73" spans="1:9" ht="22.5">
      <c r="A73" s="3346">
        <v>83</v>
      </c>
      <c r="B73" s="3349" t="s">
        <v>3212</v>
      </c>
      <c r="C73" s="3349" t="s">
        <v>3213</v>
      </c>
      <c r="D73" s="3349" t="s">
        <v>3630</v>
      </c>
      <c r="E73" s="3347">
        <v>101.08</v>
      </c>
      <c r="F73" s="3347" t="s">
        <v>3204</v>
      </c>
      <c r="G73" s="3347">
        <v>1</v>
      </c>
      <c r="H73" s="3794"/>
    </row>
    <row r="74" spans="1:9" ht="22.5">
      <c r="A74" s="3346">
        <v>84</v>
      </c>
      <c r="B74" s="3349" t="s">
        <v>3214</v>
      </c>
      <c r="C74" s="3349" t="s">
        <v>3215</v>
      </c>
      <c r="D74" s="3349" t="s">
        <v>3630</v>
      </c>
      <c r="E74" s="3347">
        <v>205.73</v>
      </c>
      <c r="F74" s="3347" t="s">
        <v>3204</v>
      </c>
      <c r="G74" s="3347">
        <v>1</v>
      </c>
      <c r="H74" s="3794"/>
    </row>
    <row r="75" spans="1:9" ht="22.5">
      <c r="A75" s="3346">
        <v>85</v>
      </c>
      <c r="B75" s="3349" t="s">
        <v>3216</v>
      </c>
      <c r="C75" s="3349" t="s">
        <v>3217</v>
      </c>
      <c r="D75" s="3349" t="s">
        <v>3630</v>
      </c>
      <c r="E75" s="3347">
        <v>76.75</v>
      </c>
      <c r="F75" s="3347" t="s">
        <v>3204</v>
      </c>
      <c r="G75" s="3347">
        <v>1</v>
      </c>
      <c r="H75" s="3794"/>
    </row>
    <row r="76" spans="1:9" ht="22.5">
      <c r="A76" s="3346">
        <v>86</v>
      </c>
      <c r="B76" s="3349" t="s">
        <v>3218</v>
      </c>
      <c r="C76" s="3349" t="s">
        <v>3219</v>
      </c>
      <c r="D76" s="3349" t="s">
        <v>3630</v>
      </c>
      <c r="E76" s="3347">
        <v>102.34</v>
      </c>
      <c r="F76" s="3347" t="s">
        <v>3204</v>
      </c>
      <c r="G76" s="3347">
        <v>2</v>
      </c>
      <c r="H76" s="3794"/>
    </row>
    <row r="77" spans="1:9" ht="22.5">
      <c r="A77" s="3346">
        <v>87</v>
      </c>
      <c r="B77" s="3349" t="s">
        <v>3220</v>
      </c>
      <c r="C77" s="3349" t="s">
        <v>3221</v>
      </c>
      <c r="D77" s="3349" t="s">
        <v>3630</v>
      </c>
      <c r="E77" s="3347">
        <v>57.07</v>
      </c>
      <c r="F77" s="3347" t="s">
        <v>3204</v>
      </c>
      <c r="G77" s="3347">
        <v>2</v>
      </c>
      <c r="H77" s="3794"/>
    </row>
    <row r="78" spans="1:9" ht="22.5">
      <c r="A78" s="3346">
        <v>88</v>
      </c>
      <c r="B78" s="3349" t="s">
        <v>3222</v>
      </c>
      <c r="C78" s="3349" t="s">
        <v>3223</v>
      </c>
      <c r="D78" s="3349" t="s">
        <v>3630</v>
      </c>
      <c r="E78" s="3347">
        <v>54.81</v>
      </c>
      <c r="F78" s="3347" t="s">
        <v>3204</v>
      </c>
      <c r="G78" s="3347">
        <v>2</v>
      </c>
      <c r="H78" s="3794"/>
    </row>
    <row r="79" spans="1:9" ht="22.5">
      <c r="A79" s="3346">
        <v>89</v>
      </c>
      <c r="B79" s="3349" t="s">
        <v>3224</v>
      </c>
      <c r="C79" s="3349" t="s">
        <v>3225</v>
      </c>
      <c r="D79" s="3349" t="s">
        <v>3630</v>
      </c>
      <c r="E79" s="3347">
        <v>48.1</v>
      </c>
      <c r="F79" s="3347" t="s">
        <v>3204</v>
      </c>
      <c r="G79" s="3347">
        <v>2</v>
      </c>
      <c r="H79" s="3794"/>
    </row>
    <row r="80" spans="1:9" ht="22.5">
      <c r="A80" s="3346">
        <v>90</v>
      </c>
      <c r="B80" s="3349" t="s">
        <v>3226</v>
      </c>
      <c r="C80" s="3349" t="s">
        <v>3227</v>
      </c>
      <c r="D80" s="3349" t="s">
        <v>3630</v>
      </c>
      <c r="E80" s="3347">
        <v>108.56</v>
      </c>
      <c r="F80" s="3347" t="s">
        <v>3204</v>
      </c>
      <c r="G80" s="3347">
        <v>2</v>
      </c>
      <c r="H80" s="3794"/>
    </row>
    <row r="81" spans="1:8" ht="22.5">
      <c r="A81" s="3346">
        <v>91</v>
      </c>
      <c r="B81" s="3349" t="s">
        <v>3228</v>
      </c>
      <c r="C81" s="3349" t="s">
        <v>3229</v>
      </c>
      <c r="D81" s="3349" t="s">
        <v>3630</v>
      </c>
      <c r="E81" s="3347">
        <v>52.86</v>
      </c>
      <c r="F81" s="3347" t="s">
        <v>3204</v>
      </c>
      <c r="G81" s="3347">
        <v>2</v>
      </c>
      <c r="H81" s="3794"/>
    </row>
    <row r="82" spans="1:8" ht="22.5">
      <c r="A82" s="3346">
        <v>92</v>
      </c>
      <c r="B82" s="3349" t="s">
        <v>3230</v>
      </c>
      <c r="C82" s="3349" t="s">
        <v>3231</v>
      </c>
      <c r="D82" s="3349" t="s">
        <v>3630</v>
      </c>
      <c r="E82" s="3347">
        <v>80.19</v>
      </c>
      <c r="F82" s="3347" t="s">
        <v>3204</v>
      </c>
      <c r="G82" s="3347">
        <v>2</v>
      </c>
      <c r="H82" s="3794"/>
    </row>
    <row r="83" spans="1:8" ht="22.5">
      <c r="A83" s="3346">
        <v>93</v>
      </c>
      <c r="B83" s="3349" t="s">
        <v>3232</v>
      </c>
      <c r="C83" s="3349" t="s">
        <v>3233</v>
      </c>
      <c r="D83" s="3349" t="s">
        <v>3630</v>
      </c>
      <c r="E83" s="3347">
        <v>55.73</v>
      </c>
      <c r="F83" s="3347" t="s">
        <v>3204</v>
      </c>
      <c r="G83" s="3347">
        <v>2</v>
      </c>
      <c r="H83" s="3794"/>
    </row>
    <row r="84" spans="1:8" ht="22.5">
      <c r="A84" s="3346">
        <v>94</v>
      </c>
      <c r="B84" s="3349" t="s">
        <v>3234</v>
      </c>
      <c r="C84" s="3349" t="s">
        <v>3235</v>
      </c>
      <c r="D84" s="3349" t="s">
        <v>3630</v>
      </c>
      <c r="E84" s="3347">
        <v>32.33</v>
      </c>
      <c r="F84" s="3347" t="s">
        <v>3204</v>
      </c>
      <c r="G84" s="3347">
        <v>2</v>
      </c>
      <c r="H84" s="3794"/>
    </row>
    <row r="85" spans="1:8" ht="22.5">
      <c r="A85" s="3346">
        <v>95</v>
      </c>
      <c r="B85" s="3349" t="s">
        <v>3236</v>
      </c>
      <c r="C85" s="3349" t="s">
        <v>3237</v>
      </c>
      <c r="D85" s="3349" t="s">
        <v>3630</v>
      </c>
      <c r="E85" s="3347">
        <v>51.51</v>
      </c>
      <c r="F85" s="3347" t="s">
        <v>3204</v>
      </c>
      <c r="G85" s="3347">
        <v>2</v>
      </c>
      <c r="H85" s="3794"/>
    </row>
    <row r="86" spans="1:8" ht="22.5">
      <c r="A86" s="3346">
        <v>96</v>
      </c>
      <c r="B86" s="3349" t="s">
        <v>3238</v>
      </c>
      <c r="C86" s="3349" t="s">
        <v>3239</v>
      </c>
      <c r="D86" s="3349" t="s">
        <v>3630</v>
      </c>
      <c r="E86" s="3347">
        <v>60.26</v>
      </c>
      <c r="F86" s="3347" t="s">
        <v>3204</v>
      </c>
      <c r="G86" s="3347">
        <v>2</v>
      </c>
      <c r="H86" s="3794"/>
    </row>
    <row r="87" spans="1:8" ht="22.5">
      <c r="A87" s="3346">
        <v>97</v>
      </c>
      <c r="B87" s="3349" t="s">
        <v>3240</v>
      </c>
      <c r="C87" s="3349" t="s">
        <v>3241</v>
      </c>
      <c r="D87" s="3349" t="s">
        <v>3630</v>
      </c>
      <c r="E87" s="3347">
        <v>67.08</v>
      </c>
      <c r="F87" s="3347" t="s">
        <v>3204</v>
      </c>
      <c r="G87" s="3347">
        <v>2</v>
      </c>
      <c r="H87" s="3794"/>
    </row>
    <row r="88" spans="1:8" ht="22.5">
      <c r="A88" s="3346">
        <v>98</v>
      </c>
      <c r="B88" s="3349" t="s">
        <v>3242</v>
      </c>
      <c r="C88" s="3349" t="s">
        <v>3243</v>
      </c>
      <c r="D88" s="3349" t="s">
        <v>3630</v>
      </c>
      <c r="E88" s="3347">
        <v>70.72</v>
      </c>
      <c r="F88" s="3347" t="s">
        <v>3204</v>
      </c>
      <c r="G88" s="3347">
        <v>2</v>
      </c>
      <c r="H88" s="3794"/>
    </row>
    <row r="89" spans="1:8" ht="22.5">
      <c r="A89" s="3346">
        <v>99</v>
      </c>
      <c r="B89" s="3349" t="s">
        <v>3244</v>
      </c>
      <c r="C89" s="3349" t="s">
        <v>3245</v>
      </c>
      <c r="D89" s="3349" t="s">
        <v>3630</v>
      </c>
      <c r="E89" s="3347">
        <v>53.5</v>
      </c>
      <c r="F89" s="3347" t="s">
        <v>3204</v>
      </c>
      <c r="G89" s="3347">
        <v>2</v>
      </c>
      <c r="H89" s="3794"/>
    </row>
    <row r="90" spans="1:8" ht="22.5">
      <c r="A90" s="3346">
        <v>100</v>
      </c>
      <c r="B90" s="3349" t="s">
        <v>3246</v>
      </c>
      <c r="C90" s="3349" t="s">
        <v>3247</v>
      </c>
      <c r="D90" s="3349" t="s">
        <v>3631</v>
      </c>
      <c r="E90" s="3347">
        <v>140.54</v>
      </c>
      <c r="F90" s="3347" t="s">
        <v>3248</v>
      </c>
      <c r="G90" s="3347">
        <v>1</v>
      </c>
      <c r="H90" s="3794"/>
    </row>
    <row r="91" spans="1:8" ht="33.75">
      <c r="A91" s="3346">
        <v>48</v>
      </c>
      <c r="B91" s="3349" t="s">
        <v>3249</v>
      </c>
      <c r="C91" s="3349" t="s">
        <v>3250</v>
      </c>
      <c r="D91" s="3349" t="s">
        <v>3632</v>
      </c>
      <c r="E91" s="3347">
        <v>403.15</v>
      </c>
      <c r="F91" s="3347" t="s">
        <v>3251</v>
      </c>
      <c r="G91" s="3347" t="s">
        <v>3252</v>
      </c>
      <c r="H91" s="3353"/>
    </row>
    <row r="92" spans="1:8" ht="33.75">
      <c r="A92" s="3346">
        <v>49</v>
      </c>
      <c r="B92" s="3349" t="s">
        <v>3253</v>
      </c>
      <c r="C92" s="3349" t="s">
        <v>3254</v>
      </c>
      <c r="D92" s="3349" t="s">
        <v>3632</v>
      </c>
      <c r="E92" s="3347">
        <v>396</v>
      </c>
      <c r="F92" s="3347" t="s">
        <v>3251</v>
      </c>
      <c r="G92" s="3347" t="s">
        <v>3252</v>
      </c>
      <c r="H92" s="3795" t="s">
        <v>3255</v>
      </c>
    </row>
    <row r="93" spans="1:8" ht="33.75">
      <c r="A93" s="3346">
        <v>50</v>
      </c>
      <c r="B93" s="3349" t="s">
        <v>3256</v>
      </c>
      <c r="C93" s="3349" t="s">
        <v>3257</v>
      </c>
      <c r="D93" s="3349" t="s">
        <v>3632</v>
      </c>
      <c r="E93" s="3347">
        <v>395.24</v>
      </c>
      <c r="F93" s="3347" t="s">
        <v>3251</v>
      </c>
      <c r="G93" s="3347" t="s">
        <v>3252</v>
      </c>
      <c r="H93" s="3796"/>
    </row>
    <row r="94" spans="1:8" ht="33.75">
      <c r="A94" s="3346">
        <v>51</v>
      </c>
      <c r="B94" s="3349" t="s">
        <v>3258</v>
      </c>
      <c r="C94" s="3349" t="s">
        <v>3259</v>
      </c>
      <c r="D94" s="3349" t="s">
        <v>3632</v>
      </c>
      <c r="E94" s="3347">
        <v>485.96</v>
      </c>
      <c r="F94" s="3347" t="s">
        <v>3251</v>
      </c>
      <c r="G94" s="3347" t="s">
        <v>3252</v>
      </c>
      <c r="H94" s="3796"/>
    </row>
    <row r="95" spans="1:8" ht="22.5">
      <c r="A95" s="3346">
        <v>101</v>
      </c>
      <c r="B95" s="3349" t="s">
        <v>3260</v>
      </c>
      <c r="C95" s="3349" t="s">
        <v>3261</v>
      </c>
      <c r="D95" s="3349" t="s">
        <v>3633</v>
      </c>
      <c r="E95" s="3354">
        <v>153.79</v>
      </c>
      <c r="F95" s="3347" t="s">
        <v>3262</v>
      </c>
      <c r="G95" s="3347">
        <v>1</v>
      </c>
      <c r="H95" s="3796"/>
    </row>
    <row r="96" spans="1:8" ht="33.75">
      <c r="A96" s="3346">
        <v>102</v>
      </c>
      <c r="B96" s="3349" t="s">
        <v>3263</v>
      </c>
      <c r="C96" s="3349" t="s">
        <v>3264</v>
      </c>
      <c r="D96" s="3349" t="s">
        <v>3633</v>
      </c>
      <c r="E96" s="3347">
        <v>385.32</v>
      </c>
      <c r="F96" s="3347" t="s">
        <v>3262</v>
      </c>
      <c r="G96" s="3355" t="s">
        <v>3252</v>
      </c>
      <c r="H96" s="3796"/>
    </row>
    <row r="97" spans="1:10" ht="33.75">
      <c r="A97" s="3346">
        <v>103</v>
      </c>
      <c r="B97" s="3349" t="s">
        <v>3265</v>
      </c>
      <c r="C97" s="3349" t="s">
        <v>3266</v>
      </c>
      <c r="D97" s="3349" t="s">
        <v>3633</v>
      </c>
      <c r="E97" s="3347">
        <v>383.07</v>
      </c>
      <c r="F97" s="3347" t="s">
        <v>3262</v>
      </c>
      <c r="G97" s="3355" t="s">
        <v>3252</v>
      </c>
      <c r="H97" s="3796"/>
    </row>
    <row r="98" spans="1:10" ht="22.5">
      <c r="A98" s="3346">
        <v>104</v>
      </c>
      <c r="B98" s="3349" t="s">
        <v>3267</v>
      </c>
      <c r="C98" s="3349" t="s">
        <v>3268</v>
      </c>
      <c r="D98" s="3349" t="s">
        <v>3634</v>
      </c>
      <c r="E98" s="3347">
        <v>109.78</v>
      </c>
      <c r="F98" s="3347" t="s">
        <v>3269</v>
      </c>
      <c r="G98" s="3347">
        <v>1</v>
      </c>
      <c r="H98" s="3796"/>
    </row>
    <row r="99" spans="1:10" ht="22.5">
      <c r="A99" s="3346">
        <v>105</v>
      </c>
      <c r="B99" s="3349" t="s">
        <v>3270</v>
      </c>
      <c r="C99" s="3349" t="s">
        <v>3271</v>
      </c>
      <c r="D99" s="3349" t="s">
        <v>3634</v>
      </c>
      <c r="E99" s="3347">
        <v>145.19</v>
      </c>
      <c r="F99" s="3347" t="s">
        <v>3269</v>
      </c>
      <c r="G99" s="3347">
        <v>1</v>
      </c>
      <c r="H99" s="3796"/>
    </row>
    <row r="100" spans="1:10" ht="33.75">
      <c r="A100" s="3346">
        <v>106</v>
      </c>
      <c r="B100" s="3349" t="s">
        <v>3272</v>
      </c>
      <c r="C100" s="3349" t="s">
        <v>3273</v>
      </c>
      <c r="D100" s="3349" t="s">
        <v>3634</v>
      </c>
      <c r="E100" s="3347">
        <v>292.05</v>
      </c>
      <c r="F100" s="3347" t="s">
        <v>3269</v>
      </c>
      <c r="G100" s="3355" t="s">
        <v>3252</v>
      </c>
      <c r="H100" s="3796"/>
    </row>
    <row r="101" spans="1:10" ht="33.75">
      <c r="A101" s="3346">
        <v>107</v>
      </c>
      <c r="B101" s="3349" t="s">
        <v>3274</v>
      </c>
      <c r="C101" s="3349" t="s">
        <v>3275</v>
      </c>
      <c r="D101" s="3349" t="s">
        <v>3634</v>
      </c>
      <c r="E101" s="3347">
        <v>290.14999999999998</v>
      </c>
      <c r="F101" s="3347" t="s">
        <v>3269</v>
      </c>
      <c r="G101" s="3355" t="s">
        <v>3252</v>
      </c>
      <c r="H101" s="3796"/>
    </row>
    <row r="102" spans="1:10" ht="33.75">
      <c r="A102" s="3346">
        <v>108</v>
      </c>
      <c r="B102" s="3349" t="s">
        <v>3276</v>
      </c>
      <c r="C102" s="3349" t="s">
        <v>3277</v>
      </c>
      <c r="D102" s="3349" t="s">
        <v>3634</v>
      </c>
      <c r="E102" s="3347">
        <v>367.29</v>
      </c>
      <c r="F102" s="3347" t="s">
        <v>3269</v>
      </c>
      <c r="G102" s="3355" t="s">
        <v>3252</v>
      </c>
      <c r="H102" s="3796"/>
    </row>
    <row r="103" spans="1:10" ht="33.75">
      <c r="A103" s="3346">
        <v>109</v>
      </c>
      <c r="B103" s="3349" t="s">
        <v>3278</v>
      </c>
      <c r="C103" s="3349" t="s">
        <v>3279</v>
      </c>
      <c r="D103" s="3349" t="s">
        <v>3634</v>
      </c>
      <c r="E103" s="3347">
        <v>441.28</v>
      </c>
      <c r="F103" s="3347" t="s">
        <v>3269</v>
      </c>
      <c r="G103" s="3355" t="s">
        <v>3252</v>
      </c>
      <c r="H103" s="3796"/>
    </row>
    <row r="104" spans="1:10" ht="33.75">
      <c r="A104" s="3346">
        <v>110</v>
      </c>
      <c r="B104" s="3349" t="s">
        <v>3280</v>
      </c>
      <c r="C104" s="3349" t="s">
        <v>3281</v>
      </c>
      <c r="D104" s="3349" t="s">
        <v>3634</v>
      </c>
      <c r="E104" s="3347">
        <v>1059.3</v>
      </c>
      <c r="F104" s="3347" t="s">
        <v>3269</v>
      </c>
      <c r="G104" s="3355" t="s">
        <v>3252</v>
      </c>
      <c r="H104" s="3796"/>
      <c r="J104" s="3341" t="s">
        <v>3568</v>
      </c>
    </row>
    <row r="105" spans="1:10" s="3342" customFormat="1">
      <c r="A105" s="3356"/>
      <c r="B105" s="3357"/>
      <c r="C105" s="3357"/>
      <c r="D105" s="3357"/>
      <c r="E105" s="3354">
        <f>SUM(E2:E104)</f>
        <v>14053.85</v>
      </c>
      <c r="F105" s="3354"/>
      <c r="G105" s="3358"/>
      <c r="J105" s="3342">
        <f>E105-租赁!K29</f>
        <v>9535.27</v>
      </c>
    </row>
    <row r="107" spans="1:10" ht="33.75">
      <c r="A107" s="3346">
        <v>41</v>
      </c>
      <c r="B107" s="3348" t="s">
        <v>3282</v>
      </c>
      <c r="C107" s="3349" t="s">
        <v>3283</v>
      </c>
      <c r="D107" s="3349" t="s">
        <v>3635</v>
      </c>
      <c r="E107" s="3347">
        <v>656.22</v>
      </c>
      <c r="F107" s="3347" t="s">
        <v>3284</v>
      </c>
      <c r="G107" s="3355" t="s">
        <v>3145</v>
      </c>
    </row>
    <row r="108" spans="1:10" ht="33.75">
      <c r="A108" s="3346">
        <v>42</v>
      </c>
      <c r="B108" s="3348" t="s">
        <v>3285</v>
      </c>
      <c r="C108" s="3349" t="s">
        <v>3286</v>
      </c>
      <c r="D108" s="3349" t="s">
        <v>3635</v>
      </c>
      <c r="E108" s="3347">
        <v>134.66</v>
      </c>
      <c r="F108" s="3347" t="s">
        <v>3284</v>
      </c>
      <c r="G108" s="3355" t="s">
        <v>3145</v>
      </c>
    </row>
    <row r="109" spans="1:10" ht="33.75">
      <c r="A109" s="3346">
        <v>43</v>
      </c>
      <c r="B109" s="3348" t="s">
        <v>3287</v>
      </c>
      <c r="C109" s="3349" t="s">
        <v>3288</v>
      </c>
      <c r="D109" s="3349" t="s">
        <v>3636</v>
      </c>
      <c r="E109" s="3347">
        <v>121.46</v>
      </c>
      <c r="F109" s="3347" t="s">
        <v>3289</v>
      </c>
      <c r="G109" s="3355" t="s">
        <v>3145</v>
      </c>
    </row>
    <row r="110" spans="1:10" ht="33.75">
      <c r="A110" s="3346">
        <v>44</v>
      </c>
      <c r="B110" s="3359" t="s">
        <v>3290</v>
      </c>
      <c r="C110" s="3349" t="s">
        <v>3291</v>
      </c>
      <c r="D110" s="3349" t="s">
        <v>3636</v>
      </c>
      <c r="E110" s="3347">
        <v>137.04</v>
      </c>
      <c r="F110" s="3347" t="s">
        <v>3289</v>
      </c>
      <c r="G110" s="3355" t="s">
        <v>3145</v>
      </c>
    </row>
    <row r="111" spans="1:10" ht="33.75">
      <c r="A111" s="3346">
        <v>45</v>
      </c>
      <c r="B111" s="3348" t="s">
        <v>3292</v>
      </c>
      <c r="C111" s="3349" t="s">
        <v>3293</v>
      </c>
      <c r="D111" s="3349" t="s">
        <v>3636</v>
      </c>
      <c r="E111" s="3347">
        <v>118.4</v>
      </c>
      <c r="F111" s="3347" t="s">
        <v>3289</v>
      </c>
      <c r="G111" s="3355" t="s">
        <v>3145</v>
      </c>
    </row>
    <row r="112" spans="1:10" ht="33.75">
      <c r="A112" s="3346">
        <v>46</v>
      </c>
      <c r="B112" s="3348" t="s">
        <v>3294</v>
      </c>
      <c r="C112" s="3349" t="s">
        <v>3295</v>
      </c>
      <c r="D112" s="3349" t="s">
        <v>3636</v>
      </c>
      <c r="E112" s="3347">
        <v>131.75</v>
      </c>
      <c r="F112" s="3347" t="s">
        <v>3289</v>
      </c>
      <c r="G112" s="3355" t="s">
        <v>3145</v>
      </c>
    </row>
    <row r="113" spans="1:7" ht="33.75">
      <c r="A113" s="3346">
        <v>47</v>
      </c>
      <c r="B113" s="3348" t="s">
        <v>3296</v>
      </c>
      <c r="C113" s="3349" t="s">
        <v>3297</v>
      </c>
      <c r="D113" s="3349" t="s">
        <v>3636</v>
      </c>
      <c r="E113" s="3347">
        <v>120.72</v>
      </c>
      <c r="F113" s="3347" t="s">
        <v>3289</v>
      </c>
      <c r="G113" s="3355" t="s">
        <v>3145</v>
      </c>
    </row>
    <row r="115" spans="1:7" s="3342" customFormat="1">
      <c r="A115" s="3356"/>
      <c r="B115" s="3357"/>
      <c r="C115" s="3357"/>
      <c r="D115" s="3357"/>
      <c r="E115" s="3354">
        <f>SUM(E107:E114)</f>
        <v>1420.2500000000002</v>
      </c>
      <c r="F115" s="3354"/>
      <c r="G115" s="3354"/>
    </row>
    <row r="117" spans="1:7">
      <c r="E117">
        <f>E115+E105</f>
        <v>15474.1</v>
      </c>
    </row>
    <row r="119" spans="1:7" ht="22.5">
      <c r="A119" s="3346">
        <v>111</v>
      </c>
      <c r="B119" s="3349" t="s">
        <v>3298</v>
      </c>
      <c r="C119" s="3349" t="s">
        <v>3299</v>
      </c>
      <c r="D119" s="3349"/>
      <c r="E119" s="3360" t="s">
        <v>3300</v>
      </c>
      <c r="F119" s="3360" t="s">
        <v>3061</v>
      </c>
      <c r="G119" s="3360">
        <v>-2</v>
      </c>
    </row>
    <row r="120" spans="1:7" ht="22.5">
      <c r="A120" s="3346">
        <v>112</v>
      </c>
      <c r="B120" s="3349" t="s">
        <v>3301</v>
      </c>
      <c r="C120" s="3349" t="s">
        <v>3302</v>
      </c>
      <c r="D120" s="3349"/>
      <c r="E120" s="3360" t="s">
        <v>3303</v>
      </c>
      <c r="F120" s="3360" t="s">
        <v>3061</v>
      </c>
      <c r="G120" s="3360">
        <v>-2</v>
      </c>
    </row>
    <row r="121" spans="1:7">
      <c r="E121">
        <f>F121+F122</f>
        <v>31303.89</v>
      </c>
      <c r="F121">
        <v>15872.39</v>
      </c>
    </row>
    <row r="122" spans="1:7">
      <c r="F122">
        <v>15431.5</v>
      </c>
    </row>
  </sheetData>
  <mergeCells count="2">
    <mergeCell ref="H2:H90"/>
    <mergeCell ref="H92:H104"/>
  </mergeCells>
  <phoneticPr fontId="20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9"/>
  <sheetViews>
    <sheetView topLeftCell="K1" workbookViewId="0">
      <selection activeCell="X8" sqref="X8"/>
    </sheetView>
  </sheetViews>
  <sheetFormatPr defaultColWidth="8.875" defaultRowHeight="14.25"/>
  <cols>
    <col min="1" max="1" width="11" style="3380" hidden="1" customWidth="1"/>
    <col min="2" max="2" width="7.875" style="3370" hidden="1" customWidth="1"/>
    <col min="3" max="3" width="8.125" style="3370" hidden="1" customWidth="1"/>
    <col min="4" max="4" width="5" style="3370" hidden="1" customWidth="1"/>
    <col min="5" max="5" width="6" style="3381" hidden="1" customWidth="1"/>
    <col min="6" max="6" width="8.125" style="3381" hidden="1" customWidth="1"/>
    <col min="7" max="7" width="5.875" style="3381" customWidth="1"/>
    <col min="8" max="8" width="13.375" style="3381" customWidth="1"/>
    <col min="9" max="9" width="9.125" style="3381" hidden="1" customWidth="1"/>
    <col min="10" max="10" width="13.75" style="3381" customWidth="1"/>
    <col min="11" max="11" width="12.75" style="3381" customWidth="1"/>
    <col min="12" max="12" width="10" style="3370" customWidth="1"/>
    <col min="13" max="13" width="27.25" style="3382" hidden="1" customWidth="1"/>
    <col min="14" max="14" width="10.375" style="3370" hidden="1" customWidth="1"/>
    <col min="15" max="15" width="12.625" style="3383" customWidth="1"/>
    <col min="16" max="16" width="11.625" style="3370" customWidth="1"/>
    <col min="17" max="17" width="12.625" style="3370" customWidth="1"/>
    <col min="18" max="18" width="6.5" style="3384" customWidth="1"/>
    <col min="19" max="19" width="11.875" style="3385" customWidth="1"/>
    <col min="20" max="20" width="8.875" style="3370"/>
    <col min="21" max="21" width="13.25" style="3386" customWidth="1"/>
    <col min="22" max="23" width="8.875" style="3370"/>
    <col min="24" max="24" width="10.75" style="3370" customWidth="1"/>
    <col min="25" max="16384" width="8.875" style="3370"/>
  </cols>
  <sheetData>
    <row r="1" spans="1:26" ht="42.75">
      <c r="A1" s="3361" t="s">
        <v>3304</v>
      </c>
      <c r="B1" s="3362" t="s">
        <v>3305</v>
      </c>
      <c r="C1" s="3362" t="s">
        <v>3306</v>
      </c>
      <c r="D1" s="3363" t="s">
        <v>3307</v>
      </c>
      <c r="E1" s="3363" t="s">
        <v>3308</v>
      </c>
      <c r="F1" s="3363" t="s">
        <v>3309</v>
      </c>
      <c r="G1" s="3364" t="s">
        <v>3310</v>
      </c>
      <c r="H1" s="3362" t="s">
        <v>3311</v>
      </c>
      <c r="I1" s="3362" t="s">
        <v>3312</v>
      </c>
      <c r="J1" s="3363" t="s">
        <v>3313</v>
      </c>
      <c r="K1" s="3363" t="s">
        <v>3314</v>
      </c>
      <c r="L1" s="3365" t="s">
        <v>3315</v>
      </c>
      <c r="M1" s="3363" t="s">
        <v>3316</v>
      </c>
      <c r="N1" s="3362" t="s">
        <v>3317</v>
      </c>
      <c r="O1" s="3361" t="s">
        <v>3318</v>
      </c>
      <c r="P1" s="3366" t="s">
        <v>3319</v>
      </c>
      <c r="Q1" s="3366" t="s">
        <v>3320</v>
      </c>
      <c r="R1" s="3364" t="s">
        <v>3321</v>
      </c>
      <c r="S1" s="3367" t="s">
        <v>3322</v>
      </c>
      <c r="T1" s="3368" t="s">
        <v>3323</v>
      </c>
      <c r="U1" s="3369" t="s">
        <v>3324</v>
      </c>
      <c r="X1" s="3370" t="s">
        <v>3569</v>
      </c>
      <c r="Y1" s="3370" t="s">
        <v>3570</v>
      </c>
      <c r="Z1" s="3370" t="s">
        <v>3571</v>
      </c>
    </row>
    <row r="2" spans="1:26">
      <c r="A2" s="3371" t="s">
        <v>3325</v>
      </c>
      <c r="B2" s="3368" t="s">
        <v>3326</v>
      </c>
      <c r="C2" s="3368" t="s">
        <v>3327</v>
      </c>
      <c r="D2" s="3372" t="s">
        <v>3328</v>
      </c>
      <c r="E2" s="3373" t="s">
        <v>3328</v>
      </c>
      <c r="F2" s="3373"/>
      <c r="G2" s="3373" t="s">
        <v>3329</v>
      </c>
      <c r="H2" s="3373" t="s">
        <v>3330</v>
      </c>
      <c r="I2" s="3373" t="s">
        <v>3331</v>
      </c>
      <c r="J2" s="3373" t="s">
        <v>3332</v>
      </c>
      <c r="K2" s="3388">
        <v>127.47</v>
      </c>
      <c r="L2" s="3368">
        <v>127.47</v>
      </c>
      <c r="M2" s="3372" t="s">
        <v>3333</v>
      </c>
      <c r="N2" s="3368" t="s">
        <v>3334</v>
      </c>
      <c r="O2" s="3374" t="s">
        <v>3335</v>
      </c>
      <c r="P2" s="3368" t="s">
        <v>3336</v>
      </c>
      <c r="Q2" s="3368" t="s">
        <v>3337</v>
      </c>
      <c r="R2" s="3375" t="s">
        <v>3338</v>
      </c>
      <c r="S2" s="3376"/>
      <c r="T2" s="3368">
        <v>349.91999999999996</v>
      </c>
      <c r="U2" s="3377">
        <v>535251.62879999995</v>
      </c>
      <c r="V2" s="3370">
        <f>T2/30</f>
        <v>11.663999999999998</v>
      </c>
      <c r="W2" s="3370" t="s">
        <v>3564</v>
      </c>
      <c r="X2" s="3370">
        <f>K2+K4+K5+K6+K7+K9+K12+K15+K16+K17+K18+K19+K20+K21+K22+K23+K24+K25+K26</f>
        <v>2994.6400000000003</v>
      </c>
      <c r="Y2" s="3370">
        <f>ROUND((T2+T4+T5+T6+T7+T9+T12+T15+T16+T17+T18+T19+T20+T21+T22+T23+T24+T25+T26)/30/19,2)</f>
        <v>11.42</v>
      </c>
      <c r="Z2" s="3391">
        <v>0.03</v>
      </c>
    </row>
    <row r="3" spans="1:26">
      <c r="A3" s="3371" t="s">
        <v>3339</v>
      </c>
      <c r="B3" s="3368" t="s">
        <v>3340</v>
      </c>
      <c r="C3" s="3368" t="s">
        <v>3341</v>
      </c>
      <c r="D3" s="3372" t="s">
        <v>3342</v>
      </c>
      <c r="E3" s="3373" t="s">
        <v>3343</v>
      </c>
      <c r="F3" s="3373"/>
      <c r="G3" s="3373" t="s">
        <v>3344</v>
      </c>
      <c r="H3" s="3373" t="s">
        <v>3345</v>
      </c>
      <c r="I3" s="3373" t="s">
        <v>3346</v>
      </c>
      <c r="J3" s="3373" t="s">
        <v>3347</v>
      </c>
      <c r="K3" s="3373">
        <v>252.14</v>
      </c>
      <c r="L3" s="3368">
        <v>252.14</v>
      </c>
      <c r="M3" s="3372" t="s">
        <v>3348</v>
      </c>
      <c r="N3" s="3368" t="s">
        <v>3346</v>
      </c>
      <c r="O3" s="3374" t="s">
        <v>3349</v>
      </c>
      <c r="P3" s="3368" t="s">
        <v>3336</v>
      </c>
      <c r="Q3" s="3368" t="s">
        <v>3350</v>
      </c>
      <c r="R3" s="3387" t="s">
        <v>3351</v>
      </c>
      <c r="S3" s="3376">
        <v>0.09</v>
      </c>
      <c r="T3" s="3368">
        <v>320</v>
      </c>
      <c r="U3" s="3377">
        <v>968217.59999999986</v>
      </c>
      <c r="V3" s="3370">
        <f t="shared" ref="V3:V28" si="0">T3/30</f>
        <v>10.666666666666666</v>
      </c>
      <c r="W3" s="3370" t="s">
        <v>3565</v>
      </c>
      <c r="X3" s="3370">
        <f>K3+K8</f>
        <v>406.54999999999995</v>
      </c>
      <c r="Y3" s="3370">
        <f>ROUND((V3+V8)/2,2)</f>
        <v>10.75</v>
      </c>
      <c r="Z3" s="3391">
        <v>0.02</v>
      </c>
    </row>
    <row r="4" spans="1:26">
      <c r="A4" s="3371" t="s">
        <v>3352</v>
      </c>
      <c r="B4" s="3368" t="s">
        <v>3326</v>
      </c>
      <c r="C4" s="3368" t="s">
        <v>3327</v>
      </c>
      <c r="D4" s="3372" t="s">
        <v>3328</v>
      </c>
      <c r="E4" s="3373" t="s">
        <v>3328</v>
      </c>
      <c r="F4" s="3373"/>
      <c r="G4" s="3373" t="s">
        <v>3353</v>
      </c>
      <c r="H4" s="3373" t="s">
        <v>3354</v>
      </c>
      <c r="I4" s="3373" t="s">
        <v>3334</v>
      </c>
      <c r="J4" s="3373" t="s">
        <v>3355</v>
      </c>
      <c r="K4" s="3389">
        <v>211.1</v>
      </c>
      <c r="L4" s="3373">
        <v>211.1</v>
      </c>
      <c r="M4" s="3373" t="s">
        <v>3356</v>
      </c>
      <c r="N4" s="3368" t="s">
        <v>3334</v>
      </c>
      <c r="O4" s="3374" t="s">
        <v>3357</v>
      </c>
      <c r="P4" s="3368" t="s">
        <v>3358</v>
      </c>
      <c r="Q4" s="3368" t="s">
        <v>3359</v>
      </c>
      <c r="R4" s="3375" t="s">
        <v>3360</v>
      </c>
      <c r="S4" s="3376">
        <v>0.11</v>
      </c>
      <c r="T4" s="3368">
        <v>347.64</v>
      </c>
      <c r="U4" s="3377">
        <v>880641.64799999981</v>
      </c>
      <c r="V4" s="3370">
        <f t="shared" si="0"/>
        <v>11.587999999999999</v>
      </c>
      <c r="W4" s="3370" t="s">
        <v>3566</v>
      </c>
      <c r="X4" s="3370">
        <f>K10+K11+K13+K14+K27+K28</f>
        <v>1117.3900000000001</v>
      </c>
      <c r="Y4" s="3370">
        <f>ROUND((T10+T11+T13+T14+T27+T28)/30/6,2)</f>
        <v>11.83</v>
      </c>
      <c r="Z4" s="3391">
        <v>7.0000000000000007E-2</v>
      </c>
    </row>
    <row r="5" spans="1:26">
      <c r="A5" s="3371" t="s">
        <v>3361</v>
      </c>
      <c r="B5" s="3368" t="s">
        <v>3326</v>
      </c>
      <c r="C5" s="3368" t="s">
        <v>3327</v>
      </c>
      <c r="D5" s="3372" t="s">
        <v>3328</v>
      </c>
      <c r="E5" s="3373" t="s">
        <v>3362</v>
      </c>
      <c r="F5" s="3373"/>
      <c r="G5" s="3373" t="s">
        <v>3353</v>
      </c>
      <c r="H5" s="3373" t="s">
        <v>3363</v>
      </c>
      <c r="I5" s="3373" t="s">
        <v>3334</v>
      </c>
      <c r="J5" s="3373" t="s">
        <v>3364</v>
      </c>
      <c r="K5" s="3389">
        <v>193.97</v>
      </c>
      <c r="L5" s="3373">
        <v>193.97</v>
      </c>
      <c r="M5" s="3373" t="s">
        <v>3365</v>
      </c>
      <c r="N5" s="3368" t="s">
        <v>3334</v>
      </c>
      <c r="O5" s="3374" t="s">
        <v>3366</v>
      </c>
      <c r="P5" s="3368" t="s">
        <v>3367</v>
      </c>
      <c r="Q5" s="3368" t="s">
        <v>3368</v>
      </c>
      <c r="R5" s="3375" t="s">
        <v>3338</v>
      </c>
      <c r="S5" s="3376"/>
      <c r="T5" s="3368">
        <v>302.39999999999998</v>
      </c>
      <c r="U5" s="3377">
        <v>703878.33600000001</v>
      </c>
      <c r="V5" s="3370">
        <f t="shared" si="0"/>
        <v>10.08</v>
      </c>
      <c r="X5" s="3370">
        <f>SUM(X2:X4)</f>
        <v>4518.5800000000008</v>
      </c>
    </row>
    <row r="6" spans="1:26">
      <c r="A6" s="3371" t="s">
        <v>3369</v>
      </c>
      <c r="B6" s="3368" t="s">
        <v>3340</v>
      </c>
      <c r="C6" s="3368" t="s">
        <v>3341</v>
      </c>
      <c r="D6" s="3373" t="s">
        <v>3343</v>
      </c>
      <c r="E6" s="3372" t="s">
        <v>3342</v>
      </c>
      <c r="F6" s="3373"/>
      <c r="G6" s="3373" t="s">
        <v>3370</v>
      </c>
      <c r="H6" s="3373" t="s">
        <v>3371</v>
      </c>
      <c r="I6" s="3373" t="s">
        <v>3372</v>
      </c>
      <c r="J6" s="3373" t="s">
        <v>3373</v>
      </c>
      <c r="K6" s="3389">
        <v>116.12</v>
      </c>
      <c r="L6" s="3373">
        <v>116.12</v>
      </c>
      <c r="M6" s="3373" t="s">
        <v>3374</v>
      </c>
      <c r="N6" s="3368" t="s">
        <v>3346</v>
      </c>
      <c r="O6" s="3374" t="s">
        <v>3375</v>
      </c>
      <c r="P6" s="3368" t="s">
        <v>3376</v>
      </c>
      <c r="Q6" s="3368" t="s">
        <v>3377</v>
      </c>
      <c r="R6" s="3375" t="s">
        <v>3338</v>
      </c>
      <c r="S6" s="3376">
        <v>0.11</v>
      </c>
      <c r="T6" s="3368">
        <v>360</v>
      </c>
      <c r="U6" s="3377">
        <v>501638.40000000002</v>
      </c>
      <c r="V6" s="3370">
        <f t="shared" si="0"/>
        <v>12</v>
      </c>
    </row>
    <row r="7" spans="1:26">
      <c r="A7" s="3371" t="s">
        <v>3378</v>
      </c>
      <c r="B7" s="3368" t="s">
        <v>3379</v>
      </c>
      <c r="C7" s="3368" t="s">
        <v>3380</v>
      </c>
      <c r="D7" s="3372" t="s">
        <v>3381</v>
      </c>
      <c r="E7" s="3373" t="s">
        <v>3381</v>
      </c>
      <c r="F7" s="3373"/>
      <c r="G7" s="3373" t="s">
        <v>3382</v>
      </c>
      <c r="H7" s="3373" t="s">
        <v>3383</v>
      </c>
      <c r="I7" s="3373" t="s">
        <v>3384</v>
      </c>
      <c r="J7" s="3378" t="s">
        <v>3385</v>
      </c>
      <c r="K7" s="3389">
        <v>415.35</v>
      </c>
      <c r="L7" s="3373">
        <v>415.35</v>
      </c>
      <c r="M7" s="3373" t="s">
        <v>3386</v>
      </c>
      <c r="N7" s="3368" t="s">
        <v>3387</v>
      </c>
      <c r="O7" s="3374" t="s">
        <v>3388</v>
      </c>
      <c r="P7" s="3368" t="s">
        <v>3389</v>
      </c>
      <c r="Q7" s="3368" t="s">
        <v>3390</v>
      </c>
      <c r="R7" s="3375" t="s">
        <v>3391</v>
      </c>
      <c r="S7" s="3376"/>
      <c r="T7" s="3368">
        <v>375.2</v>
      </c>
      <c r="U7" s="3377">
        <v>1870071.84</v>
      </c>
      <c r="V7" s="3370">
        <f t="shared" si="0"/>
        <v>12.506666666666666</v>
      </c>
    </row>
    <row r="8" spans="1:26">
      <c r="A8" s="3371" t="s">
        <v>3392</v>
      </c>
      <c r="B8" s="3368" t="s">
        <v>3379</v>
      </c>
      <c r="C8" s="3368" t="s">
        <v>3380</v>
      </c>
      <c r="D8" s="3372" t="s">
        <v>3381</v>
      </c>
      <c r="E8" s="3373"/>
      <c r="F8" s="3373"/>
      <c r="G8" s="3373" t="s">
        <v>3393</v>
      </c>
      <c r="H8" s="3373" t="s">
        <v>3394</v>
      </c>
      <c r="I8" s="3373" t="s">
        <v>3395</v>
      </c>
      <c r="J8" s="3378" t="s">
        <v>3396</v>
      </c>
      <c r="K8" s="3373">
        <v>154.41</v>
      </c>
      <c r="L8" s="3373">
        <v>154.41</v>
      </c>
      <c r="M8" s="3373" t="s">
        <v>3397</v>
      </c>
      <c r="N8" s="3368" t="s">
        <v>3395</v>
      </c>
      <c r="O8" s="3374" t="s">
        <v>3398</v>
      </c>
      <c r="P8" s="3368" t="s">
        <v>3399</v>
      </c>
      <c r="Q8" s="3368" t="s">
        <v>3400</v>
      </c>
      <c r="R8" s="3387" t="s">
        <v>3401</v>
      </c>
      <c r="S8" s="3376">
        <v>0.12</v>
      </c>
      <c r="T8" s="3368">
        <v>325</v>
      </c>
      <c r="U8" s="3377">
        <v>602199</v>
      </c>
      <c r="V8" s="3370">
        <f t="shared" si="0"/>
        <v>10.833333333333334</v>
      </c>
    </row>
    <row r="9" spans="1:26">
      <c r="A9" s="3371" t="s">
        <v>3402</v>
      </c>
      <c r="B9" s="3368" t="s">
        <v>3379</v>
      </c>
      <c r="C9" s="3368" t="s">
        <v>3380</v>
      </c>
      <c r="D9" s="3372" t="s">
        <v>3381</v>
      </c>
      <c r="E9" s="3373" t="s">
        <v>3403</v>
      </c>
      <c r="F9" s="3373"/>
      <c r="G9" s="3373" t="s">
        <v>3393</v>
      </c>
      <c r="H9" s="3373" t="s">
        <v>3404</v>
      </c>
      <c r="I9" s="3373" t="s">
        <v>3405</v>
      </c>
      <c r="J9" s="3378" t="s">
        <v>3406</v>
      </c>
      <c r="K9" s="3389">
        <v>294.79000000000002</v>
      </c>
      <c r="L9" s="3373">
        <v>294.79000000000002</v>
      </c>
      <c r="M9" s="3373" t="s">
        <v>3407</v>
      </c>
      <c r="N9" s="3368" t="s">
        <v>3408</v>
      </c>
      <c r="O9" s="3374" t="s">
        <v>3409</v>
      </c>
      <c r="P9" s="3368" t="s">
        <v>3410</v>
      </c>
      <c r="Q9" s="3368" t="s">
        <v>3411</v>
      </c>
      <c r="R9" s="3375" t="s">
        <v>3391</v>
      </c>
      <c r="S9" s="3376" t="s">
        <v>3412</v>
      </c>
      <c r="T9" s="3368">
        <v>320</v>
      </c>
      <c r="U9" s="3377">
        <v>1131993.6000000001</v>
      </c>
      <c r="V9" s="3370">
        <f t="shared" si="0"/>
        <v>10.666666666666666</v>
      </c>
    </row>
    <row r="10" spans="1:26">
      <c r="A10" s="3371" t="s">
        <v>3413</v>
      </c>
      <c r="B10" s="3368" t="s">
        <v>3379</v>
      </c>
      <c r="C10" s="3368" t="s">
        <v>3380</v>
      </c>
      <c r="D10" s="3372" t="s">
        <v>3381</v>
      </c>
      <c r="E10" s="3373" t="s">
        <v>3381</v>
      </c>
      <c r="F10" s="3373"/>
      <c r="G10" s="3373" t="s">
        <v>3382</v>
      </c>
      <c r="H10" s="3373" t="s">
        <v>3414</v>
      </c>
      <c r="I10" s="3373" t="s">
        <v>3415</v>
      </c>
      <c r="J10" s="3378" t="s">
        <v>3416</v>
      </c>
      <c r="K10" s="3390">
        <v>215.51</v>
      </c>
      <c r="L10" s="3373">
        <v>215.51</v>
      </c>
      <c r="M10" s="3373" t="s">
        <v>3417</v>
      </c>
      <c r="N10" s="3368" t="s">
        <v>3415</v>
      </c>
      <c r="O10" s="3374" t="s">
        <v>3418</v>
      </c>
      <c r="P10" s="3368" t="s">
        <v>3419</v>
      </c>
      <c r="Q10" s="3368" t="s">
        <v>3420</v>
      </c>
      <c r="R10" s="3375" t="s">
        <v>3421</v>
      </c>
      <c r="S10" s="3376">
        <v>0.11</v>
      </c>
      <c r="T10" s="3368">
        <v>320</v>
      </c>
      <c r="U10" s="3377">
        <v>827558.39999999991</v>
      </c>
      <c r="V10" s="3370">
        <f t="shared" si="0"/>
        <v>10.666666666666666</v>
      </c>
    </row>
    <row r="11" spans="1:26">
      <c r="A11" s="3371" t="s">
        <v>3422</v>
      </c>
      <c r="B11" s="3368" t="s">
        <v>3379</v>
      </c>
      <c r="C11" s="3368" t="s">
        <v>3380</v>
      </c>
      <c r="D11" s="3372" t="s">
        <v>3381</v>
      </c>
      <c r="E11" s="3373" t="s">
        <v>3381</v>
      </c>
      <c r="F11" s="3373"/>
      <c r="G11" s="3373" t="s">
        <v>3382</v>
      </c>
      <c r="H11" s="3373" t="s">
        <v>3423</v>
      </c>
      <c r="I11" s="3368" t="s">
        <v>3424</v>
      </c>
      <c r="J11" s="3378" t="s">
        <v>3425</v>
      </c>
      <c r="K11" s="3390">
        <v>84.74</v>
      </c>
      <c r="L11" s="3373">
        <v>84.74</v>
      </c>
      <c r="M11" s="3373" t="s">
        <v>3426</v>
      </c>
      <c r="N11" s="3368" t="s">
        <v>3424</v>
      </c>
      <c r="O11" s="3374" t="s">
        <v>3388</v>
      </c>
      <c r="P11" s="3368" t="s">
        <v>3427</v>
      </c>
      <c r="Q11" s="3368" t="s">
        <v>3428</v>
      </c>
      <c r="R11" s="3375" t="s">
        <v>3421</v>
      </c>
      <c r="S11" s="3376"/>
      <c r="T11" s="3368">
        <v>440</v>
      </c>
      <c r="U11" s="3377">
        <v>447427.19999999995</v>
      </c>
      <c r="V11" s="3370">
        <f t="shared" si="0"/>
        <v>14.666666666666666</v>
      </c>
    </row>
    <row r="12" spans="1:26">
      <c r="A12" s="3371" t="s">
        <v>3429</v>
      </c>
      <c r="B12" s="3368" t="s">
        <v>3379</v>
      </c>
      <c r="C12" s="3368" t="s">
        <v>3380</v>
      </c>
      <c r="D12" s="3372" t="s">
        <v>3381</v>
      </c>
      <c r="E12" s="3373" t="s">
        <v>3381</v>
      </c>
      <c r="F12" s="3373"/>
      <c r="G12" s="3373" t="s">
        <v>3430</v>
      </c>
      <c r="H12" s="3373" t="s">
        <v>3431</v>
      </c>
      <c r="I12" s="3368" t="s">
        <v>3432</v>
      </c>
      <c r="J12" s="3378" t="s">
        <v>3433</v>
      </c>
      <c r="K12" s="3389">
        <v>323.58999999999997</v>
      </c>
      <c r="L12" s="3373">
        <v>323.58999999999997</v>
      </c>
      <c r="M12" s="3373" t="s">
        <v>3434</v>
      </c>
      <c r="N12" s="3368" t="s">
        <v>3435</v>
      </c>
      <c r="O12" s="3374" t="s">
        <v>3388</v>
      </c>
      <c r="P12" s="3368" t="s">
        <v>3436</v>
      </c>
      <c r="Q12" s="3368" t="s">
        <v>3437</v>
      </c>
      <c r="R12" s="3375" t="s">
        <v>3391</v>
      </c>
      <c r="S12" s="3376"/>
      <c r="T12" s="3368">
        <v>280</v>
      </c>
      <c r="U12" s="3377">
        <v>1087262.3999999999</v>
      </c>
      <c r="V12" s="3370">
        <f t="shared" si="0"/>
        <v>9.3333333333333339</v>
      </c>
    </row>
    <row r="13" spans="1:26">
      <c r="A13" s="3371" t="s">
        <v>3438</v>
      </c>
      <c r="B13" s="3368" t="s">
        <v>3379</v>
      </c>
      <c r="C13" s="3368" t="s">
        <v>3380</v>
      </c>
      <c r="D13" s="3372" t="s">
        <v>3381</v>
      </c>
      <c r="E13" s="3373" t="s">
        <v>3381</v>
      </c>
      <c r="F13" s="3373"/>
      <c r="G13" s="3373" t="s">
        <v>3382</v>
      </c>
      <c r="H13" s="3373" t="s">
        <v>3439</v>
      </c>
      <c r="I13" s="3368" t="s">
        <v>3440</v>
      </c>
      <c r="J13" s="3378" t="s">
        <v>3441</v>
      </c>
      <c r="K13" s="3390">
        <v>633.4</v>
      </c>
      <c r="L13" s="3373">
        <v>633.4</v>
      </c>
      <c r="M13" s="3373" t="s">
        <v>3442</v>
      </c>
      <c r="N13" s="3368" t="s">
        <v>3395</v>
      </c>
      <c r="O13" s="3374" t="s">
        <v>3398</v>
      </c>
      <c r="P13" s="3368" t="s">
        <v>3443</v>
      </c>
      <c r="Q13" s="3368" t="s">
        <v>3444</v>
      </c>
      <c r="R13" s="3375" t="s">
        <v>3445</v>
      </c>
      <c r="S13" s="3376">
        <v>0.11</v>
      </c>
      <c r="T13" s="3368">
        <v>290</v>
      </c>
      <c r="U13" s="3377">
        <v>2204232</v>
      </c>
      <c r="V13" s="3370">
        <f t="shared" si="0"/>
        <v>9.6666666666666661</v>
      </c>
    </row>
    <row r="14" spans="1:26">
      <c r="A14" s="3371" t="s">
        <v>3446</v>
      </c>
      <c r="B14" s="3368" t="s">
        <v>3340</v>
      </c>
      <c r="C14" s="3368" t="s">
        <v>3341</v>
      </c>
      <c r="D14" s="3372" t="s">
        <v>3342</v>
      </c>
      <c r="E14" s="3373" t="s">
        <v>3342</v>
      </c>
      <c r="F14" s="3373"/>
      <c r="G14" s="3373" t="s">
        <v>3370</v>
      </c>
      <c r="H14" s="3373" t="s">
        <v>3447</v>
      </c>
      <c r="I14" s="3368" t="s">
        <v>3448</v>
      </c>
      <c r="J14" s="3378" t="s">
        <v>3449</v>
      </c>
      <c r="K14" s="3390">
        <v>67.900000000000006</v>
      </c>
      <c r="L14" s="3373">
        <v>67.900000000000006</v>
      </c>
      <c r="M14" s="3373" t="s">
        <v>3450</v>
      </c>
      <c r="N14" s="3368" t="s">
        <v>3451</v>
      </c>
      <c r="O14" s="3374" t="s">
        <v>3335</v>
      </c>
      <c r="P14" s="3368" t="s">
        <v>3452</v>
      </c>
      <c r="Q14" s="3368" t="s">
        <v>3453</v>
      </c>
      <c r="R14" s="3375" t="s">
        <v>3454</v>
      </c>
      <c r="S14" s="3376"/>
      <c r="T14" s="3368">
        <v>250</v>
      </c>
      <c r="U14" s="3377">
        <v>203700</v>
      </c>
      <c r="V14" s="3370">
        <f t="shared" si="0"/>
        <v>8.3333333333333339</v>
      </c>
    </row>
    <row r="15" spans="1:26">
      <c r="A15" s="3371" t="s">
        <v>3455</v>
      </c>
      <c r="B15" s="3368" t="s">
        <v>3456</v>
      </c>
      <c r="C15" s="3368" t="s">
        <v>3457</v>
      </c>
      <c r="D15" s="3372" t="s">
        <v>3458</v>
      </c>
      <c r="E15" s="3373" t="s">
        <v>41</v>
      </c>
      <c r="F15" s="3373"/>
      <c r="G15" s="3373" t="s">
        <v>3459</v>
      </c>
      <c r="H15" s="3373" t="s">
        <v>3460</v>
      </c>
      <c r="I15" s="3373" t="s">
        <v>3461</v>
      </c>
      <c r="J15" s="3373" t="s">
        <v>3462</v>
      </c>
      <c r="K15" s="3388">
        <v>38.58</v>
      </c>
      <c r="L15" s="3368">
        <v>38.58</v>
      </c>
      <c r="M15" s="3372" t="s">
        <v>3463</v>
      </c>
      <c r="N15" s="3368" t="s">
        <v>3461</v>
      </c>
      <c r="O15" s="3374" t="s">
        <v>3464</v>
      </c>
      <c r="P15" s="3368" t="s">
        <v>3465</v>
      </c>
      <c r="Q15" s="3368" t="s">
        <v>3466</v>
      </c>
      <c r="R15" s="3375" t="s">
        <v>3467</v>
      </c>
      <c r="S15" s="3376"/>
      <c r="T15" s="3368">
        <v>348</v>
      </c>
      <c r="U15" s="3377">
        <v>161110.08000000002</v>
      </c>
      <c r="V15" s="3370">
        <f t="shared" si="0"/>
        <v>11.6</v>
      </c>
    </row>
    <row r="16" spans="1:26">
      <c r="A16" s="3371" t="s">
        <v>3468</v>
      </c>
      <c r="B16" s="3368" t="s">
        <v>3456</v>
      </c>
      <c r="C16" s="3368" t="s">
        <v>3457</v>
      </c>
      <c r="D16" s="3372" t="s">
        <v>3458</v>
      </c>
      <c r="E16" s="3373" t="s">
        <v>41</v>
      </c>
      <c r="F16" s="3373"/>
      <c r="G16" s="3373" t="s">
        <v>3459</v>
      </c>
      <c r="H16" s="3373" t="s">
        <v>3469</v>
      </c>
      <c r="I16" s="3373" t="s">
        <v>3470</v>
      </c>
      <c r="J16" s="3373" t="s">
        <v>3471</v>
      </c>
      <c r="K16" s="3388">
        <v>110.14</v>
      </c>
      <c r="L16" s="3368">
        <v>110.14</v>
      </c>
      <c r="M16" s="3372" t="s">
        <v>3472</v>
      </c>
      <c r="N16" s="3368" t="s">
        <v>3346</v>
      </c>
      <c r="O16" s="3374" t="s">
        <v>3464</v>
      </c>
      <c r="P16" s="3368" t="s">
        <v>3473</v>
      </c>
      <c r="Q16" s="3368" t="s">
        <v>3474</v>
      </c>
      <c r="R16" s="3375" t="s">
        <v>3338</v>
      </c>
      <c r="S16" s="3376"/>
      <c r="T16" s="3368">
        <v>336</v>
      </c>
      <c r="U16" s="3377">
        <v>444084.47999999998</v>
      </c>
      <c r="V16" s="3370">
        <f t="shared" si="0"/>
        <v>11.2</v>
      </c>
    </row>
    <row r="17" spans="1:22">
      <c r="A17" s="3371" t="s">
        <v>3475</v>
      </c>
      <c r="B17" s="3368" t="s">
        <v>3476</v>
      </c>
      <c r="C17" s="3368" t="s">
        <v>3341</v>
      </c>
      <c r="D17" s="3372" t="s">
        <v>3342</v>
      </c>
      <c r="E17" s="3373" t="s">
        <v>41</v>
      </c>
      <c r="F17" s="3373"/>
      <c r="G17" s="3373" t="s">
        <v>3370</v>
      </c>
      <c r="H17" s="3373" t="s">
        <v>3477</v>
      </c>
      <c r="I17" s="3373" t="s">
        <v>3372</v>
      </c>
      <c r="J17" s="3373" t="s">
        <v>3478</v>
      </c>
      <c r="K17" s="3389">
        <v>35.700000000000003</v>
      </c>
      <c r="L17" s="3373">
        <v>35.700000000000003</v>
      </c>
      <c r="M17" s="3372" t="s">
        <v>3479</v>
      </c>
      <c r="N17" s="3368" t="s">
        <v>3346</v>
      </c>
      <c r="O17" s="3374" t="s">
        <v>3464</v>
      </c>
      <c r="P17" s="3368" t="s">
        <v>3480</v>
      </c>
      <c r="Q17" s="3368" t="s">
        <v>3481</v>
      </c>
      <c r="R17" s="3375" t="s">
        <v>3338</v>
      </c>
      <c r="S17" s="3376"/>
      <c r="T17" s="3368">
        <v>293.39999999999998</v>
      </c>
      <c r="U17" s="3377">
        <v>125692.56</v>
      </c>
      <c r="V17" s="3370">
        <f t="shared" si="0"/>
        <v>9.7799999999999994</v>
      </c>
    </row>
    <row r="18" spans="1:22">
      <c r="A18" s="3371" t="s">
        <v>3482</v>
      </c>
      <c r="B18" s="3368" t="s">
        <v>3476</v>
      </c>
      <c r="C18" s="3368" t="s">
        <v>3341</v>
      </c>
      <c r="D18" s="3372" t="s">
        <v>3342</v>
      </c>
      <c r="E18" s="3373" t="s">
        <v>41</v>
      </c>
      <c r="F18" s="3373"/>
      <c r="G18" s="3373" t="s">
        <v>3344</v>
      </c>
      <c r="H18" s="3373" t="s">
        <v>3483</v>
      </c>
      <c r="I18" s="3373" t="s">
        <v>3346</v>
      </c>
      <c r="J18" s="3373" t="s">
        <v>3484</v>
      </c>
      <c r="K18" s="3389">
        <v>65.239999999999995</v>
      </c>
      <c r="L18" s="3373">
        <v>65.239999999999995</v>
      </c>
      <c r="M18" s="3372" t="s">
        <v>3485</v>
      </c>
      <c r="N18" s="3368" t="s">
        <v>3346</v>
      </c>
      <c r="O18" s="3374" t="s">
        <v>3464</v>
      </c>
      <c r="P18" s="3368" t="s">
        <v>3486</v>
      </c>
      <c r="Q18" s="3368" t="s">
        <v>3487</v>
      </c>
      <c r="R18" s="3375" t="s">
        <v>3338</v>
      </c>
      <c r="S18" s="3376"/>
      <c r="T18" s="3368">
        <v>347.40000000000003</v>
      </c>
      <c r="U18" s="3377">
        <v>271972.51199999999</v>
      </c>
      <c r="V18" s="3370">
        <f t="shared" si="0"/>
        <v>11.580000000000002</v>
      </c>
    </row>
    <row r="19" spans="1:22">
      <c r="A19" s="3371" t="s">
        <v>3488</v>
      </c>
      <c r="B19" s="3368" t="s">
        <v>3476</v>
      </c>
      <c r="C19" s="3368" t="s">
        <v>3341</v>
      </c>
      <c r="D19" s="3372" t="s">
        <v>3342</v>
      </c>
      <c r="E19" s="3373" t="s">
        <v>41</v>
      </c>
      <c r="F19" s="3373"/>
      <c r="G19" s="3373" t="s">
        <v>3344</v>
      </c>
      <c r="H19" s="3373" t="s">
        <v>3489</v>
      </c>
      <c r="I19" s="3373" t="s">
        <v>3346</v>
      </c>
      <c r="J19" s="3373" t="s">
        <v>3490</v>
      </c>
      <c r="K19" s="3389">
        <v>67.150000000000006</v>
      </c>
      <c r="L19" s="3373">
        <v>67.150000000000006</v>
      </c>
      <c r="M19" s="3372" t="s">
        <v>3491</v>
      </c>
      <c r="N19" s="3368" t="s">
        <v>3346</v>
      </c>
      <c r="O19" s="3374" t="s">
        <v>3464</v>
      </c>
      <c r="P19" s="3368" t="s">
        <v>3492</v>
      </c>
      <c r="Q19" s="3368" t="s">
        <v>3493</v>
      </c>
      <c r="R19" s="3375" t="s">
        <v>3494</v>
      </c>
      <c r="S19" s="3376"/>
      <c r="T19" s="3368">
        <v>280</v>
      </c>
      <c r="U19" s="3377">
        <v>225624</v>
      </c>
      <c r="V19" s="3370">
        <f t="shared" si="0"/>
        <v>9.3333333333333339</v>
      </c>
    </row>
    <row r="20" spans="1:22">
      <c r="A20" s="3371" t="s">
        <v>3495</v>
      </c>
      <c r="B20" s="3368" t="s">
        <v>3476</v>
      </c>
      <c r="C20" s="3368" t="s">
        <v>3341</v>
      </c>
      <c r="D20" s="3372" t="s">
        <v>3342</v>
      </c>
      <c r="E20" s="3373" t="s">
        <v>41</v>
      </c>
      <c r="F20" s="3373"/>
      <c r="G20" s="3373" t="s">
        <v>3370</v>
      </c>
      <c r="H20" s="3373" t="s">
        <v>3496</v>
      </c>
      <c r="I20" s="3373" t="s">
        <v>3497</v>
      </c>
      <c r="J20" s="3373" t="s">
        <v>3498</v>
      </c>
      <c r="K20" s="3389">
        <v>65.12</v>
      </c>
      <c r="L20" s="3373">
        <v>65.12</v>
      </c>
      <c r="M20" s="3372" t="s">
        <v>3499</v>
      </c>
      <c r="N20" s="3368" t="s">
        <v>3497</v>
      </c>
      <c r="O20" s="3374" t="s">
        <v>3464</v>
      </c>
      <c r="P20" s="3368" t="s">
        <v>3500</v>
      </c>
      <c r="Q20" s="3368" t="s">
        <v>3501</v>
      </c>
      <c r="R20" s="3375" t="s">
        <v>3338</v>
      </c>
      <c r="S20" s="3376"/>
      <c r="T20" s="3368">
        <v>344.4</v>
      </c>
      <c r="U20" s="3377">
        <v>269127.93599999999</v>
      </c>
      <c r="V20" s="3370">
        <f t="shared" si="0"/>
        <v>11.479999999999999</v>
      </c>
    </row>
    <row r="21" spans="1:22">
      <c r="A21" s="3371" t="s">
        <v>3502</v>
      </c>
      <c r="B21" s="3368" t="s">
        <v>3476</v>
      </c>
      <c r="C21" s="3368" t="s">
        <v>3341</v>
      </c>
      <c r="D21" s="3372" t="s">
        <v>3342</v>
      </c>
      <c r="E21" s="3373" t="s">
        <v>41</v>
      </c>
      <c r="F21" s="3373"/>
      <c r="G21" s="3373" t="s">
        <v>3344</v>
      </c>
      <c r="H21" s="3373" t="s">
        <v>3503</v>
      </c>
      <c r="I21" s="3373" t="s">
        <v>3346</v>
      </c>
      <c r="J21" s="3373" t="s">
        <v>3504</v>
      </c>
      <c r="K21" s="3389">
        <v>53.21</v>
      </c>
      <c r="L21" s="3373">
        <v>53.21</v>
      </c>
      <c r="M21" s="3372" t="s">
        <v>3505</v>
      </c>
      <c r="N21" s="3368" t="s">
        <v>3346</v>
      </c>
      <c r="O21" s="3374" t="s">
        <v>3464</v>
      </c>
      <c r="P21" s="3368" t="s">
        <v>3506</v>
      </c>
      <c r="Q21" s="3368" t="s">
        <v>3507</v>
      </c>
      <c r="R21" s="3375" t="s">
        <v>3338</v>
      </c>
      <c r="S21" s="3376"/>
      <c r="T21" s="3368">
        <v>395.99999999999994</v>
      </c>
      <c r="U21" s="3377">
        <v>252853.91999999995</v>
      </c>
      <c r="V21" s="3370">
        <f t="shared" si="0"/>
        <v>13.199999999999998</v>
      </c>
    </row>
    <row r="22" spans="1:22">
      <c r="A22" s="3371" t="s">
        <v>3508</v>
      </c>
      <c r="B22" s="3368" t="s">
        <v>3456</v>
      </c>
      <c r="C22" s="3368" t="s">
        <v>3457</v>
      </c>
      <c r="D22" s="3372" t="s">
        <v>3458</v>
      </c>
      <c r="E22" s="3373" t="s">
        <v>41</v>
      </c>
      <c r="F22" s="3373"/>
      <c r="G22" s="3373" t="s">
        <v>3509</v>
      </c>
      <c r="H22" s="3373" t="s">
        <v>3510</v>
      </c>
      <c r="I22" s="3373" t="s">
        <v>3470</v>
      </c>
      <c r="J22" s="3379" t="s">
        <v>3511</v>
      </c>
      <c r="K22" s="3389">
        <v>147.6</v>
      </c>
      <c r="L22" s="3373">
        <v>147.6</v>
      </c>
      <c r="M22" s="3372" t="s">
        <v>3512</v>
      </c>
      <c r="N22" s="3368" t="s">
        <v>3470</v>
      </c>
      <c r="O22" s="3374" t="s">
        <v>3464</v>
      </c>
      <c r="P22" s="3368" t="s">
        <v>3513</v>
      </c>
      <c r="Q22" s="3368" t="s">
        <v>3514</v>
      </c>
      <c r="R22" s="3375" t="s">
        <v>3467</v>
      </c>
      <c r="S22" s="3376"/>
      <c r="T22" s="3368">
        <v>366.8</v>
      </c>
      <c r="U22" s="3377">
        <v>649676.16</v>
      </c>
      <c r="V22" s="3370">
        <f t="shared" si="0"/>
        <v>12.226666666666667</v>
      </c>
    </row>
    <row r="23" spans="1:22">
      <c r="A23" s="3371" t="s">
        <v>3515</v>
      </c>
      <c r="B23" s="3368" t="s">
        <v>3456</v>
      </c>
      <c r="C23" s="3368" t="s">
        <v>3457</v>
      </c>
      <c r="D23" s="3372" t="s">
        <v>3458</v>
      </c>
      <c r="E23" s="3373" t="s">
        <v>41</v>
      </c>
      <c r="F23" s="3373"/>
      <c r="G23" s="3373" t="s">
        <v>3516</v>
      </c>
      <c r="H23" s="3373" t="s">
        <v>3517</v>
      </c>
      <c r="I23" s="3373" t="s">
        <v>3346</v>
      </c>
      <c r="J23" s="3373" t="s">
        <v>3518</v>
      </c>
      <c r="K23" s="3389">
        <v>367.91</v>
      </c>
      <c r="L23" s="3373">
        <v>367.91</v>
      </c>
      <c r="M23" s="3372" t="s">
        <v>3519</v>
      </c>
      <c r="N23" s="3368" t="s">
        <v>3346</v>
      </c>
      <c r="O23" s="3374" t="s">
        <v>3464</v>
      </c>
      <c r="P23" s="3368" t="s">
        <v>3520</v>
      </c>
      <c r="Q23" s="3368" t="s">
        <v>3521</v>
      </c>
      <c r="R23" s="3375" t="s">
        <v>3522</v>
      </c>
      <c r="S23" s="3376"/>
      <c r="T23" s="3368">
        <v>289</v>
      </c>
      <c r="U23" s="3377">
        <v>1275911.8800000001</v>
      </c>
      <c r="V23" s="3370">
        <f t="shared" si="0"/>
        <v>9.6333333333333329</v>
      </c>
    </row>
    <row r="24" spans="1:22">
      <c r="A24" s="3371" t="s">
        <v>3523</v>
      </c>
      <c r="B24" s="3368" t="s">
        <v>3476</v>
      </c>
      <c r="C24" s="3368" t="s">
        <v>3341</v>
      </c>
      <c r="D24" s="3372" t="s">
        <v>3342</v>
      </c>
      <c r="E24" s="3373" t="s">
        <v>41</v>
      </c>
      <c r="F24" s="3373"/>
      <c r="G24" s="3373" t="s">
        <v>3344</v>
      </c>
      <c r="H24" s="3373" t="s">
        <v>3524</v>
      </c>
      <c r="I24" s="3373" t="s">
        <v>3451</v>
      </c>
      <c r="J24" s="3373" t="s">
        <v>3525</v>
      </c>
      <c r="K24" s="3389">
        <v>42.26</v>
      </c>
      <c r="L24" s="3373">
        <v>42.26</v>
      </c>
      <c r="M24" s="3372" t="s">
        <v>3526</v>
      </c>
      <c r="N24" s="3368" t="s">
        <v>3451</v>
      </c>
      <c r="O24" s="3374" t="s">
        <v>3464</v>
      </c>
      <c r="P24" s="3368" t="s">
        <v>3527</v>
      </c>
      <c r="Q24" s="3368" t="s">
        <v>3528</v>
      </c>
      <c r="R24" s="3375" t="s">
        <v>3529</v>
      </c>
      <c r="S24" s="3376"/>
      <c r="T24" s="3368">
        <v>377.91600000000005</v>
      </c>
      <c r="U24" s="3377">
        <v>191648.76192000002</v>
      </c>
      <c r="V24" s="3370">
        <f t="shared" si="0"/>
        <v>12.597200000000003</v>
      </c>
    </row>
    <row r="25" spans="1:22">
      <c r="A25" s="3371" t="s">
        <v>3530</v>
      </c>
      <c r="B25" s="3368" t="s">
        <v>3476</v>
      </c>
      <c r="C25" s="3368" t="s">
        <v>3341</v>
      </c>
      <c r="D25" s="3372" t="s">
        <v>3342</v>
      </c>
      <c r="E25" s="3373" t="s">
        <v>41</v>
      </c>
      <c r="F25" s="3373"/>
      <c r="G25" s="3373" t="s">
        <v>3344</v>
      </c>
      <c r="H25" s="3373" t="s">
        <v>3531</v>
      </c>
      <c r="I25" s="3373" t="s">
        <v>3451</v>
      </c>
      <c r="J25" s="3373" t="s">
        <v>3532</v>
      </c>
      <c r="K25" s="3389">
        <v>176.21</v>
      </c>
      <c r="L25" s="3373">
        <v>176.21</v>
      </c>
      <c r="M25" s="3372" t="s">
        <v>3533</v>
      </c>
      <c r="N25" s="3368" t="s">
        <v>3451</v>
      </c>
      <c r="O25" s="3374" t="s">
        <v>3464</v>
      </c>
      <c r="P25" s="3368" t="s">
        <v>3534</v>
      </c>
      <c r="Q25" s="3368" t="s">
        <v>3535</v>
      </c>
      <c r="R25" s="3375" t="s">
        <v>3338</v>
      </c>
      <c r="S25" s="3376"/>
      <c r="T25" s="3368">
        <v>416</v>
      </c>
      <c r="U25" s="3377">
        <v>879640.32000000007</v>
      </c>
      <c r="V25" s="3370">
        <f t="shared" si="0"/>
        <v>13.866666666666667</v>
      </c>
    </row>
    <row r="26" spans="1:22">
      <c r="A26" s="3371" t="s">
        <v>3536</v>
      </c>
      <c r="B26" s="3368" t="s">
        <v>3476</v>
      </c>
      <c r="C26" s="3368" t="s">
        <v>3341</v>
      </c>
      <c r="D26" s="3372" t="s">
        <v>3342</v>
      </c>
      <c r="E26" s="3373" t="s">
        <v>41</v>
      </c>
      <c r="F26" s="3373"/>
      <c r="G26" s="3373" t="s">
        <v>3370</v>
      </c>
      <c r="H26" s="3373" t="s">
        <v>3537</v>
      </c>
      <c r="I26" s="3373" t="s">
        <v>3538</v>
      </c>
      <c r="J26" s="3373" t="s">
        <v>3539</v>
      </c>
      <c r="K26" s="3389">
        <v>143.13</v>
      </c>
      <c r="L26" s="3373">
        <v>143.13</v>
      </c>
      <c r="M26" s="3372" t="s">
        <v>3540</v>
      </c>
      <c r="N26" s="3368" t="s">
        <v>3541</v>
      </c>
      <c r="O26" s="3374" t="s">
        <v>3464</v>
      </c>
      <c r="P26" s="3368" t="s">
        <v>3542</v>
      </c>
      <c r="Q26" s="3368" t="s">
        <v>3543</v>
      </c>
      <c r="R26" s="3375" t="s">
        <v>3338</v>
      </c>
      <c r="S26" s="3376"/>
      <c r="T26" s="3368">
        <v>378.00041919932926</v>
      </c>
      <c r="U26" s="3377">
        <v>649238.39999999991</v>
      </c>
      <c r="V26" s="3370">
        <f t="shared" si="0"/>
        <v>12.600013973310976</v>
      </c>
    </row>
    <row r="27" spans="1:22">
      <c r="A27" s="3371" t="s">
        <v>3544</v>
      </c>
      <c r="B27" s="3368" t="s">
        <v>3476</v>
      </c>
      <c r="C27" s="3368" t="s">
        <v>3341</v>
      </c>
      <c r="D27" s="3372" t="s">
        <v>3342</v>
      </c>
      <c r="E27" s="3373" t="s">
        <v>41</v>
      </c>
      <c r="F27" s="3373"/>
      <c r="G27" s="3373" t="s">
        <v>3344</v>
      </c>
      <c r="H27" s="3373" t="s">
        <v>3545</v>
      </c>
      <c r="I27" s="3373" t="s">
        <v>3451</v>
      </c>
      <c r="J27" s="3373" t="s">
        <v>3546</v>
      </c>
      <c r="K27" s="3390">
        <v>55.71</v>
      </c>
      <c r="L27" s="3373">
        <v>55.71</v>
      </c>
      <c r="M27" s="3372" t="s">
        <v>3547</v>
      </c>
      <c r="N27" s="3368" t="s">
        <v>3541</v>
      </c>
      <c r="O27" s="3374" t="s">
        <v>3464</v>
      </c>
      <c r="P27" s="3368" t="s">
        <v>3548</v>
      </c>
      <c r="Q27" s="3368" t="s">
        <v>3549</v>
      </c>
      <c r="R27" s="3375" t="s">
        <v>3550</v>
      </c>
      <c r="S27" s="3376"/>
      <c r="T27" s="3368">
        <v>420</v>
      </c>
      <c r="U27" s="3377">
        <v>280778.40000000002</v>
      </c>
      <c r="V27" s="3370">
        <f t="shared" si="0"/>
        <v>14</v>
      </c>
    </row>
    <row r="28" spans="1:22">
      <c r="A28" s="3371" t="s">
        <v>3551</v>
      </c>
      <c r="B28" s="3368" t="s">
        <v>3476</v>
      </c>
      <c r="C28" s="3368" t="s">
        <v>3341</v>
      </c>
      <c r="D28" s="3372" t="s">
        <v>3342</v>
      </c>
      <c r="E28" s="3373" t="s">
        <v>41</v>
      </c>
      <c r="F28" s="3373"/>
      <c r="G28" s="3373" t="s">
        <v>3344</v>
      </c>
      <c r="H28" s="3373" t="s">
        <v>3552</v>
      </c>
      <c r="I28" s="3373" t="s">
        <v>3451</v>
      </c>
      <c r="J28" s="3373" t="s">
        <v>3553</v>
      </c>
      <c r="K28" s="3390">
        <v>60.13</v>
      </c>
      <c r="L28" s="3373">
        <v>60.13</v>
      </c>
      <c r="M28" s="3372" t="s">
        <v>3554</v>
      </c>
      <c r="N28" s="3368" t="s">
        <v>3451</v>
      </c>
      <c r="O28" s="3374" t="s">
        <v>3464</v>
      </c>
      <c r="P28" s="3368" t="s">
        <v>3548</v>
      </c>
      <c r="Q28" s="3368" t="s">
        <v>3555</v>
      </c>
      <c r="R28" s="3375" t="s">
        <v>3550</v>
      </c>
      <c r="S28" s="3376"/>
      <c r="T28" s="3368">
        <v>410</v>
      </c>
      <c r="U28" s="3377">
        <v>295839.59999999998</v>
      </c>
      <c r="V28" s="3370">
        <f t="shared" si="0"/>
        <v>13.666666666666666</v>
      </c>
    </row>
    <row r="29" spans="1:22">
      <c r="K29" s="3381">
        <f>SUM(K2:K28)</f>
        <v>4518.58</v>
      </c>
    </row>
  </sheetData>
  <phoneticPr fontId="205" type="noConversion"/>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4"/>
  <sheetViews>
    <sheetView topLeftCell="A13" workbookViewId="0">
      <selection activeCell="R177" sqref="R177"/>
    </sheetView>
  </sheetViews>
  <sheetFormatPr defaultRowHeight="13.5"/>
  <sheetData>
    <row r="54" spans="16:16">
      <c r="P54">
        <f>ROUND((27.8+36+30)/3,0)</f>
        <v>31</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0" t="s">
        <v>2859</v>
      </c>
      <c r="B1" s="3440"/>
      <c r="C1" s="3440"/>
      <c r="D1" s="3440"/>
    </row>
    <row r="2" spans="1:4" ht="18.75">
      <c r="A2" s="3441" t="s">
        <v>2119</v>
      </c>
      <c r="B2" s="3441"/>
      <c r="C2" s="3441"/>
      <c r="D2" s="3441"/>
    </row>
    <row r="3" spans="1:4" ht="18.75">
      <c r="A3" s="2609" t="s">
        <v>2120</v>
      </c>
      <c r="B3" s="2609" t="s">
        <v>2121</v>
      </c>
      <c r="C3" s="2609" t="s">
        <v>2122</v>
      </c>
      <c r="D3" s="2609" t="s">
        <v>2123</v>
      </c>
    </row>
    <row r="4" spans="1:4" ht="56.25" customHeight="1">
      <c r="A4" s="2615">
        <f>项目基本情况!B4</f>
        <v>0</v>
      </c>
      <c r="B4" s="2610">
        <f>项目基本情况!C4</f>
        <v>0</v>
      </c>
      <c r="C4" s="2613"/>
      <c r="D4" s="2611" t="s">
        <v>2124</v>
      </c>
    </row>
    <row r="5" spans="1:4" ht="56.25" customHeight="1">
      <c r="A5" s="2615">
        <f>项目基本情况!D4</f>
        <v>0</v>
      </c>
      <c r="B5" s="2610">
        <f>项目基本情况!E4</f>
        <v>0</v>
      </c>
      <c r="C5" s="2614"/>
      <c r="D5" s="2611" t="s">
        <v>2124</v>
      </c>
    </row>
    <row r="6" spans="1:4" ht="18.75">
      <c r="A6" s="3441" t="s">
        <v>2621</v>
      </c>
      <c r="B6" s="3441"/>
      <c r="C6" s="3441"/>
      <c r="D6" s="3441"/>
    </row>
    <row r="7" spans="1:4" ht="18.75">
      <c r="A7" s="2609" t="s">
        <v>2120</v>
      </c>
      <c r="B7" s="2610" t="s">
        <v>2125</v>
      </c>
      <c r="C7" s="2609" t="s">
        <v>2122</v>
      </c>
      <c r="D7" s="2609" t="s">
        <v>2123</v>
      </c>
    </row>
    <row r="8" spans="1:4" ht="56.25" customHeight="1">
      <c r="A8" s="2612" t="s">
        <v>2126</v>
      </c>
      <c r="B8" s="2612" t="s">
        <v>23</v>
      </c>
      <c r="C8" s="2613"/>
      <c r="D8" s="2611" t="s">
        <v>2124</v>
      </c>
    </row>
    <row r="9" spans="1:4">
      <c r="A9" s="1492"/>
      <c r="B9" s="1492"/>
      <c r="C9" s="1492"/>
      <c r="D9" s="1492"/>
    </row>
    <row r="10" spans="1:4" ht="18.75">
      <c r="A10" s="2091" t="s">
        <v>2127</v>
      </c>
      <c r="B10" s="1492"/>
      <c r="C10" s="1492"/>
      <c r="D10" s="1492"/>
    </row>
    <row r="11" spans="1:4" ht="30" customHeight="1">
      <c r="A11" s="3442" t="s">
        <v>2713</v>
      </c>
      <c r="B11" s="3443"/>
      <c r="C11" s="3443"/>
      <c r="D11" s="3443"/>
    </row>
    <row r="12" spans="1:4" ht="14.25">
      <c r="A12" s="3443" t="str">
        <f>IF(项目基本情况!B8="抵押","2.本《评估意见函》仅供金融机构进行内部审核使用，不做其他目的之用。","")</f>
        <v>2.本《评估意见函》仅供金融机构进行内部审核使用，不做其他目的之用。</v>
      </c>
      <c r="B12" s="3444"/>
      <c r="C12" s="3444"/>
      <c r="D12" s="3444"/>
    </row>
    <row r="13" spans="1:4" ht="30" customHeight="1">
      <c r="A13" s="34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4"/>
      <c r="C13" s="3444"/>
      <c r="D13" s="3444"/>
    </row>
    <row r="14" spans="1:4" ht="15.75" customHeight="1">
      <c r="A14" s="3443" t="str">
        <f>IF(项目基本情况!B8="抵押","4.本次评估估价师所知悉的法定优先受偿款情况说明如下：","")</f>
        <v>4.本次评估估价师所知悉的法定优先受偿款情况说明如下：</v>
      </c>
      <c r="B14" s="3444"/>
      <c r="C14" s="3444"/>
      <c r="D14" s="3444"/>
    </row>
    <row r="15" spans="1:4" ht="42" customHeight="1">
      <c r="A15" s="34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3"/>
      <c r="C15" s="3443"/>
      <c r="D15" s="3443"/>
    </row>
    <row r="16" spans="1:4" ht="30" customHeight="1">
      <c r="A16" s="3446" t="s">
        <v>2131</v>
      </c>
      <c r="B16" s="3446"/>
      <c r="C16" s="3446"/>
      <c r="D16" s="3446"/>
    </row>
    <row r="17" spans="1:4" ht="144" customHeight="1">
      <c r="A17" s="3446" t="s">
        <v>2132</v>
      </c>
      <c r="B17" s="3446"/>
      <c r="C17" s="3446"/>
      <c r="D17" s="3446"/>
    </row>
    <row r="18" spans="1:4" ht="15.75" customHeight="1">
      <c r="A18" s="3443" t="str">
        <f>IF(项目基本情况!B8="抵押",结果表!K120,"")</f>
        <v>故，本次评估不存在估价师知悉的法定优先受偿款</v>
      </c>
      <c r="B18" s="3443"/>
      <c r="C18" s="3443"/>
      <c r="D18" s="3443"/>
    </row>
    <row r="19" spans="1:4" ht="46.5" customHeight="1">
      <c r="A19" s="344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3"/>
      <c r="C19" s="3443"/>
      <c r="D19" s="3443"/>
    </row>
    <row r="20" spans="1:4" ht="57.75" customHeight="1">
      <c r="A20" s="344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43"/>
      <c r="C20" s="3443"/>
      <c r="D20" s="3443"/>
    </row>
    <row r="21" spans="1:4" ht="57.75" customHeight="1">
      <c r="A21" s="344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47"/>
      <c r="C21" s="3447"/>
      <c r="D21" s="3447"/>
    </row>
    <row r="22" spans="1:4" ht="18.75" customHeight="1">
      <c r="A22" s="3448" t="s">
        <v>2881</v>
      </c>
      <c r="B22" s="3448"/>
      <c r="C22" s="3448"/>
      <c r="D22" s="3448"/>
    </row>
    <row r="23" spans="1:4">
      <c r="A23" s="1981"/>
      <c r="B23" s="1990"/>
      <c r="C23" s="1990"/>
      <c r="D23" s="1990"/>
    </row>
    <row r="24" spans="1:4">
      <c r="A24" s="1981"/>
      <c r="B24" s="1990"/>
      <c r="C24" s="1990"/>
      <c r="D24" s="1990"/>
    </row>
    <row r="25" spans="1:4" ht="18.75">
      <c r="A25" s="1979" t="s">
        <v>2128</v>
      </c>
    </row>
    <row r="26" spans="1:4" ht="18.75">
      <c r="A26" s="1951"/>
    </row>
    <row r="27" spans="1:4" ht="18.75">
      <c r="A27" s="1951" t="s">
        <v>2129</v>
      </c>
    </row>
    <row r="30" spans="1:4" ht="18.75">
      <c r="D30" s="1979" t="s">
        <v>2130</v>
      </c>
    </row>
    <row r="31" spans="1:4" ht="13.5" customHeight="1">
      <c r="C31" s="3445">
        <v>42551</v>
      </c>
      <c r="D31" s="344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71" t="s">
        <v>2135</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1136</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54" t="s">
        <v>557</v>
      </c>
      <c r="B15" s="3449" t="s">
        <v>1137</v>
      </c>
      <c r="C15" s="3450"/>
    </row>
    <row r="16" spans="1:7" ht="13.5">
      <c r="A16" s="3455"/>
      <c r="B16" s="3449" t="s">
        <v>530</v>
      </c>
      <c r="C16" s="3450"/>
    </row>
    <row r="17" spans="1:3" ht="13.5">
      <c r="A17" s="3455"/>
      <c r="B17" s="3452" t="s">
        <v>558</v>
      </c>
      <c r="C17" s="1149" t="s">
        <v>557</v>
      </c>
    </row>
    <row r="18" spans="1:3" ht="13.5">
      <c r="A18" s="3455"/>
      <c r="B18" s="3452"/>
      <c r="C18" s="1149" t="s">
        <v>559</v>
      </c>
    </row>
    <row r="19" spans="1:3" ht="13.5">
      <c r="A19" s="3455"/>
      <c r="B19" s="3452"/>
      <c r="C19" s="1149" t="s">
        <v>560</v>
      </c>
    </row>
    <row r="20" spans="1:3" ht="13.5">
      <c r="A20" s="3456"/>
      <c r="B20" s="3451" t="s">
        <v>561</v>
      </c>
      <c r="C20" s="3450"/>
    </row>
    <row r="21" spans="1:3" ht="13.5">
      <c r="A21" s="1150" t="s">
        <v>562</v>
      </c>
      <c r="B21" s="1151"/>
      <c r="C21" s="1152"/>
    </row>
    <row r="22" spans="1:3" ht="13.5">
      <c r="A22" s="3453" t="s">
        <v>563</v>
      </c>
      <c r="B22" s="3451" t="s">
        <v>564</v>
      </c>
      <c r="C22" s="3450"/>
    </row>
    <row r="23" spans="1:3" ht="13.5">
      <c r="A23" s="3453"/>
      <c r="B23" s="3451" t="s">
        <v>565</v>
      </c>
      <c r="C23" s="3450"/>
    </row>
    <row r="24" spans="1:3" ht="13.5">
      <c r="A24" s="3453"/>
      <c r="B24" s="3451" t="s">
        <v>566</v>
      </c>
      <c r="C24" s="3450"/>
    </row>
    <row r="25" spans="1:3" ht="13.5">
      <c r="A25" s="3453"/>
      <c r="B25" s="3452" t="s">
        <v>567</v>
      </c>
      <c r="C25" s="1149" t="s">
        <v>568</v>
      </c>
    </row>
    <row r="26" spans="1:3" ht="13.5">
      <c r="A26" s="3453"/>
      <c r="B26" s="3452"/>
      <c r="C26" s="1149" t="s">
        <v>569</v>
      </c>
    </row>
    <row r="27" spans="1:3" ht="13.5">
      <c r="A27" s="3453"/>
      <c r="B27" s="3452"/>
      <c r="C27" s="1149" t="s">
        <v>570</v>
      </c>
    </row>
    <row r="28" spans="1:3" ht="13.5">
      <c r="A28" s="3453"/>
      <c r="B28" s="3452"/>
      <c r="C28" s="1149" t="s">
        <v>571</v>
      </c>
    </row>
    <row r="29" spans="1:3" ht="13.5">
      <c r="A29" s="3453"/>
      <c r="B29" s="3452"/>
      <c r="C29" s="1149" t="s">
        <v>572</v>
      </c>
    </row>
    <row r="30" spans="1:3" ht="13.5">
      <c r="A30" s="3453"/>
      <c r="B30" s="3452"/>
      <c r="C30" s="1149" t="s">
        <v>573</v>
      </c>
    </row>
    <row r="31" spans="1:3" ht="13.5">
      <c r="A31" s="3453"/>
      <c r="B31" s="3452"/>
      <c r="C31" s="1149" t="s">
        <v>574</v>
      </c>
    </row>
    <row r="32" spans="1:3" ht="13.5">
      <c r="A32" s="3453"/>
      <c r="B32" s="3452"/>
      <c r="C32" s="1149" t="s">
        <v>575</v>
      </c>
    </row>
    <row r="33" spans="1:3" ht="13.5">
      <c r="A33" s="3453"/>
      <c r="B33" s="3452"/>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1971</v>
      </c>
      <c r="B2" s="1888">
        <f ca="1">TODAY()</f>
        <v>42942</v>
      </c>
      <c r="C2" s="1889" t="s">
        <v>1972</v>
      </c>
      <c r="D2" s="1889"/>
    </row>
    <row r="3" spans="1:6" ht="24" customHeight="1">
      <c r="A3" s="1890" t="s">
        <v>1973</v>
      </c>
      <c r="B3" s="1891" t="s">
        <v>1974</v>
      </c>
      <c r="C3" s="1891" t="s">
        <v>1975</v>
      </c>
      <c r="D3" s="1892" t="s">
        <v>1976</v>
      </c>
      <c r="E3" s="1893" t="s">
        <v>1977</v>
      </c>
      <c r="F3" s="1891" t="s">
        <v>1975</v>
      </c>
    </row>
    <row r="4" spans="1:6" ht="24" customHeight="1">
      <c r="A4" s="3206" t="s">
        <v>1978</v>
      </c>
      <c r="B4" s="1893">
        <f ca="1">IF(C4&lt;B2,"已过期",1119970066)</f>
        <v>1119970066</v>
      </c>
      <c r="C4" s="3207">
        <v>43849</v>
      </c>
      <c r="D4" s="3206" t="s">
        <v>1978</v>
      </c>
      <c r="E4" s="1893">
        <f ca="1">IF(F4&lt;B2,"已过期",96010014)</f>
        <v>96010014</v>
      </c>
      <c r="F4" s="1902">
        <v>47118</v>
      </c>
    </row>
    <row r="5" spans="1:6" ht="24" customHeight="1">
      <c r="A5" s="3206" t="s">
        <v>1979</v>
      </c>
      <c r="B5" s="1893">
        <f ca="1">IF(C5&lt;B2,"已过期",1119970074)</f>
        <v>1119970074</v>
      </c>
      <c r="C5" s="3207">
        <v>43849</v>
      </c>
      <c r="D5" s="3206" t="s">
        <v>1979</v>
      </c>
      <c r="E5" s="1893">
        <f ca="1">IF(F5&lt;B2,"已过期",2002110027)</f>
        <v>2002110027</v>
      </c>
      <c r="F5" s="1902">
        <v>46752</v>
      </c>
    </row>
    <row r="6" spans="1:6" ht="24" customHeight="1">
      <c r="A6" s="3206" t="s">
        <v>1980</v>
      </c>
      <c r="B6" s="1893">
        <f ca="1">IF(C6&lt;B2,"已过期",1119970111)</f>
        <v>1119970111</v>
      </c>
      <c r="C6" s="3207">
        <v>43849</v>
      </c>
      <c r="D6" s="3206" t="s">
        <v>1980</v>
      </c>
      <c r="E6" s="1893">
        <f ca="1">IF(F6&lt;B2,"已过期",94010078)</f>
        <v>94010078</v>
      </c>
      <c r="F6" s="1902">
        <v>46387</v>
      </c>
    </row>
    <row r="7" spans="1:6" ht="24" customHeight="1">
      <c r="A7" s="3206" t="s">
        <v>1981</v>
      </c>
      <c r="B7" s="1893">
        <f ca="1">IF(C7&lt;B2,"已过期",1120050019)</f>
        <v>1120050019</v>
      </c>
      <c r="C7" s="3207">
        <v>43359</v>
      </c>
      <c r="D7" s="3206" t="s">
        <v>1981</v>
      </c>
      <c r="E7" s="1893">
        <f ca="1">IF(F7&lt;B2,"已过期",2002110030)</f>
        <v>2002110030</v>
      </c>
      <c r="F7" s="1902">
        <v>46387</v>
      </c>
    </row>
    <row r="8" spans="1:6" ht="24" customHeight="1">
      <c r="A8" s="3206" t="s">
        <v>1982</v>
      </c>
      <c r="B8" s="1893">
        <f ca="1">IF(C8&lt;B2,"已过期",1120000080)</f>
        <v>1120000080</v>
      </c>
      <c r="C8" s="3207">
        <v>43849</v>
      </c>
      <c r="D8" s="3206" t="s">
        <v>1982</v>
      </c>
      <c r="E8" s="1893">
        <f ca="1">IF(F8&lt;B2,"已过期",2000110082)</f>
        <v>2000110082</v>
      </c>
      <c r="F8" s="1902">
        <v>46387</v>
      </c>
    </row>
    <row r="9" spans="1:6" ht="24" customHeight="1">
      <c r="A9" s="3206" t="s">
        <v>1983</v>
      </c>
      <c r="B9" s="1893">
        <f ca="1">IF(C9&lt;B2,"已过期",1419970001)</f>
        <v>1419970001</v>
      </c>
      <c r="C9" s="3207">
        <v>43867</v>
      </c>
      <c r="D9" s="3206" t="s">
        <v>1983</v>
      </c>
      <c r="E9" s="1893">
        <f ca="1">IF(F9&lt;B2,"已过期",2002110125)</f>
        <v>2002110125</v>
      </c>
      <c r="F9" s="1902">
        <v>47118</v>
      </c>
    </row>
    <row r="10" spans="1:6" ht="24" customHeight="1">
      <c r="A10" s="3206" t="s">
        <v>1984</v>
      </c>
      <c r="B10" s="1893">
        <f ca="1">IF(C10&lt;B2,"已过期",1120060040)</f>
        <v>1120060040</v>
      </c>
      <c r="C10" s="3207">
        <v>43483</v>
      </c>
      <c r="D10" s="3206" t="s">
        <v>1984</v>
      </c>
      <c r="E10" s="1893">
        <f ca="1">IF(F10&lt;B2,"已过期",2004110096)</f>
        <v>2004110096</v>
      </c>
      <c r="F10" s="1902">
        <v>47118</v>
      </c>
    </row>
    <row r="11" spans="1:6" ht="24" customHeight="1">
      <c r="A11" s="3206" t="s">
        <v>1985</v>
      </c>
      <c r="B11" s="1893">
        <f ca="1">IF(C11&lt;B2,"已过期",1120100036)</f>
        <v>1120100036</v>
      </c>
      <c r="C11" s="3207">
        <v>43622</v>
      </c>
      <c r="D11" s="3206" t="s">
        <v>1985</v>
      </c>
      <c r="E11" s="1893">
        <f ca="1">IF(F11&lt;B2,"已过期",2010110070)</f>
        <v>2010110070</v>
      </c>
      <c r="F11" s="1902">
        <v>47907</v>
      </c>
    </row>
    <row r="12" spans="1:6" ht="24" customHeight="1">
      <c r="A12" s="3206"/>
      <c r="B12" s="1893"/>
      <c r="C12" s="3207"/>
      <c r="D12" s="3206"/>
      <c r="E12" s="1893"/>
      <c r="F12" s="1893"/>
    </row>
    <row r="13" spans="1:6" ht="24" customHeight="1">
      <c r="A13" s="3206" t="s">
        <v>1986</v>
      </c>
      <c r="B13" s="1893">
        <f ca="1">IF(C13&lt;B2,"已过期",1120070131)</f>
        <v>1120070131</v>
      </c>
      <c r="C13" s="3207">
        <v>43814</v>
      </c>
      <c r="D13" s="3206" t="s">
        <v>1986</v>
      </c>
      <c r="E13" s="1893">
        <v>2014110011</v>
      </c>
      <c r="F13" s="1902">
        <v>49302</v>
      </c>
    </row>
    <row r="14" spans="1:6" ht="24" customHeight="1">
      <c r="A14" s="3206" t="s">
        <v>1987</v>
      </c>
      <c r="B14" s="1893">
        <f ca="1">IF(C14&lt;B2,"已过期",1120130020)</f>
        <v>1120130020</v>
      </c>
      <c r="C14" s="3207">
        <v>43622</v>
      </c>
      <c r="D14" s="3206"/>
      <c r="E14" s="1893"/>
      <c r="F14" s="1893"/>
    </row>
    <row r="15" spans="1:6" ht="24" customHeight="1">
      <c r="A15" s="3208" t="s">
        <v>2711</v>
      </c>
      <c r="B15" s="1893">
        <v>1120070085</v>
      </c>
      <c r="C15" s="3207">
        <v>43814</v>
      </c>
      <c r="D15" s="3208" t="s">
        <v>2711</v>
      </c>
      <c r="E15" s="1893">
        <v>2004110128</v>
      </c>
      <c r="F15" s="1894">
        <v>47118</v>
      </c>
    </row>
    <row r="16" spans="1:6" ht="24" customHeight="1">
      <c r="A16" s="3206" t="s">
        <v>1988</v>
      </c>
      <c r="B16" s="1893">
        <f ca="1">IF(C16&lt;B2,"已过期",1120140022)</f>
        <v>1120140022</v>
      </c>
      <c r="C16" s="3207">
        <v>42987</v>
      </c>
      <c r="D16" s="3206" t="s">
        <v>1988</v>
      </c>
      <c r="E16" s="1893">
        <f ca="1">IF(F16&lt;B2,"已过期",2008110059)</f>
        <v>2008110059</v>
      </c>
      <c r="F16" s="1902">
        <v>47177</v>
      </c>
    </row>
    <row r="17" spans="1:7" ht="24" customHeight="1">
      <c r="A17" s="3206" t="s">
        <v>1989</v>
      </c>
      <c r="B17" s="1893">
        <f ca="1">IF(C17&lt;B2,"已过期",1120140020)</f>
        <v>1120140020</v>
      </c>
      <c r="C17" s="3207">
        <v>42987</v>
      </c>
      <c r="D17" s="3206"/>
      <c r="E17" s="1893"/>
      <c r="F17" s="1902"/>
    </row>
    <row r="18" spans="1:7" ht="24" customHeight="1">
      <c r="A18" s="3206" t="s">
        <v>1990</v>
      </c>
      <c r="B18" s="1893">
        <f ca="1">IF(C18&lt;B2,"已过期",1120140024)</f>
        <v>1120140024</v>
      </c>
      <c r="C18" s="3207">
        <v>42987</v>
      </c>
      <c r="D18" s="3206" t="s">
        <v>1990</v>
      </c>
      <c r="E18" s="1893">
        <f ca="1">IF(F18&lt;B2,"已过期",2011110048)</f>
        <v>2011110048</v>
      </c>
      <c r="F18" s="1902">
        <v>48302</v>
      </c>
    </row>
    <row r="19" spans="1:7" ht="24" customHeight="1">
      <c r="A19" s="3206" t="s">
        <v>1991</v>
      </c>
      <c r="B19" s="1893">
        <f ca="1">IF(C19&lt;B2,"已过期",1120140019)</f>
        <v>1120140019</v>
      </c>
      <c r="C19" s="3207">
        <v>42987</v>
      </c>
      <c r="D19" s="3206"/>
      <c r="E19" s="1893"/>
      <c r="F19" s="1893"/>
    </row>
    <row r="20" spans="1:7" ht="24" customHeight="1">
      <c r="A20" s="3206" t="s">
        <v>1992</v>
      </c>
      <c r="B20" s="1893">
        <f ca="1">IF(C20&lt;B2,"已过期",1120140023)</f>
        <v>1120140023</v>
      </c>
      <c r="C20" s="3207">
        <v>42987</v>
      </c>
      <c r="D20" s="3206"/>
      <c r="E20" s="1893"/>
      <c r="F20" s="1893"/>
    </row>
    <row r="21" spans="1:7" ht="24" customHeight="1">
      <c r="A21" s="3206"/>
      <c r="B21" s="1893"/>
      <c r="C21" s="3207"/>
      <c r="D21" s="3206" t="s">
        <v>1993</v>
      </c>
      <c r="E21" s="1893">
        <f ca="1">IF(F21&lt;B2,"已过期",2011110090)</f>
        <v>2011110090</v>
      </c>
      <c r="F21" s="1902">
        <v>48302</v>
      </c>
    </row>
    <row r="22" spans="1:7" ht="24" customHeight="1">
      <c r="A22" s="3206" t="s">
        <v>1994</v>
      </c>
      <c r="B22" s="1893">
        <f ca="1">IF(C22&lt;B2,"已过期",1120020033)</f>
        <v>1120020033</v>
      </c>
      <c r="C22" s="3207">
        <v>43304</v>
      </c>
      <c r="D22" s="3206" t="s">
        <v>1994</v>
      </c>
      <c r="E22" s="1893">
        <f ca="1">IF(F22&lt;B2,"已过期",2000110137)</f>
        <v>2000110137</v>
      </c>
      <c r="F22" s="1902">
        <v>46387</v>
      </c>
    </row>
    <row r="23" spans="1:7" ht="24" customHeight="1">
      <c r="A23" s="3206" t="s">
        <v>1995</v>
      </c>
      <c r="B23" s="1893">
        <f ca="1">IF(C23&lt;B2,"已过期",1120130048)</f>
        <v>1120130048</v>
      </c>
      <c r="C23" s="3207">
        <v>43686</v>
      </c>
      <c r="D23" s="3206"/>
      <c r="E23" s="1893"/>
      <c r="F23" s="1893"/>
    </row>
    <row r="24" spans="1:7" s="1895" customFormat="1" ht="24" customHeight="1">
      <c r="A24" s="3208" t="s">
        <v>2947</v>
      </c>
      <c r="B24" s="3208" t="s">
        <v>2947</v>
      </c>
      <c r="C24" s="3208" t="s">
        <v>2947</v>
      </c>
      <c r="D24" s="3208" t="s">
        <v>2947</v>
      </c>
      <c r="E24" s="3208" t="s">
        <v>2947</v>
      </c>
      <c r="F24" s="3208" t="s">
        <v>2947</v>
      </c>
    </row>
    <row r="25" spans="1:7" ht="24" customHeight="1">
      <c r="A25" s="3457" t="s">
        <v>1996</v>
      </c>
      <c r="B25" s="3457"/>
      <c r="C25" s="3457"/>
      <c r="D25" s="3457"/>
      <c r="E25" s="3457"/>
      <c r="F25" s="3457"/>
      <c r="G25" s="3457"/>
    </row>
    <row r="26" spans="1:7" s="1897" customFormat="1" ht="24" customHeight="1">
      <c r="A26" s="3458" t="s">
        <v>1997</v>
      </c>
      <c r="B26" s="3458"/>
      <c r="C26" s="3458"/>
      <c r="D26" s="1896"/>
      <c r="E26" s="3458" t="s">
        <v>1998</v>
      </c>
      <c r="F26" s="3458"/>
      <c r="G26" s="3458"/>
    </row>
    <row r="27" spans="1:7" s="1899" customFormat="1" ht="24" customHeight="1">
      <c r="A27" s="1898" t="s">
        <v>1999</v>
      </c>
      <c r="B27" s="1891" t="s">
        <v>2000</v>
      </c>
      <c r="C27" s="1891" t="s">
        <v>2001</v>
      </c>
      <c r="D27" s="1891"/>
      <c r="E27" s="1893" t="s">
        <v>1999</v>
      </c>
      <c r="F27" s="1891" t="s">
        <v>2000</v>
      </c>
      <c r="G27" s="1891" t="s">
        <v>2001</v>
      </c>
    </row>
    <row r="28" spans="1:7" s="1899" customFormat="1" ht="24" customHeight="1">
      <c r="A28" s="1900" t="s">
        <v>2002</v>
      </c>
      <c r="B28" s="1901" t="s">
        <v>2003</v>
      </c>
      <c r="C28" s="1902">
        <v>43725</v>
      </c>
      <c r="D28" s="1902"/>
      <c r="E28" s="1900" t="s">
        <v>2004</v>
      </c>
      <c r="F28" s="1900" t="s">
        <v>2005</v>
      </c>
      <c r="G28" s="2110">
        <v>44377</v>
      </c>
    </row>
    <row r="29" spans="1:7" s="1899" customFormat="1" ht="24" customHeight="1">
      <c r="A29" s="1900"/>
      <c r="B29" s="1900"/>
      <c r="C29" s="1903"/>
      <c r="D29" s="1903"/>
      <c r="E29" s="1900" t="s">
        <v>2006</v>
      </c>
      <c r="F29" s="2436" t="s">
        <v>2390</v>
      </c>
      <c r="G29" s="2437">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结果表2</vt:lpstr>
      <vt:lpstr>系统读取表</vt:lpstr>
      <vt:lpstr>比较法-车位</vt:lpstr>
      <vt:lpstr>比较法-商业(售价)</vt:lpstr>
      <vt:lpstr>收益法</vt:lpstr>
      <vt:lpstr>比较法-商业（租金）</vt:lpstr>
      <vt:lpstr>典型户型修正</vt:lpstr>
      <vt:lpstr>成本法</vt:lpstr>
      <vt:lpstr>成本法 (元)</vt:lpstr>
      <vt:lpstr>假设开发法</vt:lpstr>
      <vt:lpstr>收益法（4-6）</vt:lpstr>
      <vt:lpstr>收益法（8-10）</vt:lpstr>
      <vt:lpstr>收益法（未出租）</vt:lpstr>
      <vt:lpstr>收益法 (元)</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地价</vt:lpstr>
      <vt:lpstr>典型户型修正（租金）</vt:lpstr>
      <vt:lpstr>成本法（废）</vt:lpstr>
      <vt:lpstr>区片价</vt:lpstr>
      <vt:lpstr>因素修正幅度</vt:lpstr>
      <vt:lpstr>存贷款利率</vt:lpstr>
      <vt:lpstr>售价案例</vt:lpstr>
      <vt:lpstr>租金案例</vt:lpstr>
      <vt:lpstr>面积</vt:lpstr>
      <vt:lpstr>租赁</vt:lpstr>
      <vt:lpstr>车库</vt:lpstr>
      <vt:lpstr>估价师及机构信息!Print_Area</vt:lpstr>
      <vt:lpstr>收益法!Print_Area</vt:lpstr>
      <vt:lpstr>'收益法 (元)'!Print_Area</vt:lpstr>
      <vt:lpstr>'收益法（4-6）'!Print_Area</vt:lpstr>
      <vt:lpstr>'收益法（8-10）'!Print_Area</vt:lpstr>
      <vt:lpstr>'收益法（未出租）'!Print_Area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'典型户型修正（租金）'!一修多修正项2</vt:lpstr>
      <vt:lpstr>典型户型修正!一修多修正项3</vt:lpstr>
      <vt:lpstr>'典型户型修正（租金）'!一修多修正项3</vt:lpstr>
      <vt:lpstr>典型户型修正!一修多修正项4</vt:lpstr>
      <vt:lpstr>'典型户型修正（租金）'!一修多修正项4</vt:lpstr>
      <vt:lpstr>典型户型修正!一修多修正项5</vt:lpstr>
      <vt:lpstr>'典型户型修正（租金）'!一修多修正项5</vt:lpstr>
      <vt:lpstr>典型户型修正!一修多修正项6</vt:lpstr>
      <vt:lpstr>'典型户型修正（租金）'!一修多修正项6</vt:lpstr>
      <vt:lpstr>典型户型修正!一修多修正项7</vt:lpstr>
      <vt:lpstr>'典型户型修正（租金）'!一修多修正项7</vt:lpstr>
      <vt:lpstr>典型户型修正!一修多修正项8</vt:lpstr>
      <vt:lpstr>'典型户型修正（租金）'!一修多修正项8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a0002</cp:lastModifiedBy>
  <cp:lastPrinted>2017-03-01T09:15:43Z</cp:lastPrinted>
  <dcterms:created xsi:type="dcterms:W3CDTF">2015-07-13T07:17:23Z</dcterms:created>
  <dcterms:modified xsi:type="dcterms:W3CDTF">2017-07-26T08:37:14Z</dcterms:modified>
</cp:coreProperties>
</file>