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firstSheet="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10" i="31" l="1"/>
  <c r="E10" i="31"/>
  <c r="F10" i="31"/>
  <c r="C10"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B27" i="31"/>
  <c r="Y27" i="31" s="1"/>
  <c r="Y25" i="31" s="1"/>
  <c r="C36" i="57" s="1"/>
  <c r="F124" i="57" s="1"/>
  <c r="P26" i="31"/>
  <c r="N26" i="31"/>
  <c r="L26" i="31"/>
  <c r="J26" i="31"/>
  <c r="H26" i="31"/>
  <c r="F26" i="31"/>
  <c r="D26"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D101" i="57"/>
  <c r="C101" i="57"/>
  <c r="C92" i="57"/>
  <c r="E91" i="57"/>
  <c r="D90" i="57"/>
  <c r="C90" i="57" s="1"/>
  <c r="C88" i="57" s="1"/>
  <c r="H78" i="57"/>
  <c r="D78" i="57"/>
  <c r="C77" i="57"/>
  <c r="F60" i="57"/>
  <c r="E60" i="57"/>
  <c r="N56" i="57" s="1"/>
  <c r="D60" i="57"/>
  <c r="M56" i="57" s="1"/>
  <c r="M57" i="57"/>
  <c r="J57" i="57"/>
  <c r="J58" i="57" s="1"/>
  <c r="J60" i="57" s="1"/>
  <c r="J62"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M56" i="9"/>
  <c r="J56" i="9"/>
  <c r="J57" i="9" s="1"/>
  <c r="J59" i="9" s="1"/>
  <c r="J61" i="9" s="1"/>
  <c r="F56" i="9"/>
  <c r="O55" i="9"/>
  <c r="N55" i="9"/>
  <c r="K55" i="9"/>
  <c r="J55" i="9"/>
  <c r="I55" i="9"/>
  <c r="F55" i="9" s="1"/>
  <c r="O53" i="9" s="1"/>
  <c r="O54" i="9"/>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B28" i="60" s="1"/>
  <c r="C14" i="50"/>
  <c r="D13" i="50"/>
  <c r="B27" i="60" s="1"/>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6" i="60"/>
  <c r="B24" i="60"/>
  <c r="B20" i="60"/>
  <c r="B18" i="60"/>
  <c r="B17" i="60"/>
  <c r="B16" i="60"/>
  <c r="B14" i="60"/>
  <c r="B13" i="60"/>
  <c r="B12" i="60"/>
  <c r="B10" i="60"/>
  <c r="B5" i="60"/>
  <c r="F3" i="61"/>
  <c r="E2" i="11"/>
  <c r="H23" i="31"/>
  <c r="F7" i="61"/>
  <c r="D20" i="57"/>
  <c r="E2" i="34"/>
  <c r="C19" i="57"/>
  <c r="F5" i="61"/>
  <c r="E2" i="33"/>
  <c r="E2" i="36"/>
  <c r="E2" i="35"/>
  <c r="C20" i="57"/>
  <c r="E2" i="37"/>
  <c r="F4" i="61"/>
  <c r="E2" i="21"/>
  <c r="D19" i="57"/>
  <c r="F6" i="61"/>
  <c r="B25" i="31" l="1"/>
  <c r="U27" i="31"/>
  <c r="U25" i="31" s="1"/>
  <c r="A18" i="54"/>
  <c r="B15" i="60" s="1"/>
  <c r="J6" i="15"/>
  <c r="C28" i="31"/>
  <c r="C5" i="31"/>
  <c r="C14" i="12"/>
  <c r="X27" i="31"/>
  <c r="X25" i="31" s="1"/>
  <c r="J52" i="15"/>
  <c r="M60" i="15" s="1"/>
  <c r="A121" i="9"/>
  <c r="A124" i="57"/>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C14" i="15" s="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F125" i="57"/>
  <c r="D41" i="50"/>
  <c r="B63" i="60" s="1"/>
  <c r="D12" i="52"/>
  <c r="D21" i="50"/>
  <c r="D22" i="50" s="1"/>
  <c r="B35" i="60" s="1"/>
  <c r="D42" i="50"/>
  <c r="D43" i="50" s="1"/>
  <c r="D18" i="50"/>
  <c r="D19" i="50" s="1"/>
  <c r="B32" i="60" s="1"/>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16" i="15"/>
  <c r="C18" i="15"/>
  <c r="C15"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C16" i="43" s="1"/>
  <c r="C5" i="43" s="1"/>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B124" i="57" l="1"/>
  <c r="H102" i="57"/>
  <c r="L60" i="15"/>
  <c r="Q59" i="15"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D46" i="36"/>
  <c r="E46" i="36" s="1"/>
  <c r="F46" i="36" s="1"/>
  <c r="G46" i="36" s="1"/>
  <c r="H46" i="36" s="1"/>
  <c r="I46" i="36" s="1"/>
  <c r="J46" i="36" s="1"/>
  <c r="K46" i="36" s="1"/>
  <c r="L46" i="36" s="1"/>
  <c r="M46" i="36" s="1"/>
  <c r="N46" i="36" s="1"/>
  <c r="O46" i="36" s="1"/>
  <c r="J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C19" i="15"/>
  <c r="J61" i="15"/>
  <c r="Q46" i="15" s="1"/>
  <c r="J60" i="15"/>
  <c r="L59" i="15"/>
  <c r="J58" i="15"/>
  <c r="J56" i="15" s="1"/>
  <c r="J59" i="15" s="1"/>
  <c r="Q48" i="15" s="1"/>
  <c r="L57" i="15"/>
  <c r="L61" i="15"/>
  <c r="L58" i="15"/>
  <c r="C20" i="15"/>
  <c r="C26" i="15" s="1"/>
  <c r="C15" i="12"/>
  <c r="C13" i="12"/>
  <c r="C12" i="12"/>
  <c r="C105" i="57"/>
  <c r="C104" i="57"/>
  <c r="F11" i="15"/>
  <c r="M11" i="15"/>
  <c r="J10" i="15" s="1"/>
  <c r="J5" i="15" s="1"/>
  <c r="D4" i="61"/>
  <c r="D3" i="61"/>
  <c r="D5" i="61"/>
  <c r="D6" i="61"/>
  <c r="D7" i="61"/>
  <c r="E124" i="57" l="1"/>
  <c r="G124" i="57"/>
  <c r="F7" i="36"/>
  <c r="H7" i="36"/>
  <c r="F7" i="37"/>
  <c r="J7" i="37"/>
  <c r="E20" i="43"/>
  <c r="D70" i="39"/>
  <c r="E68" i="39"/>
  <c r="H7" i="35"/>
  <c r="F7" i="35"/>
  <c r="J7" i="34"/>
  <c r="F7" i="34"/>
  <c r="H7" i="21"/>
  <c r="F7" i="21"/>
  <c r="C38" i="11"/>
  <c r="C35" i="11"/>
  <c r="C36" i="11"/>
  <c r="C33" i="11" s="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39" i="11" l="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44" i="11" l="1"/>
  <c r="D41" i="11" s="1"/>
  <c r="C43" i="11"/>
  <c r="C24" i="11"/>
  <c r="C23" i="11"/>
  <c r="C26" i="11"/>
  <c r="D22" i="11" s="1"/>
  <c r="C25" i="1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C41" i="11"/>
  <c r="E54" i="34"/>
  <c r="F54" i="34" s="1"/>
  <c r="E53" i="34"/>
  <c r="F53" i="34" s="1"/>
  <c r="C49" i="11" l="1"/>
  <c r="C51" i="11" s="1"/>
  <c r="C22" i="11"/>
  <c r="C31" i="11" s="1"/>
  <c r="J14" i="15"/>
  <c r="C58" i="15"/>
  <c r="C65" i="15" s="1"/>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52" i="11" l="1"/>
  <c r="B3" i="11" s="1"/>
  <c r="C26" i="43"/>
  <c r="B2" i="43" s="1"/>
  <c r="B3" i="43" s="1"/>
  <c r="J13" i="15"/>
  <c r="J23" i="15" s="1"/>
  <c r="J22" i="15"/>
  <c r="Q68" i="15"/>
  <c r="C37" i="15"/>
  <c r="C30" i="15" s="1"/>
  <c r="C39" i="15" s="1"/>
  <c r="J34" i="15"/>
  <c r="C57" i="15"/>
  <c r="C66" i="15" s="1"/>
  <c r="C59" i="15" s="1"/>
  <c r="C68" i="15" s="1"/>
  <c r="C69" i="15" s="1"/>
  <c r="C72" i="15" s="1"/>
  <c r="I65" i="40"/>
  <c r="J63" i="40"/>
  <c r="I70" i="39"/>
  <c r="J68" i="39"/>
  <c r="C56" i="11"/>
  <c r="C57" i="11" s="1"/>
  <c r="C27" i="43"/>
  <c r="B2" i="11" l="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C19" i="9"/>
  <c r="C20" i="9"/>
  <c r="D20" i="9"/>
  <c r="D19" i="9"/>
  <c r="C101" i="9" l="1"/>
  <c r="C102" i="9"/>
  <c r="G20" i="9"/>
  <c r="D102" i="9"/>
  <c r="D101" i="9"/>
  <c r="D22" i="9"/>
  <c r="G19" i="9"/>
  <c r="J42" i="15"/>
  <c r="D35" i="9"/>
  <c r="D34" i="9" s="1"/>
  <c r="L70" i="39"/>
  <c r="M68" i="39"/>
  <c r="L65" i="40"/>
  <c r="M63" i="40"/>
  <c r="C32" i="9" l="1"/>
  <c r="R27" i="31"/>
  <c r="M65" i="40"/>
  <c r="N63" i="40"/>
  <c r="M70" i="39"/>
  <c r="N68" i="39"/>
  <c r="S27" i="31" l="1"/>
  <c r="R28" i="31"/>
  <c r="T27" i="31"/>
  <c r="C32" i="57"/>
  <c r="I121" i="9"/>
  <c r="C35" i="9"/>
  <c r="N70" i="39"/>
  <c r="O68" i="39"/>
  <c r="O70" i="39" s="1"/>
  <c r="N65" i="40"/>
  <c r="O63" i="40"/>
  <c r="O65" i="40" s="1"/>
  <c r="C34" i="9" l="1"/>
  <c r="E121" i="9" s="1"/>
  <c r="G121" i="9"/>
  <c r="T28" i="31"/>
  <c r="T25" i="31" s="1"/>
  <c r="S28" i="31"/>
  <c r="S25" i="31" s="1"/>
  <c r="H121" i="9"/>
  <c r="D107" i="9"/>
  <c r="I103" i="9"/>
  <c r="C104" i="9"/>
  <c r="F7" i="40"/>
  <c r="H7" i="40"/>
  <c r="J7" i="40"/>
  <c r="J7" i="39"/>
  <c r="H7" i="39"/>
  <c r="F7" i="39"/>
  <c r="F121" i="9" l="1"/>
  <c r="G4" i="52"/>
  <c r="B41" i="60" s="1"/>
  <c r="D121" i="9"/>
  <c r="E4" i="52"/>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<sst xmlns="http://schemas.openxmlformats.org/spreadsheetml/2006/main" count="6839" uniqueCount="2354">
  <si>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</si>
  <si>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</si>
  <si>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</si>
  <si>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</si>
  <si>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</si>
  <si>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</si>
  <si>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</si>
  <si>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</si>
  <si>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</si>
  <si>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</si>
  <si>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</si>
  <si>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</si>
  <si>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</si>
  <si>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</si>
  <si>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</si>
  <si>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</si>
  <si>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</si>
  <si>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</si>
  <si>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</si>
  <si>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</si>
  <si>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</si>
  <si>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</si>
  <si>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</si>
  <si>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</si>
  <si>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</si>
  <si>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</si>
  <si>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</si>
  <si>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</si>
  <si>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</si>
  <si>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</si>
  <si>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</si>
  <si>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</si>
  <si>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</si>
  <si>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</si>
  <si>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</si>
  <si>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</si>
  <si>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</si>
  <si>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</si>
  <si>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</si>
  <si>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</si>
  <si>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</si>
  <si>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</si>
  <si>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</si>
  <si>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</si>
  <si>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</si>
  <si>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</si>
  <si>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</si>
  <si>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</si>
  <si>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</si>
  <si>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</si>
  <si>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</si>
  <si>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</si>
  <si>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</si>
  <si>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</si>
  <si>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</si>
  <si>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</si>
  <si>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</si>
  <si>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</si>
  <si>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</si>
  <si>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</si>
  <si>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</si>
  <si>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</si>
  <si>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</si>
  <si>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</si>
  <si>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</si>
  <si>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</si>
  <si>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</si>
  <si>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</si>
  <si>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</si>
  <si>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</si>
  <si>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</si>
  <si>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</si>
  <si>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</si>
  <si>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</si>
  <si>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</si>
  <si>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</si>
  <si>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</si>
  <si>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</si>
  <si>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</si>
  <si>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</si>
  <si>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</si>
  <si>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</si>
  <si>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</si>
  <si>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</si>
  <si>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</si>
  <si>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</si>
  <si>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</si>
  <si>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</si>
  <si>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</si>
  <si>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</si>
  <si>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</si>
  <si>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</si>
  <si>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</si>
  <si>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</si>
  <si>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</si>
  <si>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</si>
  <si>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</si>
  <si>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</si>
  <si>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</si>
  <si>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</si>
  <si>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</si>
  <si>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</si>
  <si>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</si>
  <si>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</si>
  <si>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</si>
  <si>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</si>
  <si>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</si>
  <si>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</si>
  <si>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</si>
  <si>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</si>
  <si>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</si>
  <si>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</si>
  <si>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</si>
  <si>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</si>
  <si>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</si>
  <si>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</si>
  <si>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</si>
  <si>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</si>
  <si>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</si>
  <si>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</si>
  <si>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</si>
  <si>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</si>
  <si>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</si>
  <si>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</si>
  <si>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</si>
  <si>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</si>
  <si>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</si>
  <si>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</si>
  <si>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</si>
  <si>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</si>
  <si>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</si>
  <si>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</si>
  <si>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</si>
  <si>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</si>
  <si>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</si>
  <si>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</si>
  <si>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</si>
  <si>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</si>
  <si>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</si>
  <si>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</si>
  <si>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</si>
  <si>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</si>
  <si>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</si>
  <si>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</si>
  <si>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</si>
  <si>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</si>
  <si>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</si>
  <si>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</si>
  <si>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</si>
  <si>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</si>
  <si>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</si>
  <si>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</si>
  <si>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</si>
  <si>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</si>
  <si>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</si>
  <si>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</si>
  <si>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</si>
  <si>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</si>
  <si>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</si>
  <si>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</si>
  <si>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</si>
  <si>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</si>
  <si>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</si>
  <si>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</si>
  <si>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</si>
  <si>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</si>
  <si>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</si>
  <si>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</si>
  <si>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</si>
  <si>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</si>
  <si>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</si>
  <si>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</si>
  <si>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</si>
  <si>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</si>
  <si>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</si>
  <si>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</si>
  <si>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</si>
  <si>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</si>
  <si>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</si>
  <si>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</si>
  <si>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</si>
  <si>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</si>
  <si>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</si>
  <si>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</si>
  <si>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</si>
  <si>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</si>
  <si>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</si>
  <si>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</si>
  <si>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</si>
  <si>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</si>
  <si>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</si>
  <si>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</si>
  <si>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</si>
  <si>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</si>
  <si>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</si>
  <si>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</si>
  <si>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</si>
  <si>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</si>
  <si>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</si>
  <si>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</si>
  <si>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</si>
  <si>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</si>
  <si>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</si>
  <si>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</si>
  <si>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</si>
  <si>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</si>
  <si>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</si>
  <si>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</si>
  <si>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</si>
  <si>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</si>
  <si>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</si>
  <si>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</si>
  <si>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</si>
  <si>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</si>
  <si>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</si>
  <si>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</si>
  <si>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</si>
  <si>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</si>
  <si>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</si>
  <si>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</si>
  <si>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</si>
  <si>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</si>
  <si>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</si>
  <si>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</si>
  <si>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</si>
  <si>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</si>
  <si>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</si>
  <si>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</si>
  <si>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</si>
  <si>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</si>
  <si>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</si>
  <si>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</si>
  <si>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</si>
  <si>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</si>
  <si>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</si>
  <si>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</si>
  <si>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</si>
  <si>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</si>
  <si>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</si>
  <si>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</si>
  <si>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</si>
  <si>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</si>
  <si>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</si>
  <si>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</si>
  <si>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</si>
  <si>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</si>
  <si>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</si>
  <si>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</si>
  <si>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</si>
  <si>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</si>
  <si>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</si>
  <si>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</si>
  <si>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</si>
  <si>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</si>
  <si>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</si>
  <si>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</si>
  <si>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</si>
  <si>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</si>
  <si>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</si>
  <si>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</si>
  <si>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</si>
  <si>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</si>
  <si>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</si>
  <si>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</si>
  <si>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</si>
  <si>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</si>
  <si>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</si>
  <si>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</si>
  <si>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</si>
  <si>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</si>
  <si>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</si>
  <si>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</si>
  <si>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</si>
  <si>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</si>
  <si>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</si>
  <si>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</si>
  <si>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</si>
  <si>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</si>
  <si>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</si>
  <si>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</si>
  <si>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</si>
  <si>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</si>
  <si>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</si>
  <si>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</si>
  <si>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</si>
  <si>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</si>
  <si>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</si>
  <si>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</si>
  <si>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</si>
  <si>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</si>
  <si>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</si>
  <si>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</si>
  <si>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</si>
  <si>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</si>
  <si>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</si>
  <si>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</si>
  <si>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</si>
  <si>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</si>
  <si>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</si>
  <si>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</si>
  <si>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</si>
  <si>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</si>
  <si>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</si>
  <si>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</si>
  <si>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</si>
  <si>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</si>
  <si>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</si>
  <si>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</si>
  <si>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</si>
  <si>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</si>
  <si>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</si>
  <si>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</si>
  <si>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</si>
  <si>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</si>
  <si>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</si>
  <si>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</si>
  <si>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</si>
  <si>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</si>
  <si>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</si>
  <si>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</si>
  <si>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</si>
  <si>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</si>
  <si>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</si>
  <si>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</si>
  <si>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</si>
  <si>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</si>
  <si>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</si>
  <si>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</si>
  <si>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</si>
  <si>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</si>
  <si>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</si>
  <si>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</si>
  <si>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</si>
  <si>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</si>
  <si>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</si>
  <si>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</si>
  <si>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</si>
  <si>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</si>
  <si>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</si>
  <si>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</si>
  <si>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</si>
  <si>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</si>
  <si>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</si>
  <si>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</si>
  <si>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</si>
  <si>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</si>
  <si>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</si>
  <si>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</si>
  <si>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t>李树华</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</si>
  <si>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</si>
  <si>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</si>
  <si>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</si>
  <si>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</si>
  <si>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</si>
  <si>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</si>
  <si>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</si>
  <si>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</si>
  <si>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</si>
  <si>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</si>
  <si>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</si>
  <si>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</si>
  <si>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</si>
  <si>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</si>
  <si>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</si>
  <si>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</si>
  <si>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</si>
  <si>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</si>
  <si>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</si>
  <si>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</si>
  <si>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</si>
  <si>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</si>
  <si>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</si>
  <si>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</si>
  <si>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</si>
  <si>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</si>
  <si>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</si>
  <si>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</si>
  <si>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</si>
  <si>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</si>
  <si>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</si>
  <si>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</si>
  <si>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</si>
  <si>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</si>
  <si>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</si>
  <si>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</si>
  <si>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</si>
  <si>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</si>
  <si>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</si>
  <si>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</si>
  <si>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</si>
  <si>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</si>
  <si>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</si>
  <si>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</si>
  <si>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</si>
  <si>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</si>
  <si>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</si>
  <si>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</si>
  <si>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</si>
  <si>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</si>
  <si>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</si>
  <si>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</si>
  <si>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</si>
  <si>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</si>
  <si>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</si>
  <si>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</si>
  <si>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</si>
  <si>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</si>
  <si>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</si>
  <si>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</si>
  <si>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</si>
  <si>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</si>
  <si>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</si>
  <si>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</si>
  <si>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</si>
  <si>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</si>
  <si>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</si>
  <si>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</si>
  <si>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</si>
  <si>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</si>
  <si>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</si>
  <si>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</si>
  <si>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</si>
  <si>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</si>
  <si>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</si>
  <si>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</si>
  <si>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</si>
  <si>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</si>
  <si>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</si>
  <si>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</si>
  <si>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</si>
  <si>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</si>
  <si>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</si>
  <si>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</si>
  <si>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</si>
  <si>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</si>
  <si>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</si>
  <si>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</si>
  <si>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</si>
  <si>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</si>
  <si>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</si>
  <si>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</si>
  <si>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</si>
  <si>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</si>
  <si>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</si>
  <si>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</si>
  <si>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</si>
  <si>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</si>
  <si>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</si>
  <si>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</si>
  <si>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</si>
  <si>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</si>
  <si>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</si>
  <si>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</si>
  <si>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</si>
  <si>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</si>
  <si>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</si>
  <si>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</si>
  <si>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</si>
  <si>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</si>
  <si>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</si>
  <si>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</si>
  <si>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</si>
  <si>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</si>
  <si>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</si>
  <si>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</si>
  <si>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</si>
  <si>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</si>
  <si>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</si>
  <si>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</si>
  <si>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</si>
  <si>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</si>
  <si>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</si>
  <si>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</si>
  <si>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</si>
  <si>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</si>
  <si>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</si>
  <si>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</si>
  <si>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</si>
  <si>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</si>
  <si>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</si>
  <si>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</si>
  <si>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</si>
  <si>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</si>
  <si>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</si>
  <si>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</si>
  <si>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</si>
  <si>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</si>
  <si>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</si>
  <si>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</si>
  <si>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</si>
  <si>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</si>
  <si>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</si>
  <si>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</si>
  <si>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</si>
  <si>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</si>
  <si>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</si>
  <si>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</si>
  <si>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</si>
  <si>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</si>
  <si>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</si>
  <si>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</si>
  <si>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</si>
  <si>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</si>
  <si>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</si>
  <si>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</si>
  <si>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</si>
  <si>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</si>
  <si>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</si>
  <si>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</si>
  <si>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</si>
  <si>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</si>
  <si>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</si>
  <si>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</si>
  <si>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</si>
  <si>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</si>
  <si>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</si>
  <si>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</si>
  <si>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</si>
  <si>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</si>
  <si>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</si>
  <si>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</si>
  <si>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</si>
  <si>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</si>
  <si>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</si>
  <si>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</si>
  <si>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</si>
  <si>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</si>
  <si>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</si>
  <si>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</si>
  <si>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</si>
  <si>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</si>
  <si>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</si>
  <si>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</si>
  <si>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</si>
  <si>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</si>
  <si>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</si>
  <si>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</si>
  <si>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</si>
  <si>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</si>
  <si>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</si>
  <si>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</si>
  <si>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</si>
  <si>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</si>
  <si>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</si>
  <si>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</si>
  <si>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</si>
  <si>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</si>
  <si>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</si>
  <si>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</si>
  <si>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</si>
  <si>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</si>
  <si>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</si>
  <si>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</si>
  <si>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</si>
  <si>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</si>
  <si>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</si>
  <si>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</si>
  <si>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</si>
  <si>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</si>
  <si>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</si>
  <si>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</si>
  <si>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</si>
  <si>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</si>
  <si>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</si>
  <si>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</si>
  <si>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</si>
  <si>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</si>
  <si>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</si>
  <si>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</si>
  <si>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</si>
  <si>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</si>
  <si>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</si>
  <si>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</si>
  <si>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</si>
  <si>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</si>
  <si>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</si>
  <si>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</si>
  <si>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</si>
  <si>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</si>
  <si>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</si>
  <si>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</si>
  <si>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</si>
  <si>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</si>
  <si>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</si>
  <si>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</si>
  <si>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</si>
  <si>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</si>
  <si>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</si>
  <si>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</si>
  <si>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</si>
  <si>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</si>
  <si>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</si>
  <si>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</si>
  <si>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</si>
  <si>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</si>
  <si>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</si>
  <si>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</si>
  <si>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</si>
  <si>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</si>
  <si>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</si>
  <si>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</si>
  <si>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</si>
  <si>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</si>
  <si>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</si>
  <si>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</si>
  <si>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</si>
  <si>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</si>
  <si>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</si>
  <si>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</si>
  <si>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</si>
  <si>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</si>
  <si>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</si>
  <si>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</si>
  <si>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</si>
  <si>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</si>
  <si>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</si>
  <si>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</si>
  <si>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</si>
  <si>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</si>
  <si>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</si>
  <si>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</si>
  <si>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</si>
  <si>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</si>
  <si>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</si>
  <si>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</si>
  <si>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</si>
  <si>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</si>
  <si>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</si>
  <si>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</si>
  <si>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</si>
  <si>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</si>
  <si>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</si>
  <si>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</si>
  <si>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</si>
  <si>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</si>
  <si>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</si>
  <si>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</si>
  <si>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</si>
  <si>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</si>
  <si>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</si>
  <si>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</si>
  <si>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</si>
  <si>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</si>
  <si>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</si>
  <si>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</si>
  <si>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</si>
  <si>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</si>
  <si>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</si>
  <si>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</si>
  <si>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</si>
  <si>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</si>
  <si>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</si>
  <si>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</si>
  <si>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</si>
  <si>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</si>
  <si>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</si>
  <si>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</si>
  <si>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</si>
  <si>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</si>
  <si>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</si>
  <si>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</si>
  <si>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</si>
  <si>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</si>
  <si>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</si>
  <si>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</si>
  <si>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</si>
  <si>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</si>
  <si>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</si>
  <si>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</si>
  <si>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</si>
  <si>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</si>
  <si>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</si>
  <si>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</si>
  <si>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</si>
  <si>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</si>
  <si>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</si>
  <si>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</si>
  <si>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</si>
  <si>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</si>
  <si>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</si>
  <si>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</si>
  <si>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</si>
  <si>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</si>
  <si>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</si>
  <si>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</si>
  <si>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</si>
  <si>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</si>
  <si>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</si>
  <si>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</si>
  <si>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</si>
  <si>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</si>
  <si>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</si>
  <si>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</si>
  <si>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</si>
  <si>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</si>
  <si>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</si>
  <si>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</si>
  <si>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</si>
  <si>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</si>
  <si>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</si>
  <si>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</si>
  <si>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</si>
  <si>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</si>
  <si>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</si>
  <si>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</si>
  <si>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</si>
  <si>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</si>
  <si>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</si>
  <si>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</si>
  <si>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</si>
  <si>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</si>
  <si>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</si>
  <si>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</si>
  <si>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</si>
  <si>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</si>
  <si>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</si>
  <si>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</si>
  <si>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</si>
  <si>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</si>
  <si>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</si>
  <si>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</si>
  <si>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</si>
  <si>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</si>
  <si>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</si>
  <si>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</si>
  <si>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</si>
  <si>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</si>
  <si>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</si>
  <si>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</si>
  <si>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</si>
  <si>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</si>
  <si>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</si>
  <si>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</si>
  <si>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</si>
  <si>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</si>
  <si>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</si>
  <si>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</si>
  <si>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</si>
  <si>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</si>
  <si>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</si>
  <si>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</si>
  <si>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</si>
  <si>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</si>
  <si>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</si>
  <si>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</si>
  <si>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</si>
  <si>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</si>
  <si>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</si>
  <si>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</si>
  <si>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</si>
  <si>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</si>
  <si>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</si>
  <si>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</si>
  <si>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</si>
  <si>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</si>
  <si>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</si>
  <si>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</si>
  <si>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</si>
  <si>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</si>
  <si>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</si>
  <si>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</si>
  <si>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</si>
  <si>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</si>
  <si>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</si>
  <si>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</si>
  <si>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</si>
  <si>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</si>
  <si>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</si>
  <si>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</si>
  <si>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</si>
  <si>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</si>
  <si>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</si>
  <si>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</si>
  <si>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</si>
  <si>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</si>
  <si>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</si>
  <si>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</si>
  <si>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</si>
  <si>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</si>
  <si>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</si>
  <si>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</si>
  <si>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</si>
  <si>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</si>
  <si>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</si>
  <si>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</si>
  <si>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</si>
  <si>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</si>
  <si>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</si>
  <si>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</si>
  <si>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</si>
  <si>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</si>
  <si>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</si>
  <si>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</si>
  <si>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</si>
  <si>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</si>
  <si>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</si>
  <si>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</si>
  <si>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</si>
  <si>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</si>
  <si>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</si>
  <si>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</si>
  <si>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</si>
  <si>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</si>
  <si>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</si>
  <si>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</si>
  <si>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</si>
  <si>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</si>
  <si>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</si>
  <si>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</si>
  <si>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</si>
  <si>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</si>
  <si>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</si>
  <si>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</si>
  <si>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</si>
  <si>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</si>
  <si>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</si>
  <si>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</si>
  <si>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</si>
  <si>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</si>
  <si>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</si>
  <si>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</si>
  <si>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</si>
  <si>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</si>
  <si>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</si>
  <si>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</si>
  <si>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</si>
  <si>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</si>
  <si>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</si>
  <si>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</si>
  <si>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</si>
  <si>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</si>
  <si>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</si>
  <si>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</si>
  <si>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</si>
  <si>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</si>
  <si>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</si>
  <si>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</si>
  <si>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</si>
  <si>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</si>
  <si>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</si>
  <si>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</si>
  <si>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</si>
  <si>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</si>
  <si>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</si>
  <si>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</si>
  <si>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</si>
  <si>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</si>
  <si>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</si>
  <si>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</si>
  <si>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</si>
  <si>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</si>
  <si>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</si>
  <si>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</si>
  <si>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</si>
  <si>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</si>
  <si>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</si>
  <si>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</si>
  <si>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</si>
  <si>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</si>
  <si>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</si>
  <si>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</si>
  <si>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</si>
  <si>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</si>
  <si>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</si>
  <si>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</si>
  <si>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</si>
  <si>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</si>
  <si>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</si>
  <si>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</si>
  <si>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</si>
  <si>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</si>
  <si>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</si>
  <si>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</si>
  <si>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</si>
  <si>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</si>
  <si>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</si>
  <si>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</si>
  <si>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</si>
  <si>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</si>
  <si>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</si>
  <si>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</si>
  <si>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</si>
  <si>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</si>
  <si>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</si>
  <si>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</si>
  <si>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</si>
  <si>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</si>
  <si>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</si>
  <si>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</si>
  <si>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</si>
  <si>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</si>
  <si>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</si>
  <si>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</si>
  <si>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</si>
  <si>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</si>
  <si>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</si>
  <si>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</si>
  <si>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</si>
  <si>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</si>
  <si>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</si>
  <si>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</si>
  <si>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</si>
  <si>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</si>
  <si>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</si>
  <si>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</si>
  <si>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</si>
  <si>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</si>
  <si>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</si>
  <si>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</si>
  <si>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</si>
  <si>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</si>
  <si>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</si>
  <si>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</si>
  <si>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</si>
  <si>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</si>
  <si>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</si>
  <si>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</si>
  <si>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</si>
  <si>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</si>
  <si>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</si>
  <si>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</si>
  <si>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</si>
  <si>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</si>
  <si>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</si>
  <si>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</si>
  <si>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</si>
  <si>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</si>
  <si>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</si>
  <si>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</si>
  <si>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</si>
  <si>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</si>
  <si>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</si>
  <si>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</si>
  <si>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</si>
  <si>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</si>
  <si>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</si>
  <si>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</si>
  <si>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</si>
  <si>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</si>
  <si>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</si>
  <si>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</si>
  <si>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</si>
  <si>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</si>
  <si>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</si>
  <si>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</si>
  <si>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</si>
  <si>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</si>
  <si>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</si>
  <si>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</si>
  <si>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</si>
  <si>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</si>
  <si>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</si>
  <si>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</si>
  <si>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</si>
  <si>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</si>
  <si>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</si>
  <si>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</si>
  <si>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</si>
  <si>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</si>
  <si>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</si>
  <si>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</si>
  <si>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</si>
  <si>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</si>
  <si>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</si>
  <si>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</si>
  <si>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</si>
  <si>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</si>
  <si>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</si>
  <si>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</si>
  <si>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</si>
  <si>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</si>
  <si>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</si>
  <si>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</si>
  <si>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</si>
  <si>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</si>
  <si>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</si>
  <si>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</si>
  <si>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</si>
  <si>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</si>
  <si>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</si>
  <si>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</si>
  <si>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</si>
  <si>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</si>
  <si>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</si>
  <si>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</si>
  <si>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</si>
  <si>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</si>
  <si>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</si>
  <si>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</si>
  <si>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</si>
  <si>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</si>
  <si>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</si>
  <si>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</si>
  <si>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</si>
  <si>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</si>
  <si>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</si>
  <si>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</si>
  <si>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</si>
  <si>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</si>
  <si>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</si>
  <si>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</si>
  <si>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</si>
  <si>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</si>
  <si>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</si>
  <si>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</si>
  <si>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</si>
  <si>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</si>
  <si>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</si>
  <si>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</si>
  <si>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</si>
  <si>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</si>
  <si>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</si>
  <si>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</si>
  <si>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</si>
  <si>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</si>
  <si>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</si>
  <si>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</si>
  <si>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</si>
  <si>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</si>
  <si>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</si>
  <si>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</si>
  <si>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</si>
  <si>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</si>
  <si>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</si>
  <si>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</si>
  <si>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</si>
  <si>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</si>
  <si>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</si>
  <si>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</si>
  <si>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</si>
  <si>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</si>
  <si>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</si>
  <si>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</si>
  <si>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</si>
  <si>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</si>
  <si>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</si>
  <si>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</si>
  <si>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</si>
  <si>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</si>
  <si>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</si>
  <si>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</si>
  <si>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</si>
  <si>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</si>
  <si>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</si>
  <si>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</si>
  <si>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</si>
  <si>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</si>
  <si>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</si>
  <si>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</si>
  <si>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</si>
  <si>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</si>
  <si>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</si>
  <si>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</si>
  <si>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</si>
  <si>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</si>
  <si>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</si>
  <si>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</si>
  <si>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</si>
  <si>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</si>
  <si>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</si>
  <si>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</si>
  <si>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</si>
  <si>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</si>
  <si>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</si>
  <si>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</si>
  <si>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</si>
  <si>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</si>
  <si>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</si>
  <si>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</si>
  <si>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</si>
  <si>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</si>
  <si>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</si>
  <si>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</si>
  <si>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</si>
  <si>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</si>
  <si>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</si>
  <si>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</si>
  <si>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</si>
  <si>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</si>
  <si>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</si>
  <si>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</si>
  <si>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</si>
  <si>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</si>
  <si>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</si>
  <si>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</si>
  <si>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</si>
  <si>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</si>
  <si>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</si>
  <si>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</si>
  <si>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</si>
  <si>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</si>
  <si>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</si>
  <si>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</si>
  <si>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</si>
  <si>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</si>
  <si>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</si>
  <si>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</si>
  <si>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</si>
  <si>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</si>
  <si>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</si>
  <si>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</si>
  <si>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</si>
  <si>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</si>
  <si>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</si>
  <si>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</si>
  <si>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</si>
  <si>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</si>
  <si>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</si>
  <si>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</si>
  <si>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</si>
  <si>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</si>
  <si>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</si>
  <si>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</si>
  <si>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</si>
  <si>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</si>
  <si>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</si>
  <si>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</si>
  <si>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</si>
  <si>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</si>
  <si>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</si>
  <si>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</si>
  <si>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</si>
  <si>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</si>
  <si>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</si>
  <si>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</si>
  <si>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</si>
  <si>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</si>
  <si>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</si>
  <si>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</si>
  <si>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</si>
  <si>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</si>
  <si>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</si>
  <si>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</si>
  <si>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</si>
  <si>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</si>
  <si>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</si>
  <si>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</si>
  <si>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</si>
  <si>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</si>
  <si>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</si>
  <si>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</si>
  <si>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</si>
  <si>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</si>
  <si>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</si>
  <si>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</si>
  <si>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</si>
  <si>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</si>
  <si>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</si>
  <si>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</si>
  <si>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</si>
  <si>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</si>
  <si>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</si>
  <si>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</si>
  <si>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</si>
  <si>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</si>
  <si>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</si>
  <si>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</si>
  <si>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</si>
  <si>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</si>
  <si>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</si>
  <si>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</si>
  <si>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</si>
  <si>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</si>
  <si>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</si>
  <si>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</si>
  <si>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</si>
  <si>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</si>
  <si>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</si>
  <si>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</si>
  <si>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</si>
  <si>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</si>
  <si>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</si>
  <si>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</si>
  <si>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</si>
  <si>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</si>
  <si>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</si>
  <si>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</si>
  <si>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</si>
  <si>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</si>
  <si>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</si>
  <si>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</si>
  <si>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</si>
  <si>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</si>
  <si>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</si>
  <si>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</si>
  <si>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</si>
  <si>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</si>
  <si>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</si>
  <si>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</si>
  <si>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</si>
  <si>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</si>
  <si>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</si>
  <si>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</si>
  <si>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</si>
  <si>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</si>
  <si>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</si>
  <si>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</si>
  <si>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</si>
  <si>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</si>
  <si>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</si>
  <si>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</si>
  <si>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</si>
  <si>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</si>
  <si>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</si>
  <si>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</si>
  <si>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</si>
  <si>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</si>
  <si>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</si>
  <si>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</si>
  <si>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</si>
  <si>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</si>
  <si>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</si>
  <si>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</si>
  <si>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</si>
  <si>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</si>
  <si>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</si>
  <si>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</si>
  <si>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</si>
  <si>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</si>
  <si>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</si>
  <si>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</si>
  <si>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</si>
  <si>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</si>
  <si>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</si>
  <si>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</si>
  <si>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</si>
  <si>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</si>
  <si>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</si>
  <si>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</si>
  <si>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</si>
  <si>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</si>
  <si>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</si>
  <si>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</si>
  <si>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</si>
  <si>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</si>
  <si>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</si>
  <si>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</si>
  <si>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</si>
  <si>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</si>
  <si>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</si>
  <si>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</si>
  <si>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</si>
  <si>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</si>
  <si>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</si>
  <si>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</si>
  <si>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</si>
  <si>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</si>
  <si>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</si>
  <si>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</si>
  <si>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</si>
  <si>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</si>
  <si>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</si>
  <si>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</si>
  <si>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</si>
  <si>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</si>
  <si>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</si>
  <si>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</si>
  <si>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</si>
  <si>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</si>
  <si>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</si>
  <si>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</si>
  <si>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</si>
  <si>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</si>
  <si>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</si>
  <si>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</si>
  <si>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</si>
  <si>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</si>
  <si>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</si>
  <si>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</si>
  <si>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</si>
  <si>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</si>
  <si>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</si>
  <si>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</si>
  <si>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</si>
  <si>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</si>
  <si>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</si>
  <si>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</si>
  <si>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</si>
  <si>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</si>
  <si>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</si>
  <si>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</si>
  <si>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</si>
  <si>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</si>
  <si>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</si>
  <si>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</si>
  <si>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</si>
  <si>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</si>
  <si>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</si>
  <si>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</si>
  <si>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</si>
  <si>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</si>
  <si>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</si>
  <si>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</si>
  <si>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</si>
  <si>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</si>
  <si>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</si>
  <si>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</si>
  <si>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</si>
  <si>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</si>
  <si>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</si>
  <si>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</si>
  <si>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</si>
  <si>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</si>
  <si>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</si>
  <si>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</si>
  <si>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</si>
  <si>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</si>
  <si>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</si>
  <si>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</si>
  <si>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</si>
  <si>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</si>
  <si>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</si>
  <si>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</si>
  <si>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</si>
  <si>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</si>
  <si>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</si>
  <si>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</si>
  <si>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</si>
  <si>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</si>
  <si>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</si>
  <si>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</si>
  <si>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</si>
  <si>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</si>
  <si>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</si>
  <si>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</si>
  <si>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</si>
  <si>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</si>
  <si>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</si>
  <si>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</si>
  <si>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</si>
  <si>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</si>
  <si>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</si>
  <si>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</si>
  <si>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</si>
  <si>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</si>
  <si>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</si>
  <si>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</si>
  <si>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</si>
  <si>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</si>
  <si>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</si>
  <si>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</si>
  <si>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</si>
  <si>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</si>
  <si>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</si>
  <si>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</si>
  <si>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</si>
  <si>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</si>
  <si>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</si>
  <si>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</si>
  <si>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</si>
  <si>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</si>
  <si>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</si>
  <si>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</si>
  <si>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</si>
  <si>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</si>
  <si>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</si>
  <si>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</si>
  <si>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</si>
  <si>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</si>
  <si>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</si>
  <si>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</si>
  <si>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</si>
  <si>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</si>
  <si>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</si>
  <si>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</si>
  <si>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</si>
  <si>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</si>
  <si>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</si>
  <si>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</si>
  <si>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</si>
  <si>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</si>
  <si>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</si>
  <si>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</si>
  <si>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</si>
  <si>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</si>
  <si>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</si>
  <si>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</si>
  <si>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</si>
  <si>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</si>
  <si>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</si>
  <si>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</si>
  <si>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</si>
  <si>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</si>
  <si>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</si>
  <si>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</si>
  <si>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</si>
  <si>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</si>
  <si>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</si>
  <si>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</si>
  <si>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</si>
  <si>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</si>
  <si>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</si>
  <si>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</si>
  <si>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</si>
  <si>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</si>
  <si>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</si>
  <si>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</si>
  <si>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</si>
  <si>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</si>
  <si>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</si>
  <si>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</si>
  <si>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</si>
  <si>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</si>
  <si>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</si>
  <si>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</si>
  <si>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</si>
  <si>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</si>
  <si>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</si>
  <si>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</si>
  <si>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</si>
  <si>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</si>
  <si>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</si>
  <si>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</si>
  <si>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</si>
  <si>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</si>
  <si>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</si>
  <si>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</si>
  <si>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</si>
  <si>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</si>
  <si>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</si>
  <si>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</si>
  <si>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</si>
  <si>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</si>
  <si>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</si>
  <si>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</si>
  <si>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</si>
  <si>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</si>
  <si>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</si>
  <si>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</si>
  <si>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</si>
  <si>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</si>
  <si>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</si>
  <si>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</si>
  <si>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</si>
  <si>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</si>
  <si>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</si>
  <si>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</si>
  <si>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</si>
  <si>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</si>
  <si>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</si>
  <si>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</si>
  <si>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</si>
  <si>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</si>
  <si>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</si>
  <si>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</si>
  <si>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</si>
  <si>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</si>
  <si>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</si>
  <si>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</si>
  <si>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</si>
  <si>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</si>
  <si>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</si>
  <si>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</si>
  <si>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</si>
  <si>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</si>
  <si>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</si>
  <si>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</si>
  <si>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</si>
  <si>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</si>
  <si>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</si>
  <si>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</si>
  <si>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</si>
  <si>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</si>
  <si>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</si>
  <si>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</si>
  <si>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</si>
  <si>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</si>
  <si>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</si>
  <si>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</si>
  <si>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</si>
  <si>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</si>
  <si>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</si>
  <si>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</si>
  <si>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</si>
  <si>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</si>
  <si>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</si>
  <si>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</si>
  <si>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</si>
  <si>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</si>
  <si>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</si>
  <si>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</si>
  <si>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</si>
  <si>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</si>
  <si>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</si>
  <si>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</si>
  <si>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</si>
  <si>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</si>
  <si>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</si>
  <si>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</si>
  <si>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</si>
  <si>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</si>
  <si>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</si>
  <si>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</si>
  <si>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</si>
  <si>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</si>
  <si>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</si>
  <si>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</si>
  <si>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</si>
  <si>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</si>
  <si>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</si>
  <si>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</si>
  <si>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</si>
  <si>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</si>
  <si>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</si>
  <si>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</si>
  <si>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</si>
  <si>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</si>
  <si>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</si>
  <si>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</si>
  <si>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</si>
  <si>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</si>
  <si>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</si>
  <si>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</si>
  <si>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</si>
  <si>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</si>
  <si>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</si>
  <si>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</si>
  <si>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</si>
  <si>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</si>
  <si>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</si>
  <si>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</si>
  <si>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</si>
  <si>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</si>
  <si>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</si>
  <si>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</si>
  <si>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</si>
  <si>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</si>
  <si>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</si>
  <si>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</si>
  <si>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</si>
  <si>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</si>
  <si>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</si>
  <si>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</si>
  <si>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</si>
  <si>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</si>
  <si>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</si>
  <si>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</si>
  <si>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</si>
  <si>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</si>
  <si>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</si>
  <si>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</si>
  <si>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</si>
  <si>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</si>
  <si>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</si>
  <si>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</si>
  <si>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</si>
  <si>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</si>
  <si>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</si>
  <si>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</si>
  <si>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</si>
  <si>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</si>
  <si>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</si>
  <si>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</si>
  <si>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</si>
  <si>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</si>
  <si>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</si>
  <si>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</si>
  <si>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</si>
  <si>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</si>
  <si>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</si>
  <si>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</si>
  <si>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</si>
  <si>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</si>
  <si>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</si>
  <si>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</si>
  <si>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</si>
  <si>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</si>
  <si>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</si>
  <si>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</si>
  <si>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</si>
  <si>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</si>
  <si>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</si>
  <si>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</si>
  <si>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</si>
  <si>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</si>
  <si>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</si>
  <si>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</si>
  <si>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</si>
  <si>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</si>
  <si>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</si>
  <si>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</si>
  <si>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</si>
  <si>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</si>
  <si>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</si>
  <si>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</si>
  <si>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</si>
  <si>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</si>
  <si>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</si>
  <si>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</si>
  <si>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</si>
  <si>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</si>
  <si>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</si>
  <si>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</si>
  <si>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</si>
  <si>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</si>
  <si>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</si>
  <si>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</si>
  <si>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</si>
  <si>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</si>
  <si>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</si>
  <si>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</si>
  <si>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</si>
  <si>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</si>
  <si>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</si>
  <si>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</si>
  <si>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</si>
  <si>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</si>
  <si>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</si>
  <si>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</si>
  <si>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</si>
  <si>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</si>
  <si>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</si>
  <si>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</si>
  <si>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</si>
  <si>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</si>
  <si>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</si>
  <si>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</si>
  <si>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</si>
  <si>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</si>
  <si>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</si>
  <si>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</si>
  <si>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</si>
  <si>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</si>
  <si>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</si>
  <si>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</si>
  <si>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</si>
  <si>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</si>
  <si>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</si>
  <si>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</si>
  <si>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</si>
  <si>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</si>
  <si>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</si>
  <si>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</si>
  <si>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</si>
  <si>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</si>
  <si>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</si>
  <si>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</si>
  <si>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</si>
  <si>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</si>
  <si>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</si>
  <si>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</si>
  <si>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</si>
  <si>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</si>
  <si>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</si>
  <si>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</si>
  <si>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</si>
  <si>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</si>
  <si>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</si>
  <si>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</si>
  <si>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</si>
  <si>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</si>
  <si>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</si>
  <si>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</si>
  <si>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</si>
  <si>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</si>
  <si>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</si>
  <si>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</si>
  <si>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</si>
  <si>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</si>
  <si>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</si>
  <si>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</si>
  <si>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</si>
  <si>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</si>
  <si>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</si>
  <si>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</si>
  <si>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</si>
  <si>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</si>
  <si>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</si>
  <si>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</si>
  <si>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</si>
  <si>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</si>
  <si>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</si>
  <si>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</si>
  <si>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</si>
  <si>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</si>
  <si>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</si>
  <si>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</si>
  <si>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</si>
  <si>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</si>
  <si>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</si>
  <si>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</si>
  <si>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</si>
  <si>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</si>
  <si>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</si>
  <si>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</si>
  <si>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</si>
  <si>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</si>
  <si>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</si>
  <si>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</si>
  <si>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</si>
  <si>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</si>
  <si>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</si>
  <si>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</si>
  <si>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</si>
  <si>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</si>
  <si>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</si>
  <si>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</si>
  <si>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</si>
  <si>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</si>
  <si>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</si>
  <si>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</si>
  <si>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</si>
  <si>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</si>
  <si>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</si>
  <si>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</si>
  <si>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</si>
  <si>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</si>
  <si>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</si>
  <si>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</si>
  <si>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</si>
  <si>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</si>
  <si>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</si>
  <si>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</si>
  <si>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</si>
  <si>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</si>
  <si>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</si>
  <si>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</si>
  <si>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</si>
  <si>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</si>
  <si>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</si>
  <si>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</si>
  <si>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</si>
  <si>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</si>
  <si>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</si>
  <si>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</si>
  <si>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</si>
  <si>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</si>
  <si>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</si>
  <si>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</si>
  <si>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</si>
  <si>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</si>
  <si>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</si>
  <si>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</si>
  <si>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</si>
  <si>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</si>
  <si>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</si>
  <si>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</si>
  <si>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</si>
  <si>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</si>
  <si>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</si>
  <si>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</si>
  <si>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</si>
  <si>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</si>
  <si>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</si>
  <si>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</si>
  <si>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</si>
  <si>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</si>
  <si>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</si>
  <si>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</si>
  <si>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</si>
  <si>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</si>
  <si>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</si>
  <si>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</si>
  <si>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</si>
  <si>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</si>
  <si>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</si>
  <si>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</si>
  <si>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</si>
  <si>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</si>
  <si>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</si>
  <si>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</si>
  <si>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</si>
  <si>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</si>
  <si>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</si>
  <si>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</si>
  <si>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</si>
  <si>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</si>
  <si>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</si>
  <si>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</si>
  <si>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</si>
  <si>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</si>
  <si>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</si>
  <si>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</si>
  <si>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</si>
  <si>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</si>
  <si>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</si>
  <si>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</si>
  <si>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</si>
  <si>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</si>
  <si>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</si>
  <si>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</si>
  <si>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</si>
  <si>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</si>
  <si>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</si>
  <si>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</si>
  <si>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</si>
  <si>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</si>
  <si>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</si>
  <si>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</si>
  <si>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</si>
  <si>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</si>
  <si>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</si>
  <si>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</si>
  <si>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</si>
  <si>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</si>
  <si>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</si>
  <si>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</si>
  <si>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</si>
  <si>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</si>
  <si>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</si>
  <si>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</si>
  <si>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</si>
  <si>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</si>
  <si>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</si>
  <si>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</si>
  <si>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</si>
  <si>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</si>
  <si>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</si>
  <si>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</si>
  <si>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</si>
  <si>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</si>
  <si>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</si>
  <si>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</si>
  <si>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</si>
  <si>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</si>
  <si>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</si>
  <si>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</si>
  <si>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</si>
  <si>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</si>
  <si>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</si>
  <si>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</si>
  <si>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</si>
  <si>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</si>
  <si>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</si>
  <si>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</si>
  <si>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</si>
  <si>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</si>
  <si>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</si>
  <si>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</si>
  <si>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</si>
  <si>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</si>
  <si>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</si>
  <si>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</si>
  <si>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</si>
  <si>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</si>
  <si>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</si>
  <si>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</si>
  <si>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</si>
  <si>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</si>
  <si>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</si>
  <si>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</si>
  <si>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</si>
  <si>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</si>
  <si>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</si>
  <si>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</si>
  <si>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</si>
  <si>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</si>
  <si>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</si>
  <si>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</si>
  <si>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</si>
  <si>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</si>
  <si>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</si>
  <si>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</si>
  <si>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</si>
  <si>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</si>
  <si>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</si>
  <si>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</si>
  <si>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</si>
  <si>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</si>
  <si>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</si>
  <si>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</si>
  <si>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</si>
  <si>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</si>
  <si>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</si>
  <si>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</si>
  <si>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</si>
  <si>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</si>
  <si>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</si>
  <si>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</si>
  <si>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</si>
  <si>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</si>
  <si>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</si>
  <si>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</si>
  <si>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</si>
  <si>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</si>
  <si>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</si>
  <si>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</si>
  <si>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</si>
  <si>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</si>
  <si>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</si>
  <si>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</si>
  <si>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</si>
  <si>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</si>
  <si>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</si>
  <si>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</si>
  <si>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</si>
  <si>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</si>
  <si>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</si>
  <si>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</si>
  <si>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</si>
  <si>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</si>
  <si>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</si>
  <si>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</si>
  <si>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</si>
  <si>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</si>
  <si>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</si>
  <si>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</si>
  <si>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</si>
  <si>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</si>
  <si>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</si>
  <si>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</si>
  <si>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</si>
  <si>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</si>
  <si>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</si>
  <si>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</si>
  <si>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</si>
  <si>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</si>
  <si>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</si>
  <si>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</si>
  <si>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</si>
  <si>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</si>
  <si>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</si>
  <si>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</si>
  <si>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</si>
  <si>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</si>
  <si>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</si>
  <si>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</si>
  <si>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</si>
  <si>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</si>
  <si>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</si>
  <si>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</si>
  <si>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</si>
  <si>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</si>
  <si>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</si>
  <si>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</si>
  <si>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</si>
  <si>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</si>
  <si>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</si>
  <si>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</si>
  <si>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</si>
  <si>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</si>
  <si>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</si>
  <si>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</si>
  <si>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</si>
  <si>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</si>
  <si>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</si>
  <si>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</si>
  <si>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</si>
  <si>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</si>
  <si>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</si>
  <si>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</si>
  <si>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</si>
  <si>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</si>
  <si>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</si>
  <si>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</si>
  <si>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</si>
  <si>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</si>
  <si>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</si>
  <si>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</si>
  <si>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</si>
  <si>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</si>
  <si>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</si>
  <si>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</si>
  <si>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</si>
  <si>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</si>
  <si>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</si>
  <si>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</si>
  <si>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</si>
  <si>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</si>
  <si>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</si>
  <si>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</si>
  <si>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</si>
  <si>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</si>
  <si>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</si>
  <si>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</si>
  <si>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</si>
  <si>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</si>
  <si>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</si>
  <si>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</si>
  <si>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</si>
  <si>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</si>
  <si>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</si>
  <si>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</si>
  <si>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</si>
  <si>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</si>
  <si>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</si>
  <si>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</si>
  <si>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</si>
  <si>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</si>
  <si>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</si>
  <si>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</si>
  <si>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</si>
  <si>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</si>
  <si>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</si>
  <si>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</si>
  <si>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</si>
  <si>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</si>
  <si>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</si>
  <si>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</si>
  <si>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</si>
  <si>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</si>
  <si>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</si>
  <si>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</si>
  <si>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</si>
  <si>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</si>
  <si>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</si>
  <si>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</si>
  <si>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</si>
  <si>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</si>
  <si>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</si>
  <si>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</si>
  <si>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</si>
  <si>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</si>
  <si>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</si>
  <si>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</si>
  <si>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</si>
  <si>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</si>
  <si>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</si>
  <si>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</si>
  <si>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</si>
  <si>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</si>
  <si>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</si>
  <si>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</si>
  <si>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</si>
  <si>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</si>
  <si>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</si>
  <si>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</si>
  <si>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</si>
  <si>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</si>
  <si>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</si>
  <si>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</si>
  <si>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</si>
  <si>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</si>
  <si>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</si>
  <si>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</si>
  <si>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</si>
  <si>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</si>
  <si>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</si>
  <si>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</si>
  <si>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</si>
  <si>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</si>
  <si>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</si>
  <si>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</si>
  <si>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</si>
  <si>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</si>
  <si>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</si>
  <si>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</si>
  <si>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</si>
  <si>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</si>
  <si>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</si>
  <si>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</si>
  <si>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</si>
  <si>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</si>
  <si>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</si>
  <si>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</si>
  <si>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</si>
  <si>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</si>
  <si>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</si>
  <si>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</si>
  <si>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</si>
  <si>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</si>
  <si>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</si>
  <si>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</si>
  <si>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</si>
  <si>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</si>
  <si>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</si>
  <si>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</si>
  <si>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</si>
  <si>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</si>
  <si>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</si>
  <si>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</si>
  <si>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</si>
  <si>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</si>
  <si>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</si>
  <si>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</si>
  <si>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</si>
  <si>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</si>
  <si>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</si>
  <si>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</si>
  <si>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</si>
  <si>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</si>
  <si>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</si>
  <si>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</si>
  <si>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</si>
  <si>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</si>
  <si>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</si>
  <si>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</si>
  <si>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</si>
  <si>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</si>
  <si>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</si>
  <si>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</si>
  <si>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</si>
  <si>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</si>
  <si>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</si>
  <si>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</si>
  <si>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</si>
  <si>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</si>
  <si>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</si>
  <si>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</si>
  <si>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</si>
  <si>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</si>
  <si>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</si>
  <si>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</si>
  <si>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</si>
  <si>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</si>
  <si>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</si>
  <si>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</si>
  <si>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</si>
  <si>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</si>
  <si>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</si>
  <si>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</si>
  <si>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</si>
  <si>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</si>
  <si>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</si>
  <si>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</si>
  <si>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</si>
  <si>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</si>
  <si>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</si>
  <si>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</si>
  <si>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</si>
  <si>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</si>
  <si>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</si>
  <si>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</si>
  <si>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</si>
  <si>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</si>
  <si>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</si>
  <si>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</si>
  <si>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</si>
  <si>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</si>
  <si>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</si>
  <si>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</si>
  <si>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</si>
  <si>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</si>
  <si>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</si>
  <si>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</si>
  <si>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</si>
  <si>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</si>
  <si>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</si>
  <si>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</si>
  <si>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</si>
  <si>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</si>
  <si>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</si>
  <si>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</si>
  <si>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</si>
  <si>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</si>
  <si>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</si>
  <si>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</si>
  <si>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</si>
  <si>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</si>
  <si>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</si>
  <si>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</si>
  <si>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</si>
  <si>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</si>
  <si>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</si>
  <si>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</si>
  <si>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</si>
  <si>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</si>
  <si>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</si>
  <si>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</si>
  <si>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</si>
  <si>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</si>
  <si>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</si>
  <si>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</si>
  <si>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</si>
  <si>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</si>
  <si>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</si>
  <si>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</si>
  <si>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</si>
  <si>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</si>
  <si>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</si>
  <si>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</si>
  <si>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</si>
  <si>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</si>
  <si>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</si>
  <si>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</si>
  <si>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</si>
  <si>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</si>
  <si>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</si>
  <si>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</si>
  <si>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</si>
  <si>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</si>
  <si>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</si>
  <si>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</si>
  <si>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</si>
  <si>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</si>
  <si>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</si>
  <si>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</si>
  <si>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</si>
  <si>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</si>
  <si>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</si>
  <si>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</si>
  <si>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</si>
  <si>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</si>
  <si>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</si>
  <si>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</si>
  <si>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</si>
  <si>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</si>
  <si>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</si>
  <si>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</si>
  <si>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</si>
  <si>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</si>
  <si>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</si>
  <si>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</si>
  <si>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</si>
  <si>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</si>
  <si>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</si>
  <si>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</si>
  <si>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</si>
  <si>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</si>
  <si>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</si>
  <si>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</si>
  <si>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</si>
  <si>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</si>
  <si>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</si>
  <si>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</si>
  <si>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</si>
  <si>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</si>
  <si>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</si>
  <si>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</si>
  <si>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</si>
  <si>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</si>
  <si>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</si>
  <si>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</si>
  <si>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</si>
  <si>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</si>
  <si>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</si>
  <si>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</si>
  <si>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</si>
  <si>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</si>
  <si>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</si>
  <si>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</si>
  <si>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</si>
  <si>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</si>
  <si>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</si>
  <si>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</si>
  <si>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</si>
  <si>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</si>
  <si>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</si>
  <si>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</si>
  <si>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</si>
  <si>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</si>
  <si>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</si>
  <si>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</si>
  <si>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</si>
  <si>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</si>
  <si>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</si>
  <si>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</si>
  <si>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</si>
  <si>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</si>
  <si>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</si>
  <si>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</si>
  <si>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</si>
  <si>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</si>
  <si>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</si>
  <si>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</si>
  <si>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</si>
  <si>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</si>
  <si>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</si>
  <si>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</si>
  <si>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</si>
  <si>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</si>
  <si>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</si>
  <si>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</si>
  <si>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</si>
  <si>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</si>
  <si>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</si>
  <si>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</si>
  <si>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</si>
  <si>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</si>
  <si>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</si>
  <si>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</si>
  <si>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</si>
  <si>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</si>
  <si>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</si>
  <si>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</si>
  <si>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</si>
  <si>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</si>
  <si>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</si>
  <si>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</si>
  <si>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</si>
  <si>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</si>
  <si>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</si>
  <si>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</si>
  <si>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</si>
  <si>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</si>
  <si>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</si>
  <si>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</si>
  <si>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</si>
  <si>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</si>
  <si>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</si>
  <si>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</si>
  <si>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</si>
  <si>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</si>
  <si>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</si>
  <si>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</si>
  <si>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</si>
  <si>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</si>
  <si>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</si>
  <si>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</si>
  <si>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</si>
  <si>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</si>
  <si>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</si>
  <si>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</si>
  <si>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</si>
  <si>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</si>
  <si>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</si>
  <si>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</si>
  <si>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</si>
  <si>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</si>
  <si>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</si>
  <si>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</si>
  <si>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</si>
  <si>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</si>
  <si>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</si>
  <si>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</si>
  <si>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</si>
  <si>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</si>
  <si>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</si>
  <si>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</si>
  <si>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</si>
  <si>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</si>
  <si>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</si>
  <si>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</si>
  <si>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</si>
  <si>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</si>
  <si>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</si>
  <si>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</si>
  <si>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</si>
  <si>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</si>
  <si>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</si>
  <si>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</si>
  <si>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楼层</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</si>
  <si>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</si>
  <si>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</si>
  <si>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</si>
  <si>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</si>
  <si>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</si>
  <si>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</si>
  <si>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</si>
  <si>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</si>
  <si>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</si>
  <si>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</si>
  <si>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</si>
  <si>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</si>
  <si>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</si>
  <si>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</si>
  <si>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</si>
  <si>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</si>
  <si>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</si>
  <si>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</si>
  <si>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</si>
  <si>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住宅</t>
    <phoneticPr fontId="198" type="noConversion"/>
  </si>
  <si>
    <t>楼层</t>
    <phoneticPr fontId="198" type="noConversion"/>
  </si>
  <si>
    <t>装修</t>
    <phoneticPr fontId="198" type="noConversion"/>
  </si>
  <si>
    <t>设定收益年期(n)</t>
  </si>
  <si>
    <t>金善名居</t>
    <phoneticPr fontId="198" type="noConversion"/>
  </si>
  <si>
    <t>住宅</t>
    <phoneticPr fontId="198" type="noConversion"/>
  </si>
  <si>
    <t>与房产证证载一致</t>
  </si>
  <si>
    <r>
      <t>6</t>
    </r>
    <r>
      <rPr>
        <sz val="10"/>
        <color indexed="8"/>
        <rFont val="宋体"/>
        <family val="3"/>
        <charset val="134"/>
      </rPr>
      <t>（</t>
    </r>
    <r>
      <rPr>
        <sz val="10"/>
        <color indexed="8"/>
        <rFont val="Arial"/>
        <family val="2"/>
      </rPr>
      <t>-1</t>
    </r>
    <r>
      <rPr>
        <sz val="10"/>
        <color indexed="8"/>
        <rFont val="宋体"/>
        <family val="3"/>
        <charset val="134"/>
      </rPr>
      <t>）</t>
    </r>
    <phoneticPr fontId="198" type="noConversion"/>
  </si>
  <si>
    <t>无租约</t>
  </si>
  <si>
    <t>正常</t>
  </si>
  <si>
    <t>砖混</t>
  </si>
  <si>
    <t>金善名居</t>
    <phoneticPr fontId="198" type="noConversion"/>
  </si>
  <si>
    <r>
      <t>6</t>
    </r>
    <r>
      <rPr>
        <sz val="10"/>
        <color indexed="8"/>
        <rFont val="宋体"/>
        <family val="3"/>
        <charset val="134"/>
      </rPr>
      <t>号楼</t>
    </r>
    <r>
      <rPr>
        <sz val="10"/>
        <color indexed="8"/>
        <rFont val="Arial"/>
        <family val="2"/>
      </rPr>
      <t>4-302</t>
    </r>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</si>
</sst>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0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10" customWidth="1"/>
    <col min="2" max="2" width="94.875" style="2711" customWidth="1"/>
    <col min="3" max="16384" width="9" style="2712"/>
  </cols>
  <sheetData>
    <row r="1" spans="1:2" s="2708" customFormat="1" ht="15.75">
      <c r="A1" s="2713" t="s">
        <v>0</v>
      </c>
      <c r="B1" s="2714" t="s">
        <v>1</v>
      </c>
    </row>
    <row r="2" spans="1:2" s="2709" customFormat="1">
      <c r="A2" s="2715" t="s">
        <v>2</v>
      </c>
      <c r="B2" s="2716" t="str">
        <f>'预评函-封皮'!B9</f>
        <v>北京市房地产抵押价值预评估</v>
      </c>
    </row>
    <row r="3" spans="1:2" s="2709" customFormat="1">
      <c r="A3" s="2717" t="s">
        <v>3</v>
      </c>
      <c r="B3" s="2718">
        <f>'预评函-封皮'!B12</f>
        <v>0</v>
      </c>
    </row>
    <row r="4" spans="1:2" s="2709" customFormat="1">
      <c r="A4" s="2717" t="s">
        <v>4</v>
      </c>
      <c r="B4" s="2718" t="str">
        <f ca="1">'预评函-封皮'!B18</f>
        <v>欧红伟（注册号:1120000080）、崔锴（注册号:1120100036)</v>
      </c>
    </row>
    <row r="5" spans="1:2" s="2708" customFormat="1">
      <c r="A5" s="2719" t="s">
        <v>5</v>
      </c>
      <c r="B5" s="2720" t="str">
        <f>'预评函-封皮'!B21</f>
        <v>康正预评字号</v>
      </c>
    </row>
    <row r="6" spans="1:2" s="2709" customFormat="1">
      <c r="A6" s="2717" t="s">
        <v>6</v>
      </c>
      <c r="B6" s="2716" t="str">
        <f>'预评函-1'!A4</f>
        <v>受您的委托，我公司对北京市房地产进行了预评估。</v>
      </c>
    </row>
    <row r="7" spans="1:2">
      <c r="A7" s="2717" t="s">
        <v>7</v>
      </c>
      <c r="B7" s="2721" t="str">
        <f>'预评函-1'!A6</f>
        <v>估价对象为北京市房地产，为李树华所有。根据《房屋所有权证》[]，估价对象建筑面积为95.95平方米。估价对象用途为。</v>
      </c>
    </row>
    <row r="8" spans="1:2">
      <c r="A8" s="2717" t="s">
        <v>8</v>
      </c>
      <c r="B8" s="2721" t="str">
        <f>'预评函-1'!A8</f>
        <v>李树华拟使用北京市房地产作为抵押担保物，向办理贷款手续。特委托北京康正宏基房地产评估有限公司对上述抵押物进行评估。本次评估为确定房地产抵押贷款额度提供参考依据而评估房地产抵押价值。</v>
      </c>
    </row>
    <row r="9" spans="1:2">
      <c r="A9" s="2717" t="s">
        <v>9</v>
      </c>
      <c r="B9" s="2721" t="str">
        <f>'预评函-1'!A10</f>
        <v>2018年4月9日</v>
      </c>
    </row>
    <row r="10" spans="1:2">
      <c r="A10" s="2717" t="s">
        <v>10</v>
      </c>
      <c r="B10" s="2721" t="str">
        <f>'预评函-1'!A13</f>
        <v>本次估价的“房地产价值”是指在正常市场情况下，在价值时点2018年4月9日，估价对象规划用途为，假定未设立法定优先受偿款下的房地产市场价值。</v>
      </c>
    </row>
    <row r="11" spans="1:2">
      <c r="A11" s="2717" t="s">
        <v>11</v>
      </c>
      <c r="B11" s="2721"/>
    </row>
    <row r="12" spans="1:2">
      <c r="A12" s="2717" t="s">
        <v>12</v>
      </c>
      <c r="B12" s="2721" t="str">
        <f>'预评函-1'!A14</f>
        <v>本次估价的“房地产抵押价值”是指估价对象在价值时点的“房地产价值”扣减估价师于价值时点所知悉的法定优先受偿款后的余额。</v>
      </c>
    </row>
    <row r="13" spans="1:2">
      <c r="A13" s="2717" t="s">
        <v>13</v>
      </c>
      <c r="B13" s="27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7" t="s">
        <v>14</v>
      </c>
      <c r="B14" s="2721" t="str">
        <f>'预评函-1'!A16</f>
        <v/>
      </c>
    </row>
    <row r="15" spans="1:2" s="2708" customFormat="1">
      <c r="A15" s="2719" t="s">
        <v>15</v>
      </c>
      <c r="B15" s="2722" t="str">
        <f>'预评函-1'!A18</f>
        <v>本次评估采用的主估价方法为基准地价系数修正法和基准地价系数修正法。</v>
      </c>
    </row>
    <row r="16" spans="1:2">
      <c r="A16" s="2715" t="s">
        <v>16</v>
      </c>
      <c r="B16" s="27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7" t="s">
        <v>17</v>
      </c>
      <c r="B17" s="2721" t="str">
        <f>'预评函-2（1）'!B6</f>
        <v>北京市房地产</v>
      </c>
    </row>
    <row r="18" spans="1:2">
      <c r="A18" s="2717" t="s">
        <v>18</v>
      </c>
      <c r="B18" s="2721">
        <f>'预评函-2（1）'!C6</f>
        <v>95.95</v>
      </c>
    </row>
    <row r="19" spans="1:2">
      <c r="A19" s="2717" t="s">
        <v>19</v>
      </c>
      <c r="B19" s="2721">
        <f ca="1">'预评函-2（1）'!D7</f>
        <v>392</v>
      </c>
    </row>
    <row r="20" spans="1:2">
      <c r="A20" s="2717" t="s">
        <v>20</v>
      </c>
      <c r="B20" s="2721" t="str">
        <f>'预评函-2（1）'!C7</f>
        <v>总价（万元）</v>
      </c>
    </row>
    <row r="21" spans="1:2">
      <c r="A21" s="2717" t="s">
        <v>21</v>
      </c>
      <c r="B21" s="2721">
        <f ca="1">'预评函-2（1）'!D9</f>
        <v>22173</v>
      </c>
    </row>
    <row r="22" spans="1:2">
      <c r="A22" s="2717" t="s">
        <v>22</v>
      </c>
      <c r="B22" s="2721" t="str">
        <f ca="1">'预评函-2（1）'!D8</f>
        <v>叁佰玖拾贰万元整</v>
      </c>
    </row>
    <row r="23" spans="1:2">
      <c r="A23" s="2717" t="s">
        <v>23</v>
      </c>
      <c r="B23" s="2721">
        <f>'预评函-2（1）'!D10</f>
        <v>0</v>
      </c>
    </row>
    <row r="24" spans="1:2">
      <c r="A24" s="2717" t="s">
        <v>24</v>
      </c>
      <c r="B24" s="2721" t="str">
        <f>'预评函-2（1）'!C10</f>
        <v>总额（万元）</v>
      </c>
    </row>
    <row r="25" spans="1:2">
      <c r="A25" s="2717" t="s">
        <v>25</v>
      </c>
      <c r="B25" s="2721" t="str">
        <f>'预评函-2（1）'!D11</f>
        <v>零元整</v>
      </c>
    </row>
    <row r="26" spans="1:2">
      <c r="A26" s="2717" t="s">
        <v>26</v>
      </c>
      <c r="B26" s="2721">
        <f>'预评函-2（1）'!D12</f>
        <v>0</v>
      </c>
    </row>
    <row r="27" spans="1:2">
      <c r="A27" s="2717" t="s">
        <v>27</v>
      </c>
      <c r="B27" s="2721">
        <f>'预评函-2（1）'!D13</f>
        <v>0</v>
      </c>
    </row>
    <row r="28" spans="1:2">
      <c r="A28" s="2717" t="s">
        <v>28</v>
      </c>
      <c r="B28" s="2721">
        <f>'预评函-2（1）'!D14</f>
        <v>0</v>
      </c>
    </row>
    <row r="29" spans="1:2">
      <c r="A29" s="2717" t="s">
        <v>29</v>
      </c>
      <c r="B29" s="2721">
        <f ca="1">'预评函-2（1）'!D15</f>
        <v>392</v>
      </c>
    </row>
    <row r="30" spans="1:2">
      <c r="A30" s="2717" t="s">
        <v>30</v>
      </c>
      <c r="B30" s="2721" t="str">
        <f ca="1">'预评函-2（1）'!D16</f>
        <v>叁佰玖拾贰万元整</v>
      </c>
    </row>
    <row r="31" spans="1:2">
      <c r="A31" s="2717" t="s">
        <v>31</v>
      </c>
      <c r="B31" s="2721" t="str">
        <f>'预评函-2（1）'!D18</f>
        <v>——</v>
      </c>
    </row>
    <row r="32" spans="1:2">
      <c r="A32" s="2717" t="s">
        <v>32</v>
      </c>
      <c r="B32" s="2721" t="e">
        <f>'预评函-2（1）'!D19</f>
        <v>#VALUE!</v>
      </c>
    </row>
    <row r="33" spans="1:2">
      <c r="A33" s="2717" t="s">
        <v>33</v>
      </c>
      <c r="B33" s="2721" t="str">
        <f>'预评函-2（1）'!D21</f>
        <v>——</v>
      </c>
    </row>
    <row r="34" spans="1:2">
      <c r="A34" s="2717" t="s">
        <v>34</v>
      </c>
      <c r="B34" s="2721" t="str">
        <f ca="1">'预评函-2（1）'!D23</f>
        <v>——</v>
      </c>
    </row>
    <row r="35" spans="1:2">
      <c r="A35" s="2717" t="s">
        <v>35</v>
      </c>
      <c r="B35" s="2721" t="e">
        <f>'预评函-2（1）'!D22</f>
        <v>#VALUE!</v>
      </c>
    </row>
    <row r="36" spans="1:2">
      <c r="A36" s="2717" t="s">
        <v>36</v>
      </c>
      <c r="B36" s="2721">
        <f>'预评函-2（2）'!C4</f>
        <v>0</v>
      </c>
    </row>
    <row r="37" spans="1:2">
      <c r="A37" s="2717" t="s">
        <v>37</v>
      </c>
      <c r="B37" s="2721">
        <f>'预评函-2（2）'!D4</f>
        <v>0</v>
      </c>
    </row>
    <row r="38" spans="1:2">
      <c r="A38" s="2717" t="s">
        <v>38</v>
      </c>
      <c r="B38" s="2721">
        <f>'预评函-2（2）'!E4</f>
        <v>0</v>
      </c>
    </row>
    <row r="39" spans="1:2">
      <c r="A39" s="2717" t="s">
        <v>39</v>
      </c>
      <c r="B39" s="2721" t="str">
        <f>'预评函-2（2）'!D5</f>
        <v>零元整</v>
      </c>
    </row>
    <row r="40" spans="1:2">
      <c r="A40" s="2717" t="s">
        <v>40</v>
      </c>
      <c r="B40" s="2721">
        <f>'预评函-2（2）'!F4</f>
        <v>0</v>
      </c>
    </row>
    <row r="41" spans="1:2">
      <c r="A41" s="2717" t="s">
        <v>41</v>
      </c>
      <c r="B41" s="2721">
        <f>'预评函-2（2）'!G4</f>
        <v>0</v>
      </c>
    </row>
    <row r="42" spans="1:2" s="2708" customFormat="1">
      <c r="A42" s="2719" t="s">
        <v>42</v>
      </c>
      <c r="B42" s="2723" t="str">
        <f>'预评函-2（2）'!F5</f>
        <v>零元整</v>
      </c>
    </row>
    <row r="43" spans="1:2">
      <c r="A43" s="2715" t="s">
        <v>43</v>
      </c>
      <c r="B43" s="2724" t="str">
        <f>'预评函-3'!A13</f>
        <v>2.本《评估意见函》仅供金融机构进行内部审核使用，不做其他目的之用。</v>
      </c>
    </row>
    <row r="44" spans="1:2">
      <c r="A44" s="2717" t="s">
        <v>44</v>
      </c>
      <c r="B44" s="2721" t="str">
        <f>'预评函-3'!A14</f>
        <v>3.抵押双方在办理抵押登记手续时，应使用本公司出具的正式《房地产评估报告》，特提醒报告使用者注意。</v>
      </c>
    </row>
    <row r="45" spans="1:2">
      <c r="A45" s="2717" t="s">
        <v>45</v>
      </c>
      <c r="B45" s="2721" t="str">
        <f>'预评函-3'!A15</f>
        <v>4.本次评估估价师所知悉的法定优先受偿款情况说明如下：</v>
      </c>
    </row>
    <row r="46" spans="1:2">
      <c r="A46" s="2717" t="s">
        <v>46</v>
      </c>
      <c r="B46" s="2721" t="str">
        <f>'预评函-3'!A16</f>
        <v>根据估价对象《房屋所有权证》复印件、，截至价值时点，估价对象抵押权未见登记。</v>
      </c>
    </row>
    <row r="47" spans="1:2">
      <c r="A47" s="2717" t="s">
        <v>47</v>
      </c>
      <c r="B47" s="27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7" t="s">
        <v>48</v>
      </c>
      <c r="B48" s="2721" t="str">
        <f>'预评函-3'!A18</f>
        <v>本次评估不存在估价师所知悉的法定优先受偿款。</v>
      </c>
    </row>
    <row r="49" spans="1:2">
      <c r="A49" s="2717" t="s">
        <v>49</v>
      </c>
      <c r="B49" s="27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7" t="s">
        <v>50</v>
      </c>
      <c r="B50" s="2721" t="str">
        <f>'预评函-3'!A20</f>
        <v>6.其他需特殊说明事项：无（注意修改序号）</v>
      </c>
    </row>
    <row r="51" spans="1:2" s="2708" customFormat="1" ht="14.25">
      <c r="A51" s="2719" t="s">
        <v>51</v>
      </c>
      <c r="B51" s="2725">
        <f>'预评函-3'!D29</f>
        <v>42551</v>
      </c>
    </row>
    <row r="52" spans="1:2">
      <c r="A52" s="2715" t="s">
        <v>52</v>
      </c>
      <c r="B52" s="2726" t="str">
        <f>'预评函-3'!A4</f>
        <v>欧红伟</v>
      </c>
    </row>
    <row r="53" spans="1:2">
      <c r="A53" s="2717" t="s">
        <v>53</v>
      </c>
      <c r="B53" s="2721">
        <f ca="1">'预评函-3'!B4</f>
        <v>1120000080</v>
      </c>
    </row>
    <row r="54" spans="1:2">
      <c r="A54" s="2717" t="s">
        <v>54</v>
      </c>
      <c r="B54" s="2727" t="str">
        <f>'预评函-3'!A5</f>
        <v>崔锴</v>
      </c>
    </row>
    <row r="55" spans="1:2" s="2708" customFormat="1">
      <c r="A55" s="2719" t="s">
        <v>55</v>
      </c>
      <c r="B55" s="2723">
        <f ca="1">'预评函-3'!B5</f>
        <v>1120100036</v>
      </c>
    </row>
    <row r="56" spans="1:2">
      <c r="A56" s="2728" t="s">
        <v>56</v>
      </c>
      <c r="B56" s="2721" t="str">
        <f>'预评函-2（1）'!B15</f>
        <v>3.房地产抵押价值</v>
      </c>
    </row>
    <row r="57" spans="1:2">
      <c r="A57" s="2728" t="s">
        <v>57</v>
      </c>
      <c r="B57" s="2721" t="str">
        <f>'预评函-2（1）'!B18</f>
        <v>——</v>
      </c>
    </row>
    <row r="58" spans="1:2" s="2708" customFormat="1">
      <c r="A58" s="2729" t="s">
        <v>58</v>
      </c>
      <c r="B58" s="2722" t="str">
        <f>'预评函-2（1）'!B21</f>
        <v>——</v>
      </c>
    </row>
    <row r="59" spans="1:2">
      <c r="A59" s="2730" t="s">
        <v>59</v>
      </c>
      <c r="B59" s="2718" t="str">
        <f>'预评函-2（1）'!B45</f>
        <v>单位：万元、元/平方米（单位：人民币）</v>
      </c>
    </row>
    <row r="60" spans="1:2">
      <c r="A60" s="2728" t="s">
        <v>60</v>
      </c>
      <c r="B60" s="2721" t="str">
        <f>'预评函-2（2）'!D2</f>
        <v>出让国有建设用地使用权价值</v>
      </c>
    </row>
    <row r="61" spans="1:2" s="2709" customFormat="1">
      <c r="A61" s="2728" t="s">
        <v>61</v>
      </c>
      <c r="B61" s="2721" t="str">
        <f>'预评函-2（2）'!A14</f>
        <v>单位：平方米、万元、元/平方米（币种：人民币）</v>
      </c>
    </row>
    <row r="62" spans="1:2" ht="28.5">
      <c r="A62" s="2728" t="s">
        <v>62</v>
      </c>
      <c r="B62" s="2721">
        <f ca="1">'预评函-2（1）'!D38</f>
        <v>22173</v>
      </c>
    </row>
    <row r="63" spans="1:2" s="2709" customFormat="1" ht="28.5">
      <c r="A63" s="2728" t="s">
        <v>63</v>
      </c>
      <c r="B63" s="2721" t="str">
        <f>'预评函-2（1）'!D41</f>
        <v>——</v>
      </c>
    </row>
    <row r="64" spans="1:2">
      <c r="A64" s="2728" t="s">
        <v>64</v>
      </c>
      <c r="B64" s="2721" t="str">
        <f>'预评函-2（2）'!A6</f>
        <v>估价师所知悉的法定优先受偿款</v>
      </c>
    </row>
    <row r="65" spans="1:2">
      <c r="A65" s="2728" t="s">
        <v>65</v>
      </c>
      <c r="B65" s="2721" t="str">
        <f>'预评函-2（2）'!A8</f>
        <v>房地产抵押价值</v>
      </c>
    </row>
    <row r="66" spans="1:2">
      <c r="A66" s="2728" t="s">
        <v>66</v>
      </c>
      <c r="B66" s="2721" t="str">
        <f>'预评函-2（2）'!A10</f>
        <v/>
      </c>
    </row>
    <row r="67" spans="1:2" s="2708" customFormat="1">
      <c r="A67" s="2729" t="s">
        <v>67</v>
      </c>
      <c r="B67" s="2722" t="str">
        <f>'预评函-2（2）'!A12</f>
        <v/>
      </c>
    </row>
    <row r="68" spans="1:2">
      <c r="A68" s="2710" t="s">
        <v>68</v>
      </c>
      <c r="B68" s="2711" t="str">
        <f>'预评函-3'!A9</f>
        <v>XX</v>
      </c>
    </row>
    <row r="69" spans="1:2">
      <c r="A69" s="2717" t="s">
        <v>69</v>
      </c>
    </row>
    <row r="70" spans="1:2">
      <c r="A70" s="2717"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I18" sqref="I18"/>
    </sheetView>
  </sheetViews>
  <sheetFormatPr defaultColWidth="10" defaultRowHeight="12.75"/>
  <cols>
    <col min="1" max="1" width="18.625" style="2434" customWidth="1"/>
    <col min="2" max="2" width="15" style="2434" customWidth="1"/>
    <col min="3" max="3" width="14.125" style="2434" customWidth="1"/>
    <col min="4" max="4" width="12.5" style="2434" customWidth="1"/>
    <col min="5" max="5" width="13.875" style="2434" customWidth="1"/>
    <col min="6" max="6" width="15" style="2434" customWidth="1"/>
    <col min="7" max="7" width="14.875" style="2434" customWidth="1"/>
    <col min="8" max="8" width="10" style="2434" customWidth="1"/>
    <col min="9" max="9" width="10" style="2435" customWidth="1"/>
    <col min="10" max="10" width="10" style="2434" customWidth="1"/>
    <col min="11" max="13" width="10" style="2436" customWidth="1"/>
    <col min="14" max="14" width="10" style="2434" customWidth="1"/>
    <col min="15" max="15" width="10" style="2435" customWidth="1"/>
    <col min="16" max="17" width="10" style="2434"/>
    <col min="18" max="18" width="10" style="2434" customWidth="1"/>
    <col min="19" max="16384" width="10" style="2434"/>
  </cols>
  <sheetData>
    <row r="1" spans="1:10">
      <c r="A1" s="2437" t="s">
        <v>332</v>
      </c>
      <c r="B1" s="2438" t="str">
        <f>IF(B6="北京市","北京市",C6)&amp;IF(E12="房屋所有权证",B28,E28)&amp;D5&amp;"预评估"</f>
        <v>北京市房地产抵押价值预评估</v>
      </c>
      <c r="C1" s="2439"/>
      <c r="D1" s="2440"/>
      <c r="E1" s="2439"/>
      <c r="F1" s="2441" t="s">
        <v>333</v>
      </c>
      <c r="G1" s="2442"/>
      <c r="I1" s="2433" t="str">
        <f>IF(B6="北京市","北京市",C6)&amp;IF(E12="房屋所有权证",B28,E28)&amp;"房地产"</f>
        <v>北京市房地产</v>
      </c>
    </row>
    <row r="2" spans="1:10">
      <c r="A2" s="2443" t="s">
        <v>334</v>
      </c>
      <c r="B2" s="2444">
        <v>43188</v>
      </c>
      <c r="C2" s="2445" t="s">
        <v>335</v>
      </c>
      <c r="D2" s="2444">
        <v>43199</v>
      </c>
      <c r="E2" s="2446"/>
      <c r="F2" s="2446"/>
      <c r="G2" s="2447"/>
      <c r="H2" s="2433"/>
    </row>
    <row r="3" spans="1:10">
      <c r="A3" s="2448" t="s">
        <v>336</v>
      </c>
      <c r="B3" s="2449" t="s">
        <v>175</v>
      </c>
      <c r="C3" s="2450">
        <f ca="1">SUMIF(注册房地产估价师,B3,估价师及机构信息!B3:B24)</f>
        <v>1120000080</v>
      </c>
      <c r="D3" s="2449" t="s">
        <v>178</v>
      </c>
      <c r="E3" s="2451">
        <f ca="1">SUMIF(注册房地产估价师,D3,估价师及机构信息!B3:B24)</f>
        <v>1120100036</v>
      </c>
      <c r="F3" s="2452"/>
      <c r="G3" s="2453"/>
      <c r="H3" s="2433"/>
    </row>
    <row r="4" spans="1:10" ht="13.5" customHeight="1">
      <c r="A4" s="2454" t="s">
        <v>337</v>
      </c>
      <c r="B4" s="2455"/>
      <c r="C4" s="2456" t="s">
        <v>338</v>
      </c>
      <c r="D4" s="2457" t="s">
        <v>2317</v>
      </c>
      <c r="E4" s="2446"/>
      <c r="F4" s="2446"/>
      <c r="G4" s="2447"/>
    </row>
    <row r="5" spans="1:10">
      <c r="A5" s="2458" t="s">
        <v>339</v>
      </c>
      <c r="B5" s="2459"/>
      <c r="C5" s="1593" t="s">
        <v>340</v>
      </c>
      <c r="D5" s="2460" t="s">
        <v>341</v>
      </c>
      <c r="E5" s="2461" t="s">
        <v>342</v>
      </c>
      <c r="F5" s="2462" t="s">
        <v>341</v>
      </c>
      <c r="G5" s="2463" t="s">
        <v>121</v>
      </c>
      <c r="I5" s="2433" t="str">
        <f>IF(C16="否","截至估价时点，估价对象抵押权未见登记。","截至价值时点，估价对象已设定抵押。")</f>
        <v>截至估价时点，估价对象抵押权未见登记。</v>
      </c>
    </row>
    <row r="6" spans="1:10">
      <c r="A6" s="2464" t="s">
        <v>343</v>
      </c>
      <c r="B6" s="1607" t="s">
        <v>344</v>
      </c>
      <c r="C6" s="2465"/>
      <c r="D6" s="2466" t="s">
        <v>345</v>
      </c>
      <c r="E6" s="2053"/>
      <c r="F6" s="2467"/>
      <c r="G6" s="2468"/>
      <c r="I6" s="2435" t="str">
        <f>IF(COUNTIF(B5,"*上海银行*"),"上海银行","")</f>
        <v/>
      </c>
    </row>
    <row r="7" spans="1:10">
      <c r="A7" s="2448" t="s">
        <v>346</v>
      </c>
      <c r="B7" s="2469" t="s">
        <v>347</v>
      </c>
      <c r="C7" s="2470" t="str">
        <f>IF(B7="自然人","姓名","名称")</f>
        <v>姓名</v>
      </c>
      <c r="D7" s="2471" t="s">
        <v>348</v>
      </c>
      <c r="E7" s="2472"/>
      <c r="F7" s="2452"/>
      <c r="G7" s="2453"/>
    </row>
    <row r="8" spans="1:10">
      <c r="A8" s="2803" t="s">
        <v>349</v>
      </c>
      <c r="B8" s="2474" t="s">
        <v>350</v>
      </c>
      <c r="C8" s="2818" t="s">
        <v>2345</v>
      </c>
      <c r="D8" s="2819"/>
      <c r="E8" s="2475" t="s">
        <v>351</v>
      </c>
      <c r="F8" s="2476" t="s">
        <v>352</v>
      </c>
      <c r="G8" s="2477">
        <f>C6</f>
        <v>0</v>
      </c>
    </row>
    <row r="9" spans="1:10" ht="25.5">
      <c r="A9" s="2803"/>
      <c r="B9" s="1592" t="s">
        <v>353</v>
      </c>
      <c r="C9" s="2478" t="s">
        <v>2346</v>
      </c>
      <c r="D9" s="2479" t="s">
        <v>2347</v>
      </c>
      <c r="E9" s="2480" t="s">
        <v>355</v>
      </c>
      <c r="F9" s="2481" t="s">
        <v>1610</v>
      </c>
      <c r="G9" s="2482"/>
    </row>
    <row r="10" spans="1:10">
      <c r="A10" s="2803"/>
      <c r="B10" s="1592" t="s">
        <v>356</v>
      </c>
      <c r="C10" s="2820"/>
      <c r="D10" s="2821"/>
      <c r="E10" s="2484" t="s">
        <v>357</v>
      </c>
      <c r="F10" s="2485" t="s">
        <v>1625</v>
      </c>
      <c r="G10" s="2486"/>
    </row>
    <row r="11" spans="1:10">
      <c r="A11" s="2803"/>
      <c r="B11" s="1548" t="s">
        <v>358</v>
      </c>
      <c r="C11" s="2822"/>
      <c r="D11" s="2823"/>
      <c r="E11" s="2053"/>
      <c r="F11" s="2467"/>
      <c r="G11" s="2468"/>
    </row>
    <row r="12" spans="1:10">
      <c r="A12" s="2804" t="s">
        <v>359</v>
      </c>
      <c r="B12" s="2487" t="s">
        <v>360</v>
      </c>
      <c r="C12" s="2488">
        <v>95.95</v>
      </c>
      <c r="D12" s="2487" t="s">
        <v>361</v>
      </c>
      <c r="E12" s="2489" t="s">
        <v>362</v>
      </c>
      <c r="F12" s="2490" t="s">
        <v>121</v>
      </c>
      <c r="G12" s="2468"/>
    </row>
    <row r="13" spans="1:10" ht="21" customHeight="1">
      <c r="A13" s="2805"/>
      <c r="B13" s="2491" t="s">
        <v>363</v>
      </c>
      <c r="C13" s="2492"/>
      <c r="D13" s="2491" t="s">
        <v>361</v>
      </c>
      <c r="E13" s="2493" t="s">
        <v>364</v>
      </c>
      <c r="F13" s="2467"/>
      <c r="G13" s="2468"/>
      <c r="I13" s="2828" t="s">
        <v>365</v>
      </c>
      <c r="J13" s="256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c r="A14" s="2494"/>
      <c r="B14" s="2495" t="s">
        <v>366</v>
      </c>
      <c r="C14" s="2496"/>
      <c r="D14" s="2467"/>
      <c r="E14" s="2467"/>
      <c r="F14" s="2467"/>
      <c r="G14" s="2468"/>
      <c r="I14" s="2828"/>
      <c r="J14" s="256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7"/>
      <c r="B15" s="2498" t="s">
        <v>367</v>
      </c>
      <c r="C15" s="2499"/>
      <c r="D15" s="2452"/>
      <c r="E15" s="2452"/>
      <c r="F15" s="2452"/>
      <c r="G15" s="2453"/>
      <c r="I15" s="2828"/>
      <c r="J15" s="256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4" t="s">
        <v>368</v>
      </c>
      <c r="B16" s="2500" t="s">
        <v>369</v>
      </c>
      <c r="C16" s="2501" t="s">
        <v>370</v>
      </c>
      <c r="D16" s="2502" t="s">
        <v>371</v>
      </c>
      <c r="E16" s="2503" t="s">
        <v>370</v>
      </c>
      <c r="F16" s="2504" t="str">
        <f>IF(AND(C16="是",E16="否"),"是否提供他项权证或相关说明","")</f>
        <v/>
      </c>
      <c r="G16" s="2503"/>
      <c r="I16" s="2434"/>
      <c r="J16" s="2433"/>
    </row>
    <row r="17" spans="1:15" ht="13.5" customHeight="1">
      <c r="A17" s="2505" t="s">
        <v>372</v>
      </c>
      <c r="B17" s="2824" t="s">
        <v>373</v>
      </c>
      <c r="C17" s="2825"/>
      <c r="D17" s="2826" t="s">
        <v>374</v>
      </c>
      <c r="E17" s="2827"/>
      <c r="F17" s="2506" t="s">
        <v>375</v>
      </c>
      <c r="G17" s="2507"/>
      <c r="J17" s="2433"/>
    </row>
    <row r="18" spans="1:15" ht="24">
      <c r="A18" s="2505"/>
      <c r="B18" s="2508" t="s">
        <v>376</v>
      </c>
      <c r="C18" s="2463" t="s">
        <v>377</v>
      </c>
      <c r="D18" s="2509" t="s">
        <v>378</v>
      </c>
      <c r="E18" s="2510" t="s">
        <v>379</v>
      </c>
      <c r="F18" s="2511"/>
      <c r="G18" s="2512"/>
      <c r="H18" s="2433"/>
      <c r="J18" s="2433"/>
    </row>
    <row r="19" spans="1:15" ht="21.75" customHeight="1">
      <c r="A19" s="2505"/>
      <c r="B19" s="2513"/>
      <c r="C19" s="2493"/>
      <c r="D19" s="2514"/>
      <c r="E19" s="2467"/>
      <c r="F19" s="2467"/>
      <c r="G19" s="2512"/>
    </row>
    <row r="20" spans="1:15">
      <c r="A20" s="2515" t="s">
        <v>380</v>
      </c>
      <c r="B20" s="2516" t="s">
        <v>381</v>
      </c>
      <c r="C20" s="2517"/>
      <c r="D20" s="2518" t="s">
        <v>381</v>
      </c>
      <c r="E20" s="2517"/>
      <c r="F20" s="2467"/>
      <c r="G20" s="2512"/>
    </row>
    <row r="21" spans="1:15">
      <c r="A21" s="2519"/>
      <c r="B21" s="2520" t="s">
        <v>382</v>
      </c>
      <c r="C21" s="2483"/>
      <c r="D21" s="2505" t="s">
        <v>382</v>
      </c>
      <c r="E21" s="2521"/>
      <c r="F21" s="2467"/>
      <c r="G21" s="2512"/>
    </row>
    <row r="22" spans="1:15">
      <c r="A22" s="2519"/>
      <c r="B22" s="2522" t="s">
        <v>383</v>
      </c>
      <c r="C22" s="2523"/>
      <c r="D22" s="2522" t="s">
        <v>383</v>
      </c>
      <c r="E22" s="2521"/>
      <c r="F22" s="2467"/>
      <c r="G22" s="2512"/>
    </row>
    <row r="23" spans="1:15" s="2431" customFormat="1" ht="20.25">
      <c r="A23" s="2524"/>
      <c r="B23" s="2525" t="s">
        <v>384</v>
      </c>
      <c r="C23" s="2526"/>
      <c r="D23" s="2525" t="s">
        <v>384</v>
      </c>
      <c r="E23" s="2527"/>
      <c r="F23" s="2467"/>
      <c r="G23" s="2512"/>
      <c r="H23" s="2528"/>
      <c r="I23" s="2568"/>
      <c r="K23" s="2570"/>
      <c r="L23" s="2570"/>
      <c r="M23" s="2570"/>
      <c r="O23" s="2568"/>
    </row>
    <row r="24" spans="1:15">
      <c r="A24" s="2529" t="s">
        <v>385</v>
      </c>
      <c r="B24" s="2467"/>
      <c r="C24" s="2467"/>
      <c r="D24" s="2467"/>
      <c r="E24" s="2467"/>
      <c r="F24" s="2467"/>
      <c r="G24" s="2530"/>
      <c r="I24" s="2434"/>
      <c r="K24" s="2434"/>
    </row>
    <row r="25" spans="1:15" s="2432" customFormat="1">
      <c r="A25" s="2531"/>
      <c r="B25" s="2532" t="s">
        <v>386</v>
      </c>
      <c r="C25" s="2531"/>
      <c r="D25" s="2533"/>
      <c r="E25" s="2534" t="s">
        <v>387</v>
      </c>
      <c r="F25" s="2531"/>
      <c r="G25" s="2535" t="s">
        <v>388</v>
      </c>
      <c r="L25" s="2571"/>
      <c r="M25" s="2571"/>
      <c r="O25" s="2572"/>
    </row>
    <row r="26" spans="1:15" s="2432" customFormat="1">
      <c r="A26" s="2531"/>
      <c r="B26" s="2536" t="s">
        <v>389</v>
      </c>
      <c r="C26" s="2531"/>
      <c r="D26" s="2533"/>
      <c r="E26" s="2536"/>
      <c r="F26" s="2531"/>
      <c r="G26" s="2537"/>
      <c r="L26" s="2571"/>
      <c r="M26" s="2571"/>
      <c r="O26" s="2572"/>
    </row>
    <row r="27" spans="1:15">
      <c r="A27" s="2538" t="s">
        <v>390</v>
      </c>
      <c r="B27" s="2539"/>
      <c r="C27" s="2812" t="s">
        <v>390</v>
      </c>
      <c r="D27" s="2813"/>
      <c r="E27" s="2541"/>
      <c r="F27" s="2542" t="s">
        <v>390</v>
      </c>
      <c r="G27" s="2541"/>
      <c r="I27" s="2434"/>
      <c r="K27" s="2434"/>
    </row>
    <row r="28" spans="1:15">
      <c r="A28" s="2543" t="s">
        <v>391</v>
      </c>
      <c r="B28" s="2544"/>
      <c r="C28" s="2814" t="s">
        <v>392</v>
      </c>
      <c r="D28" s="2815"/>
      <c r="E28" s="2545"/>
      <c r="F28" s="2049" t="s">
        <v>392</v>
      </c>
      <c r="G28" s="2545"/>
      <c r="I28" s="2434"/>
      <c r="K28" s="2434"/>
    </row>
    <row r="29" spans="1:15">
      <c r="A29" s="2543" t="s">
        <v>393</v>
      </c>
      <c r="B29" s="2544" t="s">
        <v>394</v>
      </c>
      <c r="C29" s="2814" t="s">
        <v>393</v>
      </c>
      <c r="D29" s="2815"/>
      <c r="E29" s="2545"/>
      <c r="F29" s="2049" t="s">
        <v>395</v>
      </c>
      <c r="G29" s="2545"/>
      <c r="I29" s="2434"/>
      <c r="K29" s="2434"/>
    </row>
    <row r="30" spans="1:15">
      <c r="A30" s="2543" t="s">
        <v>396</v>
      </c>
      <c r="B30" s="2545"/>
      <c r="C30" s="2806" t="s">
        <v>397</v>
      </c>
      <c r="D30" s="2060"/>
      <c r="E30" s="2546" t="str">
        <f>E31&amp;" "&amp;E32&amp;" "&amp;E33&amp;" "&amp;E34</f>
        <v xml:space="preserve">   </v>
      </c>
      <c r="F30" s="2049" t="s">
        <v>398</v>
      </c>
      <c r="G30" s="2545"/>
    </row>
    <row r="31" spans="1:15">
      <c r="A31" s="2543" t="s">
        <v>399</v>
      </c>
      <c r="B31" s="2545"/>
      <c r="C31" s="2807"/>
      <c r="D31" s="1604" t="s">
        <v>400</v>
      </c>
      <c r="E31" s="2545"/>
      <c r="F31" s="2049" t="s">
        <v>401</v>
      </c>
      <c r="G31" s="2545"/>
    </row>
    <row r="32" spans="1:15" ht="24">
      <c r="A32" s="2547" t="s">
        <v>402</v>
      </c>
      <c r="B32" s="2548" t="s">
        <v>403</v>
      </c>
      <c r="C32" s="2807"/>
      <c r="D32" s="1604" t="s">
        <v>404</v>
      </c>
      <c r="E32" s="2545"/>
      <c r="F32" s="2049" t="s">
        <v>405</v>
      </c>
      <c r="G32" s="2545"/>
    </row>
    <row r="33" spans="1:7">
      <c r="A33" s="2538" t="s">
        <v>406</v>
      </c>
      <c r="B33" s="2549" t="s">
        <v>403</v>
      </c>
      <c r="C33" s="2807"/>
      <c r="D33" s="1604" t="s">
        <v>407</v>
      </c>
      <c r="E33" s="2545"/>
      <c r="F33" s="2049" t="s">
        <v>408</v>
      </c>
      <c r="G33" s="2545"/>
    </row>
    <row r="34" spans="1:7">
      <c r="A34" s="2543" t="s">
        <v>409</v>
      </c>
      <c r="B34" s="2545"/>
      <c r="C34" s="2808"/>
      <c r="D34" s="1604" t="s">
        <v>410</v>
      </c>
      <c r="E34" s="2545"/>
      <c r="F34" s="2054" t="s">
        <v>411</v>
      </c>
      <c r="G34" s="2550"/>
    </row>
    <row r="35" spans="1:7">
      <c r="A35" s="2543" t="s">
        <v>360</v>
      </c>
      <c r="B35" s="2488">
        <v>95.95</v>
      </c>
      <c r="C35" s="2814" t="s">
        <v>412</v>
      </c>
      <c r="D35" s="2815"/>
      <c r="E35" s="2545"/>
      <c r="F35" s="2540" t="s">
        <v>413</v>
      </c>
      <c r="G35" s="2541"/>
    </row>
    <row r="36" spans="1:7">
      <c r="A36" s="2543" t="s">
        <v>414</v>
      </c>
      <c r="B36" s="2545">
        <v>83.94</v>
      </c>
      <c r="C36" s="2816" t="s">
        <v>415</v>
      </c>
      <c r="D36" s="2817"/>
      <c r="E36" s="2551"/>
      <c r="F36" s="2047" t="s">
        <v>416</v>
      </c>
      <c r="G36" s="2545"/>
    </row>
    <row r="37" spans="1:7">
      <c r="A37" s="2543" t="s">
        <v>417</v>
      </c>
      <c r="B37" s="2545"/>
      <c r="C37" s="2809" t="s">
        <v>418</v>
      </c>
      <c r="D37" s="2552" t="s">
        <v>401</v>
      </c>
      <c r="E37" s="2541"/>
      <c r="F37" s="2054" t="s">
        <v>419</v>
      </c>
      <c r="G37" s="2551"/>
    </row>
    <row r="38" spans="1:7">
      <c r="A38" s="2543" t="s">
        <v>420</v>
      </c>
      <c r="B38" s="2545" t="s">
        <v>2348</v>
      </c>
      <c r="C38" s="2810"/>
      <c r="D38" s="1604" t="s">
        <v>409</v>
      </c>
      <c r="E38" s="2545"/>
      <c r="F38" s="2542" t="s">
        <v>421</v>
      </c>
      <c r="G38" s="2541"/>
    </row>
    <row r="39" spans="1:7">
      <c r="A39" s="2543" t="s">
        <v>422</v>
      </c>
      <c r="B39" s="2545">
        <v>1</v>
      </c>
      <c r="C39" s="2810" t="s">
        <v>423</v>
      </c>
      <c r="D39" s="1604" t="s">
        <v>360</v>
      </c>
      <c r="E39" s="2545"/>
      <c r="F39" s="2049" t="s">
        <v>424</v>
      </c>
      <c r="G39" s="2545"/>
    </row>
    <row r="40" spans="1:7" ht="24.75" customHeight="1">
      <c r="A40" s="2547" t="s">
        <v>425</v>
      </c>
      <c r="B40" s="2551"/>
      <c r="C40" s="2811"/>
      <c r="D40" s="2055" t="s">
        <v>363</v>
      </c>
      <c r="E40" s="2551"/>
      <c r="F40" s="2054" t="s">
        <v>426</v>
      </c>
      <c r="G40" s="2551"/>
    </row>
    <row r="41" spans="1:7">
      <c r="A41" s="2480" t="s">
        <v>427</v>
      </c>
      <c r="B41" s="2553" t="s">
        <v>364</v>
      </c>
      <c r="C41" s="2829" t="s">
        <v>427</v>
      </c>
      <c r="D41" s="2830"/>
      <c r="E41" s="2553"/>
      <c r="F41" s="2542" t="s">
        <v>428</v>
      </c>
      <c r="G41" s="2553"/>
    </row>
    <row r="42" spans="1:7">
      <c r="A42" s="2554" t="s">
        <v>429</v>
      </c>
      <c r="B42" s="2555" t="s">
        <v>377</v>
      </c>
      <c r="C42" s="2556"/>
      <c r="D42" s="2557"/>
      <c r="E42" s="2555"/>
      <c r="F42" s="2473"/>
      <c r="G42" s="2555"/>
    </row>
    <row r="43" spans="1:7">
      <c r="A43" s="2039" t="s">
        <v>381</v>
      </c>
      <c r="B43" s="2558"/>
      <c r="C43" s="2556"/>
      <c r="D43" s="2559" t="s">
        <v>381</v>
      </c>
      <c r="E43" s="2558"/>
      <c r="F43" s="2039" t="s">
        <v>381</v>
      </c>
      <c r="G43" s="2558"/>
    </row>
    <row r="44" spans="1:7">
      <c r="A44" s="2039" t="s">
        <v>382</v>
      </c>
      <c r="B44" s="2558"/>
      <c r="C44" s="2556"/>
      <c r="D44" s="2520" t="s">
        <v>382</v>
      </c>
      <c r="E44" s="2558"/>
      <c r="F44" s="2039" t="s">
        <v>382</v>
      </c>
      <c r="G44" s="2558"/>
    </row>
    <row r="45" spans="1:7">
      <c r="A45" s="2039" t="s">
        <v>383</v>
      </c>
      <c r="B45" s="2558"/>
      <c r="C45" s="2556"/>
      <c r="D45" s="2520" t="s">
        <v>383</v>
      </c>
      <c r="E45" s="2558"/>
      <c r="F45" s="2039" t="s">
        <v>383</v>
      </c>
      <c r="G45" s="2558"/>
    </row>
    <row r="46" spans="1:7">
      <c r="A46" s="2039" t="s">
        <v>384</v>
      </c>
      <c r="B46" s="2558"/>
      <c r="C46" s="2556"/>
      <c r="D46" s="2520" t="s">
        <v>384</v>
      </c>
      <c r="E46" s="2558"/>
      <c r="F46" s="2039" t="s">
        <v>384</v>
      </c>
      <c r="G46" s="2558"/>
    </row>
    <row r="47" spans="1:7">
      <c r="A47" s="2554"/>
      <c r="B47" s="2558"/>
      <c r="C47" s="2556"/>
      <c r="D47" s="2557"/>
      <c r="E47" s="2558"/>
      <c r="F47" s="2473"/>
      <c r="G47" s="2558"/>
    </row>
    <row r="48" spans="1:7">
      <c r="A48" s="2547" t="s">
        <v>430</v>
      </c>
      <c r="B48" s="2551"/>
      <c r="C48" s="2831" t="s">
        <v>430</v>
      </c>
      <c r="D48" s="2832"/>
      <c r="E48" s="2560"/>
      <c r="F48" s="2054" t="s">
        <v>431</v>
      </c>
      <c r="G48" s="2551"/>
    </row>
    <row r="49" spans="1:15">
      <c r="A49" s="2543" t="s">
        <v>432</v>
      </c>
      <c r="B49" s="2561"/>
      <c r="C49" s="2809" t="s">
        <v>433</v>
      </c>
      <c r="D49" s="2833"/>
      <c r="E49" s="2562"/>
      <c r="F49" s="2563"/>
      <c r="G49" s="2564"/>
    </row>
    <row r="50" spans="1:15">
      <c r="A50" s="2543" t="s">
        <v>434</v>
      </c>
      <c r="B50" s="2561"/>
      <c r="C50" s="2811" t="s">
        <v>435</v>
      </c>
      <c r="D50" s="2834"/>
      <c r="E50" s="2551"/>
      <c r="F50" s="2467"/>
      <c r="G50" s="2468"/>
    </row>
    <row r="51" spans="1:15">
      <c r="A51" s="2543" t="s">
        <v>413</v>
      </c>
      <c r="B51" s="2545"/>
      <c r="C51" s="2467"/>
      <c r="D51" s="2467"/>
      <c r="E51" s="2467"/>
      <c r="F51" s="2467"/>
      <c r="G51" s="2468"/>
    </row>
    <row r="52" spans="1:15" ht="24">
      <c r="A52" s="2547" t="s">
        <v>436</v>
      </c>
      <c r="B52" s="2550"/>
      <c r="C52" s="2565"/>
      <c r="D52" s="2565"/>
      <c r="E52" s="2565"/>
      <c r="F52" s="2565"/>
      <c r="G52" s="2566"/>
    </row>
    <row r="53" spans="1:15">
      <c r="A53" s="2567"/>
      <c r="B53" s="2567"/>
      <c r="C53" s="2567"/>
      <c r="D53" s="2567"/>
      <c r="E53" s="2567"/>
      <c r="F53" s="2567"/>
      <c r="G53" s="2567"/>
    </row>
    <row r="54" spans="1:15">
      <c r="C54" s="2567"/>
      <c r="D54" s="2567"/>
      <c r="E54" s="2567"/>
      <c r="F54" s="2567"/>
      <c r="G54" s="2567"/>
    </row>
    <row r="56" spans="1:15" s="2433" customFormat="1">
      <c r="I56" s="2573"/>
      <c r="K56" s="2574"/>
      <c r="L56" s="2574"/>
      <c r="M56" s="2574"/>
      <c r="O56" s="2573"/>
    </row>
    <row r="57" spans="1:15" s="2433" customFormat="1">
      <c r="I57" s="2573"/>
      <c r="K57" s="2574"/>
      <c r="L57" s="2574"/>
      <c r="M57" s="2574"/>
      <c r="O57" s="2573"/>
    </row>
    <row r="58" spans="1:15" s="2433" customFormat="1">
      <c r="I58" s="2573"/>
      <c r="K58" s="2574"/>
      <c r="L58" s="2574"/>
      <c r="M58" s="2574"/>
      <c r="O58" s="2573"/>
    </row>
    <row r="59" spans="1:15" s="2433" customFormat="1">
      <c r="I59" s="2573"/>
      <c r="K59" s="2574"/>
      <c r="L59" s="2574"/>
      <c r="M59" s="2574"/>
      <c r="O59" s="2573"/>
    </row>
    <row r="60" spans="1:15" s="2433" customFormat="1">
      <c r="I60" s="2573"/>
      <c r="K60" s="2574"/>
      <c r="L60" s="2574"/>
      <c r="M60" s="2574"/>
      <c r="O60" s="2573"/>
    </row>
    <row r="61" spans="1:15" s="2433" customFormat="1">
      <c r="I61" s="2573"/>
      <c r="K61" s="2574"/>
      <c r="L61" s="2574"/>
      <c r="M61" s="2574"/>
      <c r="O61" s="2573"/>
    </row>
    <row r="62" spans="1:15" s="2433" customFormat="1">
      <c r="I62" s="2573"/>
      <c r="K62" s="2574"/>
      <c r="L62" s="2574"/>
      <c r="M62" s="2574"/>
      <c r="O62" s="2573"/>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8" customWidth="1"/>
    <col min="2" max="2" width="10.625" style="2428" customWidth="1"/>
    <col min="3" max="3" width="15.75" style="2428" customWidth="1"/>
    <col min="4" max="7" width="9.5" style="2428" customWidth="1"/>
    <col min="8" max="13" width="9.125" style="2428" customWidth="1"/>
    <col min="14" max="16384" width="9" style="2428"/>
  </cols>
  <sheetData>
    <row r="1" spans="1:13" ht="14.25">
      <c r="A1" s="2836" t="s">
        <v>437</v>
      </c>
      <c r="B1" s="2836" t="s">
        <v>438</v>
      </c>
      <c r="C1" s="2836" t="s">
        <v>439</v>
      </c>
      <c r="D1" s="2835" t="s">
        <v>440</v>
      </c>
      <c r="E1" s="2835" t="s">
        <v>441</v>
      </c>
      <c r="F1" s="2835"/>
      <c r="G1" s="2835"/>
      <c r="H1" s="2835"/>
      <c r="I1" s="2835"/>
      <c r="J1" s="2835"/>
      <c r="K1" s="2835"/>
      <c r="L1" s="2835"/>
      <c r="M1" s="2835"/>
    </row>
    <row r="2" spans="1:13" ht="27" customHeight="1">
      <c r="A2" s="2836"/>
      <c r="B2" s="2836"/>
      <c r="C2" s="2836"/>
      <c r="D2" s="2835"/>
      <c r="E2" s="2835" t="s">
        <v>442</v>
      </c>
      <c r="F2" s="2835" t="s">
        <v>443</v>
      </c>
      <c r="G2" s="2835"/>
      <c r="H2" s="2835"/>
      <c r="I2" s="2835"/>
      <c r="J2" s="2835" t="s">
        <v>444</v>
      </c>
      <c r="K2" s="2835"/>
      <c r="L2" s="2835"/>
      <c r="M2" s="2835"/>
    </row>
    <row r="3" spans="1:13" ht="28.5">
      <c r="A3" s="2836"/>
      <c r="B3" s="2836"/>
      <c r="C3" s="2836"/>
      <c r="D3" s="2835"/>
      <c r="E3" s="2835"/>
      <c r="F3" s="2430" t="s">
        <v>445</v>
      </c>
      <c r="G3" s="2430" t="s">
        <v>446</v>
      </c>
      <c r="H3" s="2430" t="s">
        <v>447</v>
      </c>
      <c r="I3" s="2430" t="s">
        <v>448</v>
      </c>
      <c r="J3" s="2430" t="s">
        <v>445</v>
      </c>
      <c r="K3" s="2430" t="s">
        <v>449</v>
      </c>
      <c r="L3" s="2430" t="s">
        <v>450</v>
      </c>
      <c r="M3" s="2430" t="s">
        <v>451</v>
      </c>
    </row>
    <row r="4" spans="1:13" ht="42.75">
      <c r="A4" s="2430" t="s">
        <v>452</v>
      </c>
      <c r="B4" s="2430" t="s">
        <v>453</v>
      </c>
      <c r="C4" s="2430" t="s">
        <v>454</v>
      </c>
      <c r="D4" s="2429">
        <v>3807.94</v>
      </c>
      <c r="E4" s="2429">
        <v>20666.91</v>
      </c>
      <c r="F4" s="2429">
        <v>19673</v>
      </c>
      <c r="G4" s="2429">
        <v>0</v>
      </c>
      <c r="H4" s="2429">
        <v>19673</v>
      </c>
      <c r="I4" s="2429">
        <v>0</v>
      </c>
      <c r="J4" s="2429">
        <v>993.91</v>
      </c>
      <c r="K4" s="2429">
        <v>0</v>
      </c>
      <c r="L4" s="2429">
        <v>0</v>
      </c>
      <c r="M4" s="2429">
        <v>993.91</v>
      </c>
    </row>
    <row r="5" spans="1:13" ht="42.75">
      <c r="A5" s="2430" t="s">
        <v>452</v>
      </c>
      <c r="B5" s="2430" t="s">
        <v>455</v>
      </c>
      <c r="C5" s="2430" t="s">
        <v>456</v>
      </c>
      <c r="D5" s="2429">
        <v>3667.86</v>
      </c>
      <c r="E5" s="2429">
        <v>19906.61</v>
      </c>
      <c r="F5" s="2429">
        <v>18792.87</v>
      </c>
      <c r="G5" s="2429">
        <v>18792.87</v>
      </c>
      <c r="H5" s="2429">
        <v>0</v>
      </c>
      <c r="I5" s="2429">
        <v>0</v>
      </c>
      <c r="J5" s="2429">
        <v>1113.74</v>
      </c>
      <c r="K5" s="2429">
        <v>55.59</v>
      </c>
      <c r="L5" s="2429">
        <v>0</v>
      </c>
      <c r="M5" s="2429">
        <v>1058.1500000000001</v>
      </c>
    </row>
    <row r="6" spans="1:13" ht="42.75">
      <c r="A6" s="2430" t="s">
        <v>452</v>
      </c>
      <c r="B6" s="2430" t="s">
        <v>455</v>
      </c>
      <c r="C6" s="2430" t="s">
        <v>457</v>
      </c>
      <c r="D6" s="2429">
        <v>2067.52</v>
      </c>
      <c r="E6" s="2429">
        <v>11221.06</v>
      </c>
      <c r="F6" s="2429">
        <v>9934.1299999999992</v>
      </c>
      <c r="G6" s="2429">
        <v>9934.1299999999992</v>
      </c>
      <c r="H6" s="2429">
        <v>0</v>
      </c>
      <c r="I6" s="2429">
        <v>0</v>
      </c>
      <c r="J6" s="2429">
        <v>1286.93</v>
      </c>
      <c r="K6" s="2429">
        <v>0</v>
      </c>
      <c r="L6" s="2429">
        <v>0</v>
      </c>
      <c r="M6" s="2429">
        <v>1286.93</v>
      </c>
    </row>
    <row r="7" spans="1:13" ht="42.75">
      <c r="A7" s="2430" t="s">
        <v>452</v>
      </c>
      <c r="B7" s="2430" t="s">
        <v>455</v>
      </c>
      <c r="C7" s="2430" t="s">
        <v>458</v>
      </c>
      <c r="D7" s="2429">
        <v>8.18</v>
      </c>
      <c r="E7" s="2429">
        <v>44.41</v>
      </c>
      <c r="F7" s="2429">
        <v>0</v>
      </c>
      <c r="G7" s="2429">
        <v>0</v>
      </c>
      <c r="H7" s="2429">
        <v>0</v>
      </c>
      <c r="I7" s="2429">
        <v>0</v>
      </c>
      <c r="J7" s="2429">
        <v>44.41</v>
      </c>
      <c r="K7" s="2429">
        <v>44.41</v>
      </c>
      <c r="L7" s="2429">
        <v>0</v>
      </c>
      <c r="M7" s="2429">
        <v>0</v>
      </c>
    </row>
    <row r="8" spans="1:13" ht="42.75">
      <c r="A8" s="2430" t="s">
        <v>452</v>
      </c>
      <c r="B8" s="2430" t="s">
        <v>455</v>
      </c>
      <c r="C8" s="2430" t="s">
        <v>448</v>
      </c>
      <c r="D8" s="2429">
        <v>2455.5300000000002</v>
      </c>
      <c r="E8" s="2429">
        <v>13326.96</v>
      </c>
      <c r="F8" s="2429">
        <v>9231.0499999999993</v>
      </c>
      <c r="G8" s="2429">
        <v>0</v>
      </c>
      <c r="H8" s="2429">
        <v>0</v>
      </c>
      <c r="I8" s="2429">
        <v>9231.0499999999993</v>
      </c>
      <c r="J8" s="2429">
        <v>4095.91</v>
      </c>
      <c r="K8" s="2429">
        <v>0</v>
      </c>
      <c r="L8" s="2429">
        <v>3320.79</v>
      </c>
      <c r="M8" s="2429">
        <v>775.12</v>
      </c>
    </row>
    <row r="9" spans="1:13" ht="27" customHeight="1">
      <c r="A9" s="2835" t="s">
        <v>459</v>
      </c>
      <c r="B9" s="2835"/>
      <c r="C9" s="2835"/>
      <c r="D9" s="2429">
        <v>12007.03</v>
      </c>
      <c r="E9" s="2429">
        <v>65165.95</v>
      </c>
      <c r="F9" s="2429">
        <v>57631.05</v>
      </c>
      <c r="G9" s="2429">
        <v>28727</v>
      </c>
      <c r="H9" s="2429">
        <v>19673</v>
      </c>
      <c r="I9" s="2429">
        <v>9231.0499999999993</v>
      </c>
      <c r="J9" s="2429">
        <v>7534.9</v>
      </c>
      <c r="K9" s="2429">
        <v>100</v>
      </c>
      <c r="L9" s="2429">
        <v>3320.79</v>
      </c>
      <c r="M9" s="2429">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I16" sqref="I16"/>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43199</v>
      </c>
      <c r="C2" s="2319"/>
      <c r="D2" s="2837" t="s">
        <v>462</v>
      </c>
      <c r="E2" s="2320"/>
      <c r="F2" s="2321"/>
      <c r="G2" s="2321"/>
      <c r="H2" s="2321"/>
      <c r="I2" s="2319"/>
      <c r="J2" s="2319"/>
      <c r="K2" s="2319"/>
      <c r="L2" s="2319"/>
      <c r="M2" s="2319"/>
      <c r="N2" s="2319"/>
      <c r="O2" s="2344"/>
      <c r="P2" s="2344"/>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38"/>
      <c r="E3" s="2323" t="s">
        <v>465</v>
      </c>
      <c r="F3" s="2321"/>
      <c r="G3" s="2321"/>
      <c r="H3" s="2321"/>
      <c r="I3" s="2319"/>
      <c r="J3" s="2319"/>
      <c r="K3" s="2319"/>
      <c r="L3" s="2319"/>
      <c r="M3" s="2319"/>
      <c r="N3" s="2319"/>
      <c r="O3" s="2344"/>
      <c r="P3" s="2344"/>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2322" t="s">
        <v>467</v>
      </c>
      <c r="C4" s="2319"/>
      <c r="D4" s="2838"/>
      <c r="E4" s="2323"/>
      <c r="F4" s="2321"/>
      <c r="G4" s="2321"/>
      <c r="H4" s="2321"/>
      <c r="I4" s="2319"/>
      <c r="J4" s="2319"/>
      <c r="K4" s="2319"/>
      <c r="L4" s="2319"/>
      <c r="M4" s="2319"/>
      <c r="N4" s="2319"/>
      <c r="O4" s="2344"/>
      <c r="P4" s="2344"/>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468</v>
      </c>
      <c r="B5" s="2325">
        <f>项目基本情况!C12</f>
        <v>95.95</v>
      </c>
      <c r="C5" s="2319"/>
      <c r="D5" s="2326" t="s">
        <v>469</v>
      </c>
      <c r="E5" s="2327">
        <v>95.95</v>
      </c>
      <c r="F5" s="2321"/>
      <c r="G5" s="2321"/>
      <c r="H5" s="2321"/>
      <c r="I5" s="2319"/>
      <c r="J5" s="2319"/>
      <c r="K5" s="2319"/>
      <c r="L5" s="2319"/>
      <c r="M5" s="2319"/>
      <c r="N5" s="2319"/>
      <c r="O5" s="2344"/>
      <c r="P5" s="2344"/>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470</v>
      </c>
      <c r="B6" s="2329">
        <f>项目基本情况!C13</f>
        <v>0</v>
      </c>
      <c r="C6" s="2319"/>
      <c r="D6" s="2326" t="s">
        <v>471</v>
      </c>
      <c r="E6" s="2327"/>
      <c r="F6" s="2321"/>
      <c r="G6" s="2321"/>
      <c r="H6" s="2321"/>
      <c r="I6" s="2319"/>
      <c r="J6" s="2319"/>
      <c r="K6" s="2319"/>
      <c r="L6" s="2319"/>
      <c r="M6" s="2319"/>
      <c r="N6" s="2319"/>
      <c r="O6" s="2344"/>
      <c r="P6" s="2344"/>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4"/>
      <c r="P7" s="2344"/>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4"/>
      <c r="P8" s="2344"/>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472</v>
      </c>
      <c r="E10" s="2334" t="s">
        <v>473</v>
      </c>
      <c r="F10" s="2218" t="s">
        <v>474</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475</v>
      </c>
      <c r="B11" s="2336">
        <v>70</v>
      </c>
      <c r="C11" s="2319"/>
      <c r="D11" s="2337" t="s">
        <v>476</v>
      </c>
      <c r="E11" s="2338">
        <v>160</v>
      </c>
      <c r="F11" s="2339" t="s">
        <v>477</v>
      </c>
      <c r="G11" s="2319"/>
      <c r="H11" s="2319"/>
      <c r="I11" s="2319"/>
      <c r="J11" s="2319"/>
      <c r="K11" s="2319"/>
      <c r="L11" s="2425"/>
      <c r="M11" s="2425"/>
      <c r="N11" s="2425"/>
      <c r="O11" s="2425"/>
      <c r="P11" s="2425"/>
      <c r="Q11" s="2425"/>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478</v>
      </c>
      <c r="B12" s="2341"/>
      <c r="C12" s="2319"/>
      <c r="D12" s="2342" t="s">
        <v>479</v>
      </c>
      <c r="E12" s="2343">
        <v>200</v>
      </c>
      <c r="F12" s="2344"/>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5" t="s">
        <v>480</v>
      </c>
      <c r="B13" s="2346">
        <f>IF(B12="",B11-(YEAR($B$2)-B26+B23),ROUNDDOWN(MIN((B12-$B$2)/365,B11),2))</f>
        <v>58</v>
      </c>
      <c r="C13" s="2347"/>
      <c r="D13" s="2348" t="s">
        <v>481</v>
      </c>
      <c r="E13" s="2349"/>
      <c r="F13" s="883" t="s">
        <v>482</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483</v>
      </c>
      <c r="B14" s="2350">
        <f>IF(ISERROR(ROUND(POWER(1+B15,B11-B13)*(POWER(1+B15,B13)-1)/(POWER(1+B15,B11)-1),3)),0,ROUND(POWER(1+B15,B11-B13)*(POWER(1+B15,B13)-1)/(POWER(1+B15,B11)-1),3))</f>
        <v>0.97299999999999998</v>
      </c>
      <c r="C14" s="2319"/>
      <c r="D14" s="2351" t="s">
        <v>484</v>
      </c>
      <c r="E14" s="2352">
        <v>200</v>
      </c>
      <c r="F14" s="2344"/>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485</v>
      </c>
      <c r="B15" s="2353">
        <v>0.05</v>
      </c>
      <c r="C15" s="2319"/>
      <c r="D15" s="2342" t="s">
        <v>486</v>
      </c>
      <c r="E15" s="2354">
        <f>E14-E16</f>
        <v>200</v>
      </c>
      <c r="F15" s="2355"/>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487</v>
      </c>
      <c r="B16" s="2353">
        <v>0.06</v>
      </c>
      <c r="C16" s="2319"/>
      <c r="D16" s="2356" t="s">
        <v>488</v>
      </c>
      <c r="E16" s="2357">
        <v>0</v>
      </c>
      <c r="F16" s="2358"/>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9" t="s">
        <v>489</v>
      </c>
      <c r="B17" s="2360">
        <v>0.08</v>
      </c>
      <c r="C17" s="2319"/>
      <c r="D17" s="2332" t="s">
        <v>490</v>
      </c>
      <c r="E17" s="2361">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2" t="str">
        <f>IF(B25=0,"建安总额","在建建安")</f>
        <v>建安总额</v>
      </c>
      <c r="E18" s="2363">
        <f>ROUND(B5*E17*IF(B25=0,1,E20),0)</f>
        <v>287850</v>
      </c>
      <c r="F18" s="2364">
        <f>ROUND(E5*E17*IF(B25=0,1,E20),0)</f>
        <v>287850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491</v>
      </c>
      <c r="B19" s="2319"/>
      <c r="C19" s="2319"/>
      <c r="D19" s="2362" t="str">
        <f>IF(B25=0,"——","续建建安")</f>
        <v>——</v>
      </c>
      <c r="E19" s="2363" t="str">
        <f>IF(B25=0,"——",ROUND(B5*E17*(1-E20),0))</f>
        <v>——</v>
      </c>
      <c r="F19" s="2364"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5" t="s">
        <v>492</v>
      </c>
      <c r="B20" s="2366">
        <v>0</v>
      </c>
      <c r="C20" s="2319"/>
      <c r="D20" s="2367" t="str">
        <f>IF(B25=0,"成新率","工程进度")</f>
        <v>成新率</v>
      </c>
      <c r="E20" s="2368">
        <v>0.83</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9" t="s">
        <v>493</v>
      </c>
      <c r="B21" s="2370">
        <v>2</v>
      </c>
      <c r="C21" s="2319"/>
      <c r="D21" s="2342" t="s">
        <v>494</v>
      </c>
      <c r="E21" s="2371">
        <v>0.05</v>
      </c>
      <c r="F21" s="2372" t="s">
        <v>495</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3" t="s">
        <v>496</v>
      </c>
      <c r="B22" s="2374">
        <v>2</v>
      </c>
      <c r="C22" s="2319"/>
      <c r="D22" s="2342" t="s">
        <v>497</v>
      </c>
      <c r="E22" s="2744">
        <v>0.03</v>
      </c>
      <c r="F22" s="2372" t="s">
        <v>498</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6" t="s">
        <v>499</v>
      </c>
      <c r="B23" s="2377">
        <f>B20+B21</f>
        <v>2</v>
      </c>
      <c r="C23" s="2319"/>
      <c r="D23" s="2342" t="s">
        <v>500</v>
      </c>
      <c r="E23" s="2343">
        <v>200</v>
      </c>
      <c r="F23" s="2372" t="s">
        <v>501</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8" t="s">
        <v>502</v>
      </c>
      <c r="B24" s="2379">
        <f>B20+B22</f>
        <v>2</v>
      </c>
      <c r="C24" s="2319"/>
      <c r="D24" s="2356" t="s">
        <v>503</v>
      </c>
      <c r="E24" s="2380">
        <v>1.4999999999999999E-2</v>
      </c>
      <c r="F24" s="2372" t="s">
        <v>504</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6" t="s">
        <v>505</v>
      </c>
      <c r="B25" s="2381">
        <f>B21-B22</f>
        <v>0</v>
      </c>
      <c r="C25" s="1623"/>
      <c r="D25" s="2337" t="s">
        <v>506</v>
      </c>
      <c r="E25" s="2371">
        <v>0.02</v>
      </c>
      <c r="F25" s="2372" t="s">
        <v>507</v>
      </c>
      <c r="I25" s="2315"/>
      <c r="AE25" s="1623"/>
      <c r="AF25" s="1623"/>
      <c r="AG25" s="1623"/>
      <c r="AH25" s="1623"/>
      <c r="AI25" s="1623"/>
      <c r="AJ25" s="1623"/>
      <c r="AK25" s="1623"/>
      <c r="AL25" s="1623"/>
      <c r="AM25" s="1623"/>
      <c r="AN25" s="1623"/>
      <c r="AO25" s="1623"/>
    </row>
    <row r="26" spans="1:41" ht="15">
      <c r="A26" s="2382" t="s">
        <v>508</v>
      </c>
      <c r="B26" s="2383">
        <v>2008</v>
      </c>
      <c r="C26" s="2319"/>
      <c r="D26" s="2342" t="s">
        <v>509</v>
      </c>
      <c r="E26" s="2375">
        <v>0.02</v>
      </c>
      <c r="F26" s="2372" t="s">
        <v>507</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2" t="s">
        <v>510</v>
      </c>
      <c r="E27" s="1595">
        <f ca="1">存贷款利率!G1</f>
        <v>4.7500000000000001E-2</v>
      </c>
      <c r="F27" s="2372" t="s">
        <v>511</v>
      </c>
      <c r="G27" s="2321"/>
      <c r="H27" s="2321"/>
      <c r="K27" s="2319"/>
      <c r="N27" s="2319"/>
      <c r="AE27" s="1623"/>
      <c r="AF27" s="1623"/>
      <c r="AG27" s="1623"/>
      <c r="AH27" s="1623"/>
      <c r="AI27" s="1623"/>
      <c r="AJ27" s="1623"/>
      <c r="AK27" s="1623"/>
      <c r="AL27" s="1623"/>
      <c r="AM27" s="1623"/>
      <c r="AN27" s="1623"/>
      <c r="AO27" s="1623"/>
    </row>
    <row r="28" spans="1:41" ht="14.25">
      <c r="A28" s="2384" t="s">
        <v>512</v>
      </c>
      <c r="B28" s="2385" t="s">
        <v>2349</v>
      </c>
      <c r="C28" s="1623"/>
      <c r="D28" s="2386" t="s">
        <v>513</v>
      </c>
      <c r="E28" s="2387">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8">
        <v>2750</v>
      </c>
      <c r="C29" s="1623"/>
      <c r="D29" s="2351" t="s">
        <v>514</v>
      </c>
      <c r="E29" s="2389">
        <f>E30+E31</f>
        <v>7.8400000000000011E-2</v>
      </c>
      <c r="F29" s="883"/>
      <c r="G29" s="2321"/>
      <c r="H29" s="2321"/>
      <c r="K29" s="2319"/>
      <c r="N29" s="2319"/>
      <c r="AE29" s="1623"/>
      <c r="AF29" s="1623"/>
      <c r="AG29" s="1623"/>
      <c r="AH29" s="1623"/>
      <c r="AI29" s="1623"/>
      <c r="AJ29" s="1623"/>
      <c r="AK29" s="1623"/>
      <c r="AL29" s="1623"/>
      <c r="AM29" s="1623"/>
      <c r="AN29" s="1623"/>
      <c r="AO29" s="1623"/>
    </row>
    <row r="30" spans="1:41" ht="14.25">
      <c r="A30" s="2340" t="s">
        <v>515</v>
      </c>
      <c r="B30" s="2390">
        <f ca="1">存贷款利率!I1</f>
        <v>1.4999999999999999E-2</v>
      </c>
      <c r="C30" s="1623"/>
      <c r="D30" s="2391" t="s">
        <v>516</v>
      </c>
      <c r="E30" s="2392">
        <v>7.0000000000000007E-2</v>
      </c>
      <c r="F30" s="2393">
        <f>IF(B2&lt;DATE(2016,5,1),0,E30)</f>
        <v>7.0000000000000007E-2</v>
      </c>
      <c r="G30" s="2321"/>
      <c r="H30" s="2321"/>
      <c r="K30" s="2319"/>
      <c r="N30" s="2319"/>
      <c r="AE30" s="1623"/>
      <c r="AF30" s="1623"/>
      <c r="AG30" s="1623"/>
      <c r="AH30" s="1623"/>
      <c r="AI30" s="1623"/>
      <c r="AJ30" s="1623"/>
      <c r="AK30" s="1623"/>
      <c r="AL30" s="1623"/>
      <c r="AM30" s="1623"/>
      <c r="AN30" s="1623"/>
      <c r="AO30" s="1623"/>
    </row>
    <row r="31" spans="1:41" ht="14.25">
      <c r="A31" s="2340" t="s">
        <v>517</v>
      </c>
      <c r="B31" s="2353">
        <v>0.03</v>
      </c>
      <c r="C31" s="1623"/>
      <c r="D31" s="2391" t="s">
        <v>518</v>
      </c>
      <c r="E31" s="2394">
        <f>E30*(E32+E33+E34)+E35</f>
        <v>8.4000000000000012E-3</v>
      </c>
      <c r="F31" s="883"/>
      <c r="G31" s="2321"/>
      <c r="H31" s="2321"/>
      <c r="K31" s="2319"/>
      <c r="N31" s="2319"/>
      <c r="AE31" s="1623"/>
      <c r="AF31" s="1623"/>
      <c r="AG31" s="1623"/>
      <c r="AH31" s="1623"/>
      <c r="AI31" s="1623"/>
      <c r="AJ31" s="1623"/>
      <c r="AK31" s="1623"/>
      <c r="AL31" s="1623"/>
      <c r="AM31" s="1623"/>
      <c r="AN31" s="1623"/>
      <c r="AO31" s="1623"/>
    </row>
    <row r="32" spans="1:41" ht="14.25">
      <c r="A32" s="2340" t="s">
        <v>519</v>
      </c>
      <c r="B32" s="2353">
        <v>0.1</v>
      </c>
      <c r="C32" s="1623"/>
      <c r="D32" s="2395" t="s">
        <v>520</v>
      </c>
      <c r="E32" s="2396">
        <v>7.0000000000000007E-2</v>
      </c>
      <c r="F32" s="2397" t="s">
        <v>521</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522</v>
      </c>
      <c r="B33" s="2398">
        <f>收益法!J54</f>
        <v>50</v>
      </c>
      <c r="C33" s="1623"/>
      <c r="D33" s="2395" t="s">
        <v>523</v>
      </c>
      <c r="E33" s="2392">
        <v>0.03</v>
      </c>
      <c r="F33" s="2399" t="s">
        <v>524</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1" t="str">
        <f>IF(B28="租赁期内按合同租金","剩余租赁期","——")</f>
        <v>——</v>
      </c>
      <c r="B34" s="2400"/>
      <c r="C34" s="1623"/>
      <c r="D34" s="2395" t="s">
        <v>525</v>
      </c>
      <c r="E34" s="2392">
        <v>0.02</v>
      </c>
      <c r="F34" s="2399" t="s">
        <v>526</v>
      </c>
      <c r="G34" s="2401"/>
      <c r="H34" s="2401"/>
      <c r="I34" s="2344"/>
      <c r="J34" s="2344"/>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2" t="s">
        <v>527</v>
      </c>
      <c r="B35" s="1974"/>
      <c r="C35" s="1623"/>
      <c r="D35" s="2403" t="s">
        <v>528</v>
      </c>
      <c r="E35" s="2404"/>
      <c r="F35" s="2339" t="s">
        <v>477</v>
      </c>
      <c r="G35" s="2401"/>
      <c r="H35" s="2401"/>
      <c r="I35" s="2344"/>
      <c r="J35" s="2344"/>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5" t="str">
        <f>IF(B28="租赁期内按合同租金","租金","——")</f>
        <v>——</v>
      </c>
      <c r="B36" s="2406"/>
      <c r="C36" s="1623"/>
      <c r="D36" s="2407" t="s">
        <v>529</v>
      </c>
      <c r="E36" s="2408">
        <v>0.03</v>
      </c>
      <c r="F36" s="2355" t="s">
        <v>530</v>
      </c>
      <c r="G36" s="2401"/>
      <c r="H36" s="2401"/>
      <c r="I36" s="2344"/>
      <c r="J36" s="2344"/>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3"/>
      <c r="C37" s="1623"/>
      <c r="D37" s="2356" t="s">
        <v>531</v>
      </c>
      <c r="E37" s="2392">
        <v>5.0000000000000001E-4</v>
      </c>
      <c r="F37" s="2355" t="s">
        <v>532</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3"/>
      <c r="C38" s="1623"/>
      <c r="D38" s="2409" t="s">
        <v>533</v>
      </c>
      <c r="E38" s="2410">
        <v>1.2E-2</v>
      </c>
      <c r="F38" s="2344"/>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3"/>
      <c r="C39" s="1623"/>
      <c r="D39" s="2348" t="s">
        <v>534</v>
      </c>
      <c r="E39" s="2411">
        <v>0.12</v>
      </c>
      <c r="F39" s="2344"/>
      <c r="G39" s="2401"/>
      <c r="H39" s="2401"/>
      <c r="I39" s="2344"/>
      <c r="J39" s="2344"/>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1" t="str">
        <f>IF(B28="租赁期内按合同租金","租赁期外收益期","——")</f>
        <v>——</v>
      </c>
      <c r="B40" s="2412" t="str">
        <f>IF(B28="租赁期内按合同租金",B33-B34,"——")</f>
        <v>——</v>
      </c>
      <c r="C40" s="1623"/>
      <c r="D40" s="2409" t="s">
        <v>535</v>
      </c>
      <c r="E40" s="2413">
        <f>SUMIF(D42:D51,E41,E42:E51)</f>
        <v>0</v>
      </c>
      <c r="F40" s="2344"/>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4" t="s">
        <v>536</v>
      </c>
      <c r="B41" s="2415">
        <v>1</v>
      </c>
      <c r="C41" s="1623"/>
      <c r="D41" s="2342" t="s">
        <v>537</v>
      </c>
      <c r="E41" s="2416" t="s">
        <v>1630</v>
      </c>
      <c r="F41" s="2344" t="s">
        <v>538</v>
      </c>
      <c r="G41" s="2417" t="s">
        <v>539</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540</v>
      </c>
      <c r="B42" s="2418">
        <v>12</v>
      </c>
      <c r="C42" s="1623"/>
      <c r="D42" s="2419" t="s">
        <v>541</v>
      </c>
      <c r="E42" s="2388"/>
      <c r="F42" s="2344">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542</v>
      </c>
      <c r="C43" s="1623"/>
      <c r="D43" s="2419" t="s">
        <v>543</v>
      </c>
      <c r="E43" s="2388"/>
      <c r="F43" s="2344">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544</v>
      </c>
      <c r="B44" s="2420">
        <v>1.4999999999999999E-2</v>
      </c>
      <c r="C44" s="1623" t="s">
        <v>545</v>
      </c>
      <c r="D44" s="2419" t="s">
        <v>546</v>
      </c>
      <c r="E44" s="2388"/>
      <c r="F44" s="2344">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547</v>
      </c>
      <c r="B45" s="2421">
        <v>1.5E-3</v>
      </c>
      <c r="C45" s="1623" t="s">
        <v>548</v>
      </c>
      <c r="D45" s="2419" t="s">
        <v>549</v>
      </c>
      <c r="E45" s="2388"/>
      <c r="F45" s="2344">
        <v>12</v>
      </c>
      <c r="G45" s="1623"/>
      <c r="H45" s="1623"/>
      <c r="M45" s="2319"/>
      <c r="N45" s="2319"/>
      <c r="AE45" s="1623"/>
      <c r="AF45" s="1623"/>
      <c r="AG45" s="1623"/>
      <c r="AH45" s="1623"/>
      <c r="AI45" s="1623"/>
      <c r="AJ45" s="1623"/>
      <c r="AK45" s="1623"/>
      <c r="AL45" s="1623"/>
      <c r="AM45" s="1623"/>
      <c r="AN45" s="1623"/>
      <c r="AO45" s="1623"/>
    </row>
    <row r="46" spans="1:41" ht="14.25">
      <c r="A46" s="2386" t="s">
        <v>550</v>
      </c>
      <c r="B46" s="2422">
        <v>1.4999999999999999E-2</v>
      </c>
      <c r="C46" s="1623" t="s">
        <v>551</v>
      </c>
      <c r="D46" s="2419" t="s">
        <v>266</v>
      </c>
      <c r="E46" s="2388"/>
      <c r="F46" s="2344">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9" t="s">
        <v>552</v>
      </c>
      <c r="E47" s="2388"/>
      <c r="F47" s="2344">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9" t="s">
        <v>553</v>
      </c>
      <c r="E48" s="2388"/>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9" t="s">
        <v>554</v>
      </c>
      <c r="E49" s="2388"/>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9" t="s">
        <v>555</v>
      </c>
      <c r="E50" s="2388"/>
      <c r="F50" s="2319"/>
      <c r="G50" s="1623"/>
      <c r="H50" s="1623"/>
      <c r="M50" s="2319"/>
      <c r="N50" s="2319"/>
      <c r="AE50" s="1623"/>
      <c r="AF50" s="1623"/>
      <c r="AG50" s="1623"/>
      <c r="AH50" s="1623"/>
      <c r="AI50" s="1623"/>
      <c r="AJ50" s="1623"/>
      <c r="AK50" s="1623"/>
      <c r="AL50" s="1623"/>
      <c r="AM50" s="1623"/>
      <c r="AN50" s="1623"/>
      <c r="AO50" s="1623"/>
    </row>
    <row r="51" spans="1:41" s="1623" customFormat="1" ht="14.25">
      <c r="D51" s="2423" t="s">
        <v>556</v>
      </c>
      <c r="E51" s="2424"/>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6"/>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7"/>
      <c r="D66" s="2321"/>
      <c r="E66" s="2321"/>
      <c r="F66" s="2321"/>
      <c r="G66" s="2321"/>
      <c r="H66" s="2321"/>
      <c r="I66" s="2319"/>
      <c r="J66" s="2319"/>
      <c r="K66" s="2319"/>
      <c r="L66" s="2319"/>
      <c r="M66" s="2319"/>
      <c r="N66" s="2319"/>
      <c r="O66" s="1355"/>
      <c r="P66" s="1355"/>
    </row>
    <row r="67" spans="1:16" s="1623" customFormat="1" ht="14.25">
      <c r="A67" s="2427"/>
      <c r="D67" s="2321"/>
      <c r="E67" s="2321"/>
      <c r="F67" s="2321"/>
      <c r="G67" s="2321"/>
      <c r="H67" s="2321"/>
      <c r="I67" s="2319"/>
      <c r="J67" s="2319"/>
      <c r="K67" s="2319"/>
      <c r="L67" s="2319"/>
      <c r="M67" s="2319"/>
      <c r="N67" s="2319"/>
      <c r="O67" s="1355"/>
      <c r="P67" s="1355"/>
    </row>
    <row r="68" spans="1:16" s="1623" customFormat="1" ht="14.25">
      <c r="A68" s="2427"/>
      <c r="D68" s="2321"/>
      <c r="E68" s="2321"/>
      <c r="F68" s="2321"/>
      <c r="G68" s="2315"/>
      <c r="H68" s="2315"/>
      <c r="O68" s="1355"/>
      <c r="P68" s="1355"/>
    </row>
    <row r="69" spans="1:16" s="1623" customFormat="1">
      <c r="A69" s="2427"/>
      <c r="D69" s="2315"/>
      <c r="E69" s="2315"/>
      <c r="F69" s="2315"/>
      <c r="G69" s="2315"/>
      <c r="H69" s="2315"/>
      <c r="O69" s="1355"/>
      <c r="P69" s="1355"/>
    </row>
    <row r="70" spans="1:16" s="1623" customFormat="1">
      <c r="A70" s="2427"/>
      <c r="D70" s="2315"/>
      <c r="E70" s="2315"/>
      <c r="F70" s="2315"/>
      <c r="G70" s="2315"/>
      <c r="H70" s="2315"/>
      <c r="O70" s="1355"/>
      <c r="P70" s="1355"/>
    </row>
    <row r="71" spans="1:16" s="1623" customFormat="1">
      <c r="A71" s="2427"/>
      <c r="D71" s="2315"/>
      <c r="E71" s="2315"/>
      <c r="F71" s="2315"/>
      <c r="G71" s="2315"/>
      <c r="H71" s="2315"/>
      <c r="O71" s="1355"/>
      <c r="P71" s="1355"/>
    </row>
    <row r="72" spans="1:16" s="1623" customFormat="1">
      <c r="A72" s="2427"/>
      <c r="D72" s="2315"/>
      <c r="E72" s="2315"/>
      <c r="F72" s="2315"/>
      <c r="G72" s="2315"/>
      <c r="H72" s="2315"/>
      <c r="O72" s="1355"/>
      <c r="P72" s="1355"/>
    </row>
    <row r="73" spans="1:16" s="1623" customFormat="1">
      <c r="A73" s="2427"/>
      <c r="D73" s="2315"/>
      <c r="E73" s="2315"/>
      <c r="F73" s="2315"/>
      <c r="G73" s="2315"/>
      <c r="H73" s="2315"/>
      <c r="O73" s="1355"/>
      <c r="P73" s="1355"/>
    </row>
    <row r="74" spans="1:16" s="1623" customFormat="1">
      <c r="A74" s="2427"/>
      <c r="D74" s="2315"/>
      <c r="E74" s="2315"/>
      <c r="F74" s="2315"/>
      <c r="G74" s="2315"/>
      <c r="H74" s="2315"/>
      <c r="O74" s="1355"/>
      <c r="P74" s="1355"/>
    </row>
    <row r="75" spans="1:16" s="1623" customFormat="1">
      <c r="A75" s="2427"/>
      <c r="D75" s="2315"/>
      <c r="E75" s="2315"/>
      <c r="F75" s="2315"/>
      <c r="G75" s="2315"/>
      <c r="H75" s="2315"/>
      <c r="O75" s="1355"/>
      <c r="P75" s="1355"/>
    </row>
    <row r="76" spans="1:16" s="1623" customFormat="1">
      <c r="A76" s="2427"/>
      <c r="D76" s="2315"/>
      <c r="E76" s="2315"/>
      <c r="F76" s="2315"/>
      <c r="G76" s="2315"/>
      <c r="H76" s="2315"/>
      <c r="O76" s="1355"/>
      <c r="P76" s="1355"/>
    </row>
    <row r="77" spans="1:16" s="1623" customFormat="1">
      <c r="A77" s="2427"/>
      <c r="D77" s="2315"/>
      <c r="E77" s="2315"/>
      <c r="F77" s="2315"/>
      <c r="G77" s="2315"/>
      <c r="H77" s="2315"/>
      <c r="O77" s="1355"/>
      <c r="P77" s="1355"/>
    </row>
    <row r="78" spans="1:16" s="1623" customFormat="1">
      <c r="A78" s="2427"/>
      <c r="D78" s="2315"/>
      <c r="E78" s="2315"/>
      <c r="F78" s="2315"/>
      <c r="G78" s="2315"/>
      <c r="H78" s="2315"/>
      <c r="O78" s="1355"/>
      <c r="P78" s="1355"/>
    </row>
    <row r="79" spans="1:16" s="1623" customFormat="1">
      <c r="A79" s="2427"/>
      <c r="D79" s="2315"/>
      <c r="E79" s="2315"/>
      <c r="F79" s="2315"/>
      <c r="G79" s="2315"/>
      <c r="H79" s="2315"/>
      <c r="O79" s="1355"/>
      <c r="P79" s="1355"/>
    </row>
    <row r="80" spans="1:16" s="1623" customFormat="1">
      <c r="A80" s="2427"/>
      <c r="D80" s="2315"/>
      <c r="E80" s="2315"/>
      <c r="F80" s="2315"/>
      <c r="G80" s="2315"/>
      <c r="H80" s="2315"/>
      <c r="O80" s="1355"/>
      <c r="P80" s="1355"/>
    </row>
    <row r="81" spans="1:16" s="1623" customFormat="1">
      <c r="A81" s="2427"/>
      <c r="D81" s="2315"/>
      <c r="E81" s="2315"/>
      <c r="F81" s="2315"/>
      <c r="G81" s="2315"/>
      <c r="H81" s="2315"/>
      <c r="O81" s="1355"/>
      <c r="P81" s="1355"/>
    </row>
    <row r="82" spans="1:16" s="1623" customFormat="1">
      <c r="A82" s="2427"/>
      <c r="D82" s="2315"/>
      <c r="E82" s="2315"/>
      <c r="F82" s="2315"/>
      <c r="G82" s="2315"/>
      <c r="H82" s="2315"/>
      <c r="O82" s="1355"/>
      <c r="P82" s="1355"/>
    </row>
    <row r="83" spans="1:16" s="1623" customFormat="1">
      <c r="A83" s="2427"/>
      <c r="D83" s="2315"/>
      <c r="E83" s="2315"/>
      <c r="F83" s="2315"/>
      <c r="G83" s="2315"/>
      <c r="H83" s="2315"/>
      <c r="O83" s="1355"/>
      <c r="P83" s="1355"/>
    </row>
    <row r="84" spans="1:16" s="1623" customFormat="1">
      <c r="A84" s="2427"/>
      <c r="D84" s="2315"/>
      <c r="E84" s="2315"/>
      <c r="F84" s="2315"/>
      <c r="G84" s="2315"/>
      <c r="H84" s="2315"/>
      <c r="O84" s="1355"/>
      <c r="P84" s="1355"/>
    </row>
    <row r="85" spans="1:16" s="1623" customFormat="1">
      <c r="A85" s="2427"/>
      <c r="D85" s="2315"/>
      <c r="E85" s="2315"/>
      <c r="F85" s="2315"/>
      <c r="G85" s="2315"/>
      <c r="H85" s="2315"/>
      <c r="O85" s="1355"/>
      <c r="P85" s="1355"/>
    </row>
    <row r="86" spans="1:16" s="1623" customFormat="1">
      <c r="A86" s="2427"/>
      <c r="D86" s="2315"/>
      <c r="E86" s="2315"/>
      <c r="F86" s="2315"/>
      <c r="G86" s="2315"/>
      <c r="H86" s="2315"/>
      <c r="O86" s="1355"/>
      <c r="P86" s="1355"/>
    </row>
    <row r="87" spans="1:16" s="1623" customFormat="1">
      <c r="A87" s="2427"/>
      <c r="D87" s="2315"/>
      <c r="E87" s="2315"/>
      <c r="F87" s="2315"/>
      <c r="G87" s="2315"/>
      <c r="H87" s="2315"/>
      <c r="O87" s="1355"/>
      <c r="P87" s="1355"/>
    </row>
    <row r="88" spans="1:16" s="1623" customFormat="1">
      <c r="A88" s="2427"/>
      <c r="D88" s="2315"/>
      <c r="E88" s="2315"/>
      <c r="F88" s="2315"/>
      <c r="G88" s="2315"/>
      <c r="H88" s="2315"/>
      <c r="O88" s="1355"/>
      <c r="P88" s="1355"/>
    </row>
    <row r="89" spans="1:16" s="1623" customFormat="1">
      <c r="A89" s="2427"/>
      <c r="D89" s="2315"/>
      <c r="E89" s="2315"/>
      <c r="F89" s="2315"/>
      <c r="G89" s="2315"/>
      <c r="H89" s="2315"/>
      <c r="O89" s="1355"/>
      <c r="P89" s="1355"/>
    </row>
    <row r="90" spans="1:16" s="1623" customFormat="1">
      <c r="A90" s="2427"/>
      <c r="D90" s="2315"/>
      <c r="E90" s="2315"/>
      <c r="F90" s="2315"/>
      <c r="G90" s="2315"/>
      <c r="H90" s="2315"/>
      <c r="O90" s="1355"/>
      <c r="P90" s="1355"/>
    </row>
    <row r="91" spans="1:16" s="1623" customFormat="1">
      <c r="A91" s="2427"/>
      <c r="D91" s="2315"/>
      <c r="E91" s="2315"/>
      <c r="F91" s="2315"/>
      <c r="G91" s="2315"/>
      <c r="H91" s="2315"/>
      <c r="O91" s="1355"/>
      <c r="P91" s="1355"/>
    </row>
    <row r="92" spans="1:16" s="1623" customFormat="1">
      <c r="A92" s="2427"/>
      <c r="D92" s="2315"/>
      <c r="E92" s="2315"/>
      <c r="F92" s="2315"/>
      <c r="G92" s="2315"/>
      <c r="H92" s="2315"/>
      <c r="O92" s="1355"/>
      <c r="P92" s="1355"/>
    </row>
    <row r="93" spans="1:16" s="1623" customFormat="1">
      <c r="A93" s="2427"/>
      <c r="D93" s="2315"/>
      <c r="E93" s="2315"/>
      <c r="F93" s="2315"/>
      <c r="G93" s="2315"/>
      <c r="H93" s="2315"/>
      <c r="O93" s="1355"/>
      <c r="P93" s="1355"/>
    </row>
    <row r="94" spans="1:16" s="1623" customFormat="1">
      <c r="A94" s="2427"/>
      <c r="D94" s="2315"/>
      <c r="E94" s="2315"/>
      <c r="F94" s="2315"/>
      <c r="G94" s="2315"/>
      <c r="H94" s="2315"/>
      <c r="O94" s="1355"/>
      <c r="P94" s="1355"/>
    </row>
    <row r="95" spans="1:16" s="1623" customFormat="1">
      <c r="A95" s="2427"/>
      <c r="D95" s="2315"/>
      <c r="E95" s="2315"/>
      <c r="F95" s="2315"/>
      <c r="G95" s="2315"/>
      <c r="H95" s="2315"/>
      <c r="O95" s="1355"/>
      <c r="P95" s="1355"/>
    </row>
    <row r="96" spans="1:16" s="1623" customFormat="1">
      <c r="A96" s="2427"/>
      <c r="D96" s="2315"/>
      <c r="E96" s="2315"/>
      <c r="F96" s="2315"/>
      <c r="G96" s="2315"/>
      <c r="H96" s="2315"/>
      <c r="O96" s="1355"/>
      <c r="P96" s="1355"/>
    </row>
    <row r="97" spans="1:16" s="1623" customFormat="1">
      <c r="A97" s="2427"/>
      <c r="D97" s="2315"/>
      <c r="E97" s="2315"/>
      <c r="F97" s="2315"/>
      <c r="G97" s="2315"/>
      <c r="H97" s="2315"/>
      <c r="O97" s="1355"/>
      <c r="P97" s="1355"/>
    </row>
    <row r="98" spans="1:16" s="1623" customFormat="1">
      <c r="A98" s="2427"/>
      <c r="D98" s="2315"/>
      <c r="E98" s="2315"/>
      <c r="F98" s="2315"/>
      <c r="G98" s="2315"/>
      <c r="H98" s="2315"/>
      <c r="O98" s="1355"/>
      <c r="P98" s="1355"/>
    </row>
    <row r="99" spans="1:16" s="1623" customFormat="1">
      <c r="A99" s="2427"/>
      <c r="D99" s="2315"/>
      <c r="E99" s="2315"/>
      <c r="F99" s="2315"/>
      <c r="G99" s="2315"/>
      <c r="H99" s="2315"/>
      <c r="O99" s="1355"/>
      <c r="P99" s="1355"/>
    </row>
    <row r="100" spans="1:16" s="1623" customFormat="1">
      <c r="A100" s="2427"/>
      <c r="D100" s="2315"/>
      <c r="E100" s="2315"/>
      <c r="F100" s="2315"/>
      <c r="G100" s="2315"/>
      <c r="H100" s="2315"/>
      <c r="O100" s="1355"/>
      <c r="P100" s="1355"/>
    </row>
    <row r="101" spans="1:16" s="1623" customFormat="1">
      <c r="A101" s="2427"/>
      <c r="D101" s="2315"/>
      <c r="E101" s="2315"/>
      <c r="F101" s="2315"/>
      <c r="G101" s="2315"/>
      <c r="H101" s="2315"/>
      <c r="O101" s="1355"/>
      <c r="P101" s="1355"/>
    </row>
    <row r="102" spans="1:16" s="1623" customFormat="1">
      <c r="A102" s="2427"/>
      <c r="D102" s="2315"/>
      <c r="E102" s="2315"/>
      <c r="F102" s="2315"/>
      <c r="G102" s="2315"/>
      <c r="H102" s="2315"/>
      <c r="O102" s="1355"/>
      <c r="P102" s="1355"/>
    </row>
    <row r="103" spans="1:16" s="1623" customFormat="1">
      <c r="A103" s="2427"/>
      <c r="D103" s="2315"/>
      <c r="E103" s="2315"/>
      <c r="F103" s="2315"/>
      <c r="G103" s="2315"/>
      <c r="H103" s="2315"/>
      <c r="O103" s="1355"/>
      <c r="P103" s="1355"/>
    </row>
    <row r="104" spans="1:16" s="1623" customFormat="1">
      <c r="A104" s="2427"/>
      <c r="D104" s="2315"/>
      <c r="E104" s="2315"/>
      <c r="F104" s="2315"/>
      <c r="G104" s="2315"/>
      <c r="H104" s="2315"/>
      <c r="O104" s="1355"/>
      <c r="P104" s="1355"/>
    </row>
    <row r="105" spans="1:16" s="1623" customFormat="1">
      <c r="A105" s="2427"/>
      <c r="D105" s="2315"/>
      <c r="E105" s="2315"/>
      <c r="F105" s="2315"/>
      <c r="G105" s="2315"/>
      <c r="H105" s="2315"/>
      <c r="O105" s="1355"/>
      <c r="P105" s="1355"/>
    </row>
    <row r="106" spans="1:16" s="1623" customFormat="1">
      <c r="A106" s="2427"/>
      <c r="D106" s="2315"/>
      <c r="E106" s="2315"/>
      <c r="F106" s="2315"/>
      <c r="G106" s="2315"/>
      <c r="H106" s="2315"/>
      <c r="O106" s="1355"/>
      <c r="P106" s="1355"/>
    </row>
    <row r="107" spans="1:16" s="1623" customFormat="1">
      <c r="A107" s="2427"/>
      <c r="D107" s="2315"/>
      <c r="E107" s="2315"/>
      <c r="F107" s="2315"/>
      <c r="G107" s="2315"/>
      <c r="H107" s="2315"/>
      <c r="O107" s="1355"/>
      <c r="P107" s="1355"/>
    </row>
    <row r="108" spans="1:16" s="1623" customFormat="1">
      <c r="A108" s="2427"/>
      <c r="D108" s="2315"/>
      <c r="E108" s="2315"/>
      <c r="F108" s="2315"/>
      <c r="G108" s="2315"/>
      <c r="H108" s="2315"/>
      <c r="O108" s="1355"/>
      <c r="P108" s="1355"/>
    </row>
    <row r="109" spans="1:16" s="1623" customFormat="1">
      <c r="A109" s="2427"/>
      <c r="D109" s="2315"/>
      <c r="E109" s="2315"/>
      <c r="F109" s="2315"/>
      <c r="G109" s="2315"/>
      <c r="H109" s="2315"/>
      <c r="O109" s="1355"/>
      <c r="P109" s="1355"/>
    </row>
    <row r="110" spans="1:16" s="1623" customFormat="1">
      <c r="A110" s="2427"/>
      <c r="D110" s="2315"/>
      <c r="E110" s="2315"/>
      <c r="F110" s="2315"/>
      <c r="G110" s="2315"/>
      <c r="H110" s="2315"/>
      <c r="O110" s="1355"/>
      <c r="P110" s="1355"/>
    </row>
    <row r="111" spans="1:16" s="1623" customFormat="1">
      <c r="A111" s="2427"/>
      <c r="D111" s="2315"/>
      <c r="E111" s="2315"/>
      <c r="F111" s="2315"/>
      <c r="G111" s="2315"/>
      <c r="H111" s="2315"/>
      <c r="O111" s="1355"/>
      <c r="P111" s="1355"/>
    </row>
    <row r="112" spans="1:16" s="1623" customFormat="1">
      <c r="A112" s="2427"/>
      <c r="D112" s="2315"/>
      <c r="E112" s="2315"/>
      <c r="F112" s="2315"/>
      <c r="G112" s="2315"/>
      <c r="H112" s="2315"/>
      <c r="O112" s="1355"/>
      <c r="P112" s="1355"/>
    </row>
    <row r="113" spans="1:16" s="1623" customFormat="1">
      <c r="A113" s="2427"/>
      <c r="D113" s="2315"/>
      <c r="E113" s="2315"/>
      <c r="F113" s="2315"/>
      <c r="G113" s="2315"/>
      <c r="H113" s="2315"/>
      <c r="O113" s="1355"/>
      <c r="P113" s="1355"/>
    </row>
    <row r="114" spans="1:16" s="1623" customFormat="1">
      <c r="A114" s="2427"/>
      <c r="D114" s="2315"/>
      <c r="E114" s="2315"/>
      <c r="F114" s="2315"/>
      <c r="G114" s="2315"/>
      <c r="H114" s="2315"/>
      <c r="O114" s="1355"/>
      <c r="P114" s="1355"/>
    </row>
    <row r="115" spans="1:16" s="1623" customFormat="1">
      <c r="A115" s="2427"/>
      <c r="D115" s="2315"/>
      <c r="E115" s="2315"/>
      <c r="F115" s="2315"/>
      <c r="G115" s="2315"/>
      <c r="H115" s="2315"/>
      <c r="O115" s="1355"/>
      <c r="P115" s="1355"/>
    </row>
    <row r="116" spans="1:16" s="1623" customFormat="1">
      <c r="A116" s="2427"/>
      <c r="D116" s="2315"/>
      <c r="E116" s="2315"/>
      <c r="F116" s="2315"/>
      <c r="G116" s="2315"/>
      <c r="H116" s="2315"/>
      <c r="O116" s="1355"/>
      <c r="P116" s="1355"/>
    </row>
    <row r="117" spans="1:16" s="1623" customFormat="1">
      <c r="A117" s="2427"/>
      <c r="D117" s="2315"/>
      <c r="E117" s="2315"/>
      <c r="F117" s="2315"/>
      <c r="G117" s="2315"/>
      <c r="H117" s="2315"/>
      <c r="O117" s="1355"/>
      <c r="P117" s="1355"/>
    </row>
    <row r="118" spans="1:16" s="1623" customFormat="1">
      <c r="A118" s="2427"/>
      <c r="D118" s="2315"/>
      <c r="E118" s="2315"/>
      <c r="F118" s="2315"/>
      <c r="G118" s="2315"/>
      <c r="H118" s="2315"/>
      <c r="O118" s="1355"/>
      <c r="P118" s="1355"/>
    </row>
    <row r="119" spans="1:16" s="1623" customFormat="1">
      <c r="A119" s="2427"/>
      <c r="D119" s="2315"/>
      <c r="E119" s="2315"/>
      <c r="F119" s="2315"/>
      <c r="G119" s="2315"/>
      <c r="H119" s="2315"/>
      <c r="O119" s="1355"/>
      <c r="P119" s="1355"/>
    </row>
    <row r="120" spans="1:16" s="1623" customFormat="1">
      <c r="A120" s="2427"/>
      <c r="D120" s="2315"/>
      <c r="E120" s="2315"/>
      <c r="F120" s="2315"/>
      <c r="G120" s="2315"/>
      <c r="H120" s="2315"/>
      <c r="O120" s="1355"/>
      <c r="P120" s="1355"/>
    </row>
    <row r="121" spans="1:16" s="1623" customFormat="1">
      <c r="A121" s="2427"/>
      <c r="D121" s="2315"/>
      <c r="E121" s="2315"/>
      <c r="F121" s="2315"/>
      <c r="G121" s="2315"/>
      <c r="H121" s="2315"/>
      <c r="O121" s="1355"/>
      <c r="P121" s="1355"/>
    </row>
    <row r="122" spans="1:16" s="1623" customFormat="1">
      <c r="A122" s="2427"/>
      <c r="D122" s="2315"/>
      <c r="E122" s="2315"/>
      <c r="F122" s="2315"/>
      <c r="G122" s="2315"/>
      <c r="H122" s="2315"/>
      <c r="O122" s="1355"/>
      <c r="P122" s="1355"/>
    </row>
    <row r="123" spans="1:16" s="1623" customFormat="1">
      <c r="A123" s="2427"/>
      <c r="D123" s="2315"/>
      <c r="E123" s="2315"/>
      <c r="F123" s="2315"/>
      <c r="G123" s="2315"/>
      <c r="H123" s="2315"/>
      <c r="O123" s="1355"/>
      <c r="P123" s="1355"/>
    </row>
    <row r="124" spans="1:16" s="1623" customFormat="1">
      <c r="A124" s="2427"/>
      <c r="D124" s="2315"/>
      <c r="E124" s="2315"/>
      <c r="F124" s="2315"/>
      <c r="G124" s="2315"/>
      <c r="H124" s="2315"/>
      <c r="O124" s="1355"/>
      <c r="P124" s="1355"/>
    </row>
    <row r="125" spans="1:16" s="1623" customFormat="1">
      <c r="A125" s="2427"/>
      <c r="D125" s="2315"/>
      <c r="E125" s="2315"/>
      <c r="F125" s="2315"/>
      <c r="G125" s="2315"/>
      <c r="H125" s="2315"/>
      <c r="O125" s="1355"/>
      <c r="P125" s="1355"/>
    </row>
    <row r="126" spans="1:16" s="1623" customFormat="1">
      <c r="A126" s="2427"/>
      <c r="D126" s="2315"/>
      <c r="E126" s="2315"/>
      <c r="F126" s="2315"/>
      <c r="G126" s="2315"/>
      <c r="H126" s="2315"/>
      <c r="O126" s="1355"/>
      <c r="P126" s="1355"/>
    </row>
    <row r="127" spans="1:16" s="1623" customFormat="1">
      <c r="A127" s="2427"/>
      <c r="D127" s="2315"/>
      <c r="E127" s="2315"/>
      <c r="F127" s="2315"/>
      <c r="G127" s="2315"/>
      <c r="H127" s="2315"/>
      <c r="O127" s="1355"/>
      <c r="P127" s="1355"/>
    </row>
    <row r="128" spans="1:16" s="1623" customFormat="1">
      <c r="A128" s="2427"/>
      <c r="D128" s="2315"/>
      <c r="E128" s="2315"/>
      <c r="F128" s="2315"/>
      <c r="G128" s="2315"/>
      <c r="H128" s="2315"/>
      <c r="O128" s="1355"/>
      <c r="P128" s="1355"/>
    </row>
    <row r="129" spans="1:16" s="1623" customFormat="1">
      <c r="A129" s="2427"/>
      <c r="D129" s="2315"/>
      <c r="E129" s="2315"/>
      <c r="F129" s="2315"/>
      <c r="G129" s="2315"/>
      <c r="H129" s="2315"/>
      <c r="O129" s="1355"/>
      <c r="P129" s="1355"/>
    </row>
    <row r="130" spans="1:16" s="1623" customFormat="1">
      <c r="A130" s="2427"/>
      <c r="D130" s="2315"/>
      <c r="E130" s="2315"/>
      <c r="F130" s="2315"/>
      <c r="G130" s="2315"/>
      <c r="H130" s="2315"/>
      <c r="O130" s="1355"/>
      <c r="P130" s="1355"/>
    </row>
    <row r="131" spans="1:16" s="1623" customFormat="1">
      <c r="A131" s="2427"/>
      <c r="D131" s="2315"/>
      <c r="E131" s="2315"/>
      <c r="F131" s="2315"/>
      <c r="G131" s="2315"/>
      <c r="H131" s="2315"/>
      <c r="O131" s="1355"/>
      <c r="P131" s="1355"/>
    </row>
    <row r="132" spans="1:16" s="1623" customFormat="1">
      <c r="A132" s="2427"/>
      <c r="D132" s="2315"/>
      <c r="E132" s="2315"/>
      <c r="F132" s="2315"/>
      <c r="G132" s="2315"/>
      <c r="H132" s="2315"/>
      <c r="O132" s="1355"/>
      <c r="P132" s="1355"/>
    </row>
    <row r="133" spans="1:16" s="1623" customFormat="1">
      <c r="A133" s="2427"/>
      <c r="D133" s="2315"/>
      <c r="E133" s="2315"/>
      <c r="F133" s="2315"/>
      <c r="G133" s="2315"/>
      <c r="H133" s="2315"/>
      <c r="O133" s="1355"/>
      <c r="P133" s="1355"/>
    </row>
    <row r="134" spans="1:16" s="1623" customFormat="1">
      <c r="A134" s="2427"/>
      <c r="D134" s="2315"/>
      <c r="E134" s="2315"/>
      <c r="F134" s="2315"/>
      <c r="G134" s="2315"/>
      <c r="H134" s="2315"/>
      <c r="O134" s="1355"/>
      <c r="P134" s="1355"/>
    </row>
    <row r="135" spans="1:16" s="1623" customFormat="1">
      <c r="A135" s="2427"/>
      <c r="D135" s="2315"/>
      <c r="E135" s="2315"/>
      <c r="F135" s="2315"/>
      <c r="G135" s="2315"/>
      <c r="H135" s="2315"/>
      <c r="O135" s="1355"/>
      <c r="P135" s="1355"/>
    </row>
    <row r="136" spans="1:16" s="1623" customFormat="1">
      <c r="A136" s="2427"/>
      <c r="D136" s="2315"/>
      <c r="E136" s="2315"/>
      <c r="F136" s="2315"/>
      <c r="G136" s="2315"/>
      <c r="H136" s="2315"/>
      <c r="O136" s="1355"/>
      <c r="P136" s="1355"/>
    </row>
    <row r="137" spans="1:16" s="1623" customFormat="1">
      <c r="A137" s="2427"/>
      <c r="D137" s="2315"/>
      <c r="E137" s="2315"/>
      <c r="F137" s="2315"/>
      <c r="G137" s="2315"/>
      <c r="H137" s="2315"/>
      <c r="O137" s="1355"/>
      <c r="P137" s="1355"/>
    </row>
    <row r="138" spans="1:16" s="1623" customFormat="1">
      <c r="A138" s="2427"/>
      <c r="D138" s="2315"/>
      <c r="E138" s="2315"/>
      <c r="F138" s="2315"/>
      <c r="G138" s="2315"/>
      <c r="H138" s="2315"/>
      <c r="O138" s="1355"/>
      <c r="P138" s="1355"/>
    </row>
    <row r="139" spans="1:16" s="1623" customFormat="1">
      <c r="A139" s="2427"/>
      <c r="D139" s="2315"/>
      <c r="E139" s="2315"/>
      <c r="F139" s="2315"/>
      <c r="G139" s="2315"/>
      <c r="H139" s="2315"/>
      <c r="O139" s="1355"/>
      <c r="P139" s="1355"/>
    </row>
    <row r="140" spans="1:16" s="1623" customFormat="1">
      <c r="A140" s="2427"/>
      <c r="D140" s="2315"/>
      <c r="E140" s="2315"/>
      <c r="F140" s="2315"/>
      <c r="G140" s="2315"/>
      <c r="H140" s="2315"/>
      <c r="O140" s="1355"/>
      <c r="P140" s="1355"/>
    </row>
    <row r="141" spans="1:16" s="1623" customFormat="1">
      <c r="A141" s="2427"/>
      <c r="D141" s="2315"/>
      <c r="E141" s="2315"/>
      <c r="F141" s="2315"/>
      <c r="G141" s="2315"/>
      <c r="H141" s="2315"/>
      <c r="O141" s="1355"/>
      <c r="P141" s="1355"/>
    </row>
    <row r="142" spans="1:16" s="1623" customFormat="1">
      <c r="A142" s="2427"/>
      <c r="D142" s="2315"/>
      <c r="E142" s="2315"/>
      <c r="F142" s="2315"/>
      <c r="G142" s="2315"/>
      <c r="H142" s="2315"/>
      <c r="O142" s="1355"/>
      <c r="P142" s="1355"/>
    </row>
    <row r="143" spans="1:16" s="1623" customFormat="1">
      <c r="A143" s="2427"/>
      <c r="D143" s="2315"/>
      <c r="E143" s="2315"/>
      <c r="F143" s="2315"/>
      <c r="G143" s="2315"/>
      <c r="H143" s="2315"/>
      <c r="O143" s="1355"/>
      <c r="P143" s="1355"/>
    </row>
    <row r="144" spans="1:16" s="1623" customFormat="1">
      <c r="A144" s="2427"/>
      <c r="D144" s="2315"/>
      <c r="E144" s="2315"/>
      <c r="F144" s="2315"/>
      <c r="G144" s="2315"/>
      <c r="H144" s="2315"/>
      <c r="O144" s="1355"/>
      <c r="P144" s="1355"/>
    </row>
    <row r="145" spans="1:16" s="1623" customFormat="1">
      <c r="A145" s="2427"/>
      <c r="D145" s="2315"/>
      <c r="E145" s="2315"/>
      <c r="F145" s="2315"/>
      <c r="G145" s="2315"/>
      <c r="H145" s="2315"/>
      <c r="O145" s="1355"/>
      <c r="P145" s="1355"/>
    </row>
    <row r="146" spans="1:16" s="1623" customFormat="1">
      <c r="A146" s="2427"/>
      <c r="D146" s="2315"/>
      <c r="E146" s="2315"/>
      <c r="F146" s="2315"/>
      <c r="G146" s="2315"/>
      <c r="H146" s="2315"/>
      <c r="O146" s="1355"/>
      <c r="P146" s="1355"/>
    </row>
    <row r="147" spans="1:16" s="1623" customFormat="1">
      <c r="A147" s="2427"/>
      <c r="D147" s="2315"/>
      <c r="E147" s="2315"/>
      <c r="F147" s="2315"/>
      <c r="G147" s="2315"/>
      <c r="H147" s="2315"/>
      <c r="O147" s="1355"/>
      <c r="P147" s="1355"/>
    </row>
    <row r="148" spans="1:16" s="1623" customFormat="1">
      <c r="A148" s="2427"/>
      <c r="D148" s="2315"/>
      <c r="E148" s="2315"/>
      <c r="F148" s="2315"/>
      <c r="G148" s="2315"/>
      <c r="H148" s="2315"/>
      <c r="O148" s="1355"/>
      <c r="P148" s="1355"/>
    </row>
    <row r="149" spans="1:16" s="1623" customFormat="1">
      <c r="A149" s="2427"/>
      <c r="D149" s="2315"/>
      <c r="E149" s="2315"/>
      <c r="F149" s="2315"/>
      <c r="G149" s="2315"/>
      <c r="H149" s="2315"/>
      <c r="O149" s="1355"/>
      <c r="P149" s="1355"/>
    </row>
    <row r="150" spans="1:16" s="1623" customFormat="1">
      <c r="A150" s="2427"/>
      <c r="D150" s="2315"/>
      <c r="E150" s="2315"/>
      <c r="F150" s="2315"/>
      <c r="G150" s="2315"/>
      <c r="H150" s="2315"/>
      <c r="O150" s="1355"/>
      <c r="P150" s="1355"/>
    </row>
    <row r="151" spans="1:16" s="1623" customFormat="1">
      <c r="A151" s="2427"/>
      <c r="D151" s="2315"/>
      <c r="E151" s="2315"/>
      <c r="F151" s="2315"/>
      <c r="G151" s="2315"/>
      <c r="H151" s="2315"/>
      <c r="O151" s="1355"/>
      <c r="P151" s="1355"/>
    </row>
    <row r="152" spans="1:16" s="1623" customFormat="1">
      <c r="A152" s="2427"/>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K15" sqref="K15"/>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39" t="s">
        <v>557</v>
      </c>
      <c r="B1" s="2840"/>
      <c r="C1" s="2840"/>
      <c r="D1" s="2840"/>
      <c r="E1" s="2840"/>
      <c r="F1" s="2840"/>
      <c r="G1" s="2840"/>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558</v>
      </c>
      <c r="D2" s="2262"/>
      <c r="E2" s="2263"/>
      <c r="F2" s="2264"/>
      <c r="G2" s="2261" t="s">
        <v>559</v>
      </c>
      <c r="H2" s="2250"/>
      <c r="I2" s="2250"/>
      <c r="J2" s="2250"/>
      <c r="K2" s="2250"/>
      <c r="L2" s="2250"/>
      <c r="M2" s="2250"/>
      <c r="N2" s="2250"/>
      <c r="O2" s="2250"/>
      <c r="P2" s="2250"/>
      <c r="Q2" s="2250"/>
      <c r="R2" s="2250"/>
    </row>
    <row r="3" spans="1:29" ht="42.75">
      <c r="A3" s="726" t="s">
        <v>560</v>
      </c>
      <c r="B3" s="2265" t="s">
        <v>207</v>
      </c>
      <c r="C3" s="2738"/>
      <c r="D3" s="2266"/>
      <c r="E3" s="737" t="s">
        <v>560</v>
      </c>
      <c r="F3" s="2267" t="s">
        <v>210</v>
      </c>
      <c r="G3" s="2268" t="s">
        <v>561</v>
      </c>
      <c r="H3" s="2250"/>
      <c r="I3" s="2250"/>
      <c r="J3" s="2250"/>
      <c r="K3" s="2250"/>
      <c r="L3" s="2250"/>
      <c r="M3" s="2250"/>
      <c r="N3" s="2250"/>
      <c r="O3" s="2250"/>
      <c r="P3" s="2250"/>
      <c r="Q3" s="2250"/>
      <c r="R3" s="2250"/>
    </row>
    <row r="4" spans="1:29" ht="40.5">
      <c r="A4" s="737"/>
      <c r="B4" s="893" t="s">
        <v>208</v>
      </c>
      <c r="C4" s="2269"/>
      <c r="D4" s="2266"/>
      <c r="E4" s="2270"/>
      <c r="F4" s="2181" t="s">
        <v>211</v>
      </c>
      <c r="G4" s="2271" t="s">
        <v>562</v>
      </c>
      <c r="H4" s="2250"/>
      <c r="I4" s="2250"/>
      <c r="J4" s="2250"/>
      <c r="K4" s="2250"/>
      <c r="L4" s="2250"/>
      <c r="M4" s="2250"/>
      <c r="N4" s="2250"/>
      <c r="O4" s="2250"/>
      <c r="P4" s="2250"/>
      <c r="Q4" s="2250"/>
      <c r="R4" s="2250"/>
    </row>
    <row r="5" spans="1:29" ht="27">
      <c r="A5" s="737"/>
      <c r="B5" s="893" t="s">
        <v>209</v>
      </c>
      <c r="C5" s="2269"/>
      <c r="D5" s="2266"/>
      <c r="E5" s="2270"/>
      <c r="F5" s="893" t="s">
        <v>213</v>
      </c>
      <c r="G5" s="2271" t="s">
        <v>563</v>
      </c>
      <c r="H5" s="2250"/>
      <c r="I5" s="2250"/>
      <c r="J5" s="2250"/>
      <c r="K5" s="2250"/>
      <c r="L5" s="2250"/>
      <c r="M5" s="2250"/>
      <c r="N5" s="2250"/>
      <c r="O5" s="2250"/>
      <c r="P5" s="2250"/>
      <c r="Q5" s="2250"/>
      <c r="R5" s="2250"/>
    </row>
    <row r="6" spans="1:29" ht="15">
      <c r="A6" s="737"/>
      <c r="B6" s="893" t="s">
        <v>211</v>
      </c>
      <c r="C6" s="2739"/>
      <c r="D6" s="2266"/>
      <c r="E6" s="2270"/>
      <c r="F6" s="893" t="s">
        <v>214</v>
      </c>
      <c r="G6" s="2271" t="s">
        <v>564</v>
      </c>
      <c r="H6" s="2250"/>
      <c r="I6" s="2250"/>
      <c r="J6" s="2250"/>
      <c r="K6" s="2250"/>
      <c r="L6" s="2250"/>
      <c r="M6" s="2250"/>
      <c r="N6" s="2250"/>
      <c r="O6" s="2250"/>
      <c r="P6" s="2250"/>
      <c r="Q6" s="2250"/>
      <c r="R6" s="2250"/>
    </row>
    <row r="7" spans="1:29" ht="40.5">
      <c r="A7" s="737"/>
      <c r="B7" s="893" t="s">
        <v>213</v>
      </c>
      <c r="C7" s="2739"/>
      <c r="D7" s="2272"/>
      <c r="E7" s="2273"/>
      <c r="F7" s="2274" t="s">
        <v>565</v>
      </c>
      <c r="G7" s="2275" t="s">
        <v>566</v>
      </c>
      <c r="H7" s="2250"/>
      <c r="I7" s="2250"/>
      <c r="J7" s="2250"/>
      <c r="K7" s="2250"/>
      <c r="L7" s="2250"/>
      <c r="M7" s="2250"/>
      <c r="N7" s="2250"/>
      <c r="O7" s="2250"/>
      <c r="P7" s="2250"/>
      <c r="Q7" s="2250"/>
      <c r="R7" s="2250"/>
    </row>
    <row r="8" spans="1:29" ht="15">
      <c r="A8" s="737"/>
      <c r="B8" s="893" t="s">
        <v>214</v>
      </c>
      <c r="C8" s="2739"/>
      <c r="D8" s="2272"/>
      <c r="E8" s="2272"/>
      <c r="F8" s="854"/>
      <c r="G8" s="854"/>
      <c r="H8" s="2250"/>
      <c r="I8" s="2250"/>
      <c r="J8" s="2250"/>
      <c r="K8" s="2250"/>
      <c r="L8" s="2250"/>
      <c r="M8" s="2250"/>
      <c r="N8" s="2250"/>
      <c r="O8" s="2250"/>
      <c r="P8" s="2250"/>
      <c r="Q8" s="2250"/>
      <c r="R8" s="2250"/>
    </row>
    <row r="9" spans="1:29" ht="15">
      <c r="A9" s="737"/>
      <c r="B9" s="893" t="s">
        <v>567</v>
      </c>
      <c r="C9" s="2740"/>
      <c r="D9" s="2266"/>
      <c r="E9" s="2272"/>
      <c r="F9" s="854"/>
      <c r="G9" s="854"/>
      <c r="H9" s="2250"/>
      <c r="I9" s="2250"/>
      <c r="J9" s="2250"/>
      <c r="K9" s="2250"/>
      <c r="L9" s="2250"/>
      <c r="M9" s="2250"/>
      <c r="N9" s="2250"/>
      <c r="O9" s="2250"/>
      <c r="P9" s="2250"/>
      <c r="Q9" s="2250"/>
      <c r="R9" s="2250"/>
    </row>
    <row r="10" spans="1:29" s="693" customFormat="1" ht="15">
      <c r="A10" s="2276"/>
      <c r="B10" s="2194" t="s">
        <v>568</v>
      </c>
      <c r="C10" s="2741"/>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569</v>
      </c>
      <c r="B13" s="2279"/>
      <c r="C13" s="2279"/>
      <c r="D13" s="2262"/>
      <c r="E13" s="2279"/>
      <c r="F13" s="2279"/>
      <c r="G13" s="2279"/>
    </row>
    <row r="14" spans="1:29" ht="15">
      <c r="A14" s="2282"/>
      <c r="B14" s="2283"/>
      <c r="C14" s="2284" t="s">
        <v>558</v>
      </c>
      <c r="D14" s="2266"/>
      <c r="E14" s="2285"/>
      <c r="F14" s="2285"/>
      <c r="G14" s="2261" t="s">
        <v>559</v>
      </c>
    </row>
    <row r="15" spans="1:29" ht="42.75">
      <c r="A15" s="1151" t="s">
        <v>560</v>
      </c>
      <c r="B15" s="2286" t="s">
        <v>207</v>
      </c>
      <c r="C15" s="2287">
        <f>C3</f>
        <v>0</v>
      </c>
      <c r="D15" s="2266"/>
      <c r="E15" s="2288" t="s">
        <v>560</v>
      </c>
      <c r="F15" s="2286" t="s">
        <v>210</v>
      </c>
      <c r="G15" s="729" t="str">
        <f>G3</f>
        <v>估价对象位于XX开发区，园区建设成熟度XX，产业集聚程度XX</v>
      </c>
    </row>
    <row r="16" spans="1:29" ht="42.75">
      <c r="A16" s="1158"/>
      <c r="B16" s="1040" t="s">
        <v>208</v>
      </c>
      <c r="C16" s="2289">
        <f>C4</f>
        <v>0</v>
      </c>
      <c r="D16" s="2266"/>
      <c r="E16" s="2290"/>
      <c r="F16" s="2179" t="s">
        <v>211</v>
      </c>
      <c r="G16" s="733" t="str">
        <f>G4</f>
        <v>估价对象周边道路状况、公共交通通达情况、停车便捷程度，综合评价交通便捷度较好</v>
      </c>
    </row>
    <row r="17" spans="1:18" ht="15">
      <c r="A17" s="1158"/>
      <c r="B17" s="1040" t="s">
        <v>209</v>
      </c>
      <c r="C17" s="2289">
        <f>C5</f>
        <v>0</v>
      </c>
      <c r="D17" s="2272"/>
      <c r="E17" s="2290"/>
      <c r="F17" s="2179" t="s">
        <v>212</v>
      </c>
      <c r="G17" s="2291"/>
    </row>
    <row r="18" spans="1:18" ht="42.75">
      <c r="A18" s="1158"/>
      <c r="B18" s="2179" t="s">
        <v>211</v>
      </c>
      <c r="C18" s="733">
        <f>C6</f>
        <v>0</v>
      </c>
      <c r="D18" s="2272"/>
      <c r="E18" s="2290"/>
      <c r="F18" s="2179" t="s">
        <v>565</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15">
      <c r="A20" s="1158"/>
      <c r="B20" s="2179" t="s">
        <v>570</v>
      </c>
      <c r="C20" s="2289">
        <f>C9</f>
        <v>0</v>
      </c>
      <c r="D20" s="2272"/>
      <c r="E20" s="2290"/>
      <c r="F20" s="893" t="s">
        <v>214</v>
      </c>
      <c r="G20" s="733" t="str">
        <f>G6</f>
        <v>估价对象所在区域基础设施水平</v>
      </c>
    </row>
    <row r="21" spans="1:18" ht="15">
      <c r="A21" s="1158"/>
      <c r="B21" s="893" t="s">
        <v>213</v>
      </c>
      <c r="C21" s="733">
        <f>C7</f>
        <v>0</v>
      </c>
      <c r="D21" s="2266"/>
      <c r="E21" s="2290"/>
      <c r="F21" s="2179" t="s">
        <v>216</v>
      </c>
      <c r="G21" s="2292"/>
    </row>
    <row r="22" spans="1:18" ht="15">
      <c r="A22" s="1158"/>
      <c r="B22" s="893" t="s">
        <v>214</v>
      </c>
      <c r="C22" s="733">
        <f>C8</f>
        <v>0</v>
      </c>
      <c r="D22" s="2266"/>
      <c r="E22" s="2290"/>
      <c r="F22" s="2179" t="s">
        <v>568</v>
      </c>
      <c r="G22" s="2293"/>
    </row>
    <row r="23" spans="1:18" s="2250" customFormat="1" ht="15">
      <c r="A23" s="1158"/>
      <c r="B23" s="2179" t="s">
        <v>216</v>
      </c>
      <c r="C23" s="2292"/>
      <c r="D23" s="2255"/>
      <c r="E23" s="2294"/>
      <c r="F23" s="2193" t="s">
        <v>571</v>
      </c>
      <c r="G23" s="2295"/>
      <c r="H23" s="2255"/>
      <c r="I23" s="2256"/>
      <c r="J23" s="2255"/>
      <c r="K23" s="2255"/>
      <c r="L23" s="2256"/>
      <c r="M23" s="2255"/>
      <c r="N23" s="2255"/>
      <c r="O23" s="2256"/>
      <c r="P23" s="2255"/>
      <c r="Q23" s="2255"/>
      <c r="R23" s="2257"/>
    </row>
    <row r="24" spans="1:18" s="2250" customFormat="1" ht="15">
      <c r="A24" s="2296"/>
      <c r="B24" s="2193" t="s">
        <v>568</v>
      </c>
      <c r="C24" s="780">
        <f>C10</f>
        <v>0</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8" t="s">
        <v>572</v>
      </c>
      <c r="B1" s="2238">
        <f>SUM(B14:B23)</f>
        <v>95.95</v>
      </c>
      <c r="C1" s="2239"/>
      <c r="D1" s="2239"/>
      <c r="E1" s="2239"/>
      <c r="F1" s="2239"/>
      <c r="G1" s="2240"/>
    </row>
    <row r="2" spans="1:9" ht="16.5">
      <c r="A2" s="2238" t="s">
        <v>573</v>
      </c>
      <c r="B2" s="2238">
        <f>SUM(C14:C23)</f>
        <v>0</v>
      </c>
      <c r="C2" s="2239"/>
      <c r="D2" s="2239"/>
      <c r="E2" s="2239"/>
      <c r="F2" s="2239"/>
      <c r="G2" s="2240"/>
    </row>
    <row r="3" spans="1:9" ht="16.5">
      <c r="A3" s="2238" t="s">
        <v>574</v>
      </c>
      <c r="B3" s="2241">
        <f>项目基本情况!D2</f>
        <v>43199</v>
      </c>
      <c r="C3" s="2239"/>
      <c r="D3" s="2239"/>
      <c r="E3" s="2239"/>
      <c r="F3" s="2239"/>
      <c r="G3" s="2240"/>
    </row>
    <row r="4" spans="1:9" ht="33">
      <c r="A4" s="2238" t="s">
        <v>575</v>
      </c>
      <c r="B4" s="2238" t="s">
        <v>576</v>
      </c>
      <c r="C4" s="2238" t="s">
        <v>577</v>
      </c>
      <c r="D4" s="2238" t="s">
        <v>578</v>
      </c>
      <c r="E4" s="2239"/>
      <c r="F4" s="2240"/>
      <c r="G4" s="2240"/>
    </row>
    <row r="5" spans="1:9" ht="16.5">
      <c r="A5" s="2238" t="s">
        <v>579</v>
      </c>
      <c r="B5" s="2238">
        <f ca="1">SUM(D14:D23)</f>
        <v>392</v>
      </c>
      <c r="C5" s="2238">
        <f ca="1">ROUND(B5*10000/$B$1,0)</f>
        <v>40855</v>
      </c>
      <c r="D5" s="2238" t="e">
        <f ca="1">ROUND(B5*10000/$B$2,0)</f>
        <v>#DIV/0!</v>
      </c>
      <c r="E5" s="2239"/>
      <c r="F5" s="2240"/>
      <c r="G5" s="2240"/>
    </row>
    <row r="6" spans="1:9" ht="16.5">
      <c r="A6" s="2238" t="s">
        <v>580</v>
      </c>
      <c r="B6" s="2238">
        <f ca="1">SUM(G14:G23)</f>
        <v>392</v>
      </c>
      <c r="C6" s="2238">
        <f t="shared" ref="C6:C8" ca="1" si="0">ROUND(B6*10000/$B$1,0)</f>
        <v>40855</v>
      </c>
      <c r="D6" s="2238" t="e">
        <f t="shared" ref="D6:D8" ca="1" si="1">ROUND(B6*10000/$B$2,0)</f>
        <v>#DIV/0!</v>
      </c>
      <c r="E6" s="2239"/>
      <c r="F6" s="2240"/>
      <c r="G6" s="2240"/>
    </row>
    <row r="7" spans="1:9" ht="16.5">
      <c r="A7" s="2238" t="s">
        <v>581</v>
      </c>
      <c r="B7" s="2238">
        <f>SUM(H14:H23)</f>
        <v>0</v>
      </c>
      <c r="C7" s="2238">
        <f>ROUND(B7*10000/$B$1,0)</f>
        <v>0</v>
      </c>
      <c r="D7" s="2238" t="e">
        <f t="shared" si="1"/>
        <v>#DIV/0!</v>
      </c>
      <c r="E7" s="2239"/>
      <c r="F7" s="2240"/>
      <c r="G7" s="2240"/>
    </row>
    <row r="8" spans="1:9" ht="16.5">
      <c r="A8" s="2238" t="s">
        <v>582</v>
      </c>
      <c r="B8" s="2238">
        <f>SUM(I14:I23)</f>
        <v>0</v>
      </c>
      <c r="C8" s="2238">
        <f t="shared" si="0"/>
        <v>0</v>
      </c>
      <c r="D8" s="2238" t="e">
        <f t="shared" si="1"/>
        <v>#DIV/0!</v>
      </c>
      <c r="E8" s="2239"/>
      <c r="F8" s="2240"/>
      <c r="G8" s="2240"/>
    </row>
    <row r="9" spans="1:9" ht="16.5">
      <c r="A9" s="2238" t="s">
        <v>583</v>
      </c>
      <c r="B9" s="2242"/>
      <c r="C9" s="2239"/>
      <c r="D9" s="2239"/>
      <c r="E9" s="2239"/>
      <c r="F9" s="2240"/>
      <c r="G9" s="2240"/>
    </row>
    <row r="10" spans="1:9" ht="16.5">
      <c r="A10" s="2238" t="s">
        <v>584</v>
      </c>
      <c r="B10" s="2242"/>
      <c r="C10" s="2239"/>
      <c r="D10" s="2239"/>
      <c r="E10" s="2239"/>
      <c r="F10" s="2240"/>
      <c r="G10" s="2240"/>
    </row>
    <row r="11" spans="1:9" ht="16.5">
      <c r="A11" s="2238" t="s">
        <v>585</v>
      </c>
      <c r="B11" s="2242"/>
      <c r="C11" s="2239"/>
      <c r="D11" s="2239"/>
      <c r="E11" s="2239"/>
      <c r="F11" s="2240"/>
      <c r="G11" s="2240"/>
    </row>
    <row r="12" spans="1:9" ht="16.5">
      <c r="A12" s="2239"/>
      <c r="B12" s="2239"/>
      <c r="C12" s="2239"/>
      <c r="D12" s="2239"/>
      <c r="E12" s="2239"/>
      <c r="F12" s="2240"/>
      <c r="G12" s="2240"/>
    </row>
    <row r="13" spans="1:9" ht="33">
      <c r="A13" s="2243" t="s">
        <v>586</v>
      </c>
      <c r="B13" s="2244" t="s">
        <v>572</v>
      </c>
      <c r="C13" s="2244" t="s">
        <v>573</v>
      </c>
      <c r="D13" s="2244" t="s">
        <v>587</v>
      </c>
      <c r="E13" s="2238" t="s">
        <v>577</v>
      </c>
      <c r="F13" s="2238" t="s">
        <v>578</v>
      </c>
      <c r="G13" s="2244" t="s">
        <v>588</v>
      </c>
      <c r="H13" s="2244" t="s">
        <v>589</v>
      </c>
      <c r="I13" s="2244" t="s">
        <v>590</v>
      </c>
    </row>
    <row r="14" spans="1:9" ht="16.5">
      <c r="A14" s="2245" t="s">
        <v>591</v>
      </c>
      <c r="B14" s="2244">
        <f>项目基本情况!C12</f>
        <v>95.95</v>
      </c>
      <c r="C14" s="2244">
        <f>项目基本情况!C13</f>
        <v>0</v>
      </c>
      <c r="D14" s="2244">
        <f ca="1">IF('数据-取费表'!B3="万元",IF(A14="估价对象1（结果表）",结果表!H121,'结果表 (1修多)'!H124),IF(A14="估价对象1（结果表）",结果表!H121,'结果表 (1修多)'!H124)/10000)</f>
        <v>392</v>
      </c>
      <c r="E14" s="2244">
        <f ca="1">ROUND(D14*10000/B14,0)</f>
        <v>40855</v>
      </c>
      <c r="F14" s="2244" t="e">
        <f ca="1">ROUND(D14*10000/C14,0)</f>
        <v>#DIV/0!</v>
      </c>
      <c r="G14" s="2244">
        <f ca="1">IF('数据-取费表'!B3="万元",IF(A14="估价对象1（结果表）",结果表!D125,'结果表 (1修多)'!D128),IF(A14="估价对象1（结果表）",结果表!D125,'结果表 (1修多)'!D128)/10000)</f>
        <v>392</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592</v>
      </c>
      <c r="B15" s="2247"/>
      <c r="C15" s="2247"/>
      <c r="D15" s="2247"/>
      <c r="E15" s="2244" t="e">
        <f t="shared" ref="E15:E23" si="2">ROUND(D15*10000/B15,0)</f>
        <v>#DIV/0!</v>
      </c>
      <c r="F15" s="2244" t="e">
        <f t="shared" ref="F15:F23" si="3">ROUND(D15*10000/C15,0)</f>
        <v>#DIV/0!</v>
      </c>
      <c r="G15" s="2248"/>
      <c r="H15" s="2248"/>
      <c r="I15" s="2247"/>
    </row>
    <row r="16" spans="1:9" ht="16.5">
      <c r="A16" s="2246" t="s">
        <v>593</v>
      </c>
      <c r="B16" s="2247"/>
      <c r="C16" s="2247"/>
      <c r="D16" s="2247"/>
      <c r="E16" s="2244" t="e">
        <f t="shared" si="2"/>
        <v>#DIV/0!</v>
      </c>
      <c r="F16" s="2244" t="e">
        <f t="shared" si="3"/>
        <v>#DIV/0!</v>
      </c>
      <c r="G16" s="2248"/>
      <c r="H16" s="2248"/>
      <c r="I16" s="2247"/>
    </row>
    <row r="17" spans="1:9" ht="16.5">
      <c r="A17" s="2246" t="s">
        <v>594</v>
      </c>
      <c r="B17" s="2247"/>
      <c r="C17" s="2247"/>
      <c r="D17" s="2247"/>
      <c r="E17" s="2244" t="e">
        <f t="shared" si="2"/>
        <v>#DIV/0!</v>
      </c>
      <c r="F17" s="2244" t="e">
        <f t="shared" si="3"/>
        <v>#DIV/0!</v>
      </c>
      <c r="G17" s="2248"/>
      <c r="H17" s="2248"/>
      <c r="I17" s="2247"/>
    </row>
    <row r="18" spans="1:9" ht="16.5">
      <c r="A18" s="2246" t="s">
        <v>595</v>
      </c>
      <c r="B18" s="2247"/>
      <c r="C18" s="2247"/>
      <c r="D18" s="2247"/>
      <c r="E18" s="2244" t="e">
        <f t="shared" si="2"/>
        <v>#DIV/0!</v>
      </c>
      <c r="F18" s="2244" t="e">
        <f t="shared" si="3"/>
        <v>#DIV/0!</v>
      </c>
      <c r="G18" s="2247"/>
      <c r="H18" s="2247"/>
      <c r="I18" s="2247"/>
    </row>
    <row r="19" spans="1:9" ht="16.5">
      <c r="A19" s="2246" t="s">
        <v>596</v>
      </c>
      <c r="B19" s="2247"/>
      <c r="C19" s="2247"/>
      <c r="D19" s="2247"/>
      <c r="E19" s="2244" t="e">
        <f t="shared" si="2"/>
        <v>#DIV/0!</v>
      </c>
      <c r="F19" s="2244" t="e">
        <f t="shared" si="3"/>
        <v>#DIV/0!</v>
      </c>
      <c r="G19" s="2247"/>
      <c r="H19" s="2247"/>
      <c r="I19" s="2247"/>
    </row>
    <row r="20" spans="1:9" ht="16.5">
      <c r="A20" s="2246" t="s">
        <v>597</v>
      </c>
      <c r="B20" s="2247"/>
      <c r="C20" s="2247"/>
      <c r="D20" s="2247"/>
      <c r="E20" s="2244" t="e">
        <f t="shared" si="2"/>
        <v>#DIV/0!</v>
      </c>
      <c r="F20" s="2244" t="e">
        <f t="shared" si="3"/>
        <v>#DIV/0!</v>
      </c>
      <c r="G20" s="2247"/>
      <c r="H20" s="2247"/>
      <c r="I20" s="2247"/>
    </row>
    <row r="21" spans="1:9" ht="16.5">
      <c r="A21" s="2246" t="s">
        <v>598</v>
      </c>
      <c r="B21" s="2247"/>
      <c r="C21" s="2247"/>
      <c r="D21" s="2247"/>
      <c r="E21" s="2244" t="e">
        <f t="shared" si="2"/>
        <v>#DIV/0!</v>
      </c>
      <c r="F21" s="2244" t="e">
        <f t="shared" si="3"/>
        <v>#DIV/0!</v>
      </c>
      <c r="G21" s="2247"/>
      <c r="H21" s="2247"/>
      <c r="I21" s="2247"/>
    </row>
    <row r="22" spans="1:9" ht="16.5">
      <c r="A22" s="2246" t="s">
        <v>599</v>
      </c>
      <c r="B22" s="2247"/>
      <c r="C22" s="2247"/>
      <c r="D22" s="2247"/>
      <c r="E22" s="2244" t="e">
        <f t="shared" si="2"/>
        <v>#DIV/0!</v>
      </c>
      <c r="F22" s="2244" t="e">
        <f t="shared" si="3"/>
        <v>#DIV/0!</v>
      </c>
      <c r="G22" s="2247"/>
      <c r="H22" s="2247"/>
      <c r="I22" s="2247"/>
    </row>
    <row r="23" spans="1:9" ht="16.5">
      <c r="A23" s="2246" t="s">
        <v>600</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H25" sqref="H25"/>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601</v>
      </c>
      <c r="B1" s="1943"/>
      <c r="C1" s="1943"/>
      <c r="D1" s="1943"/>
      <c r="E1" s="1943"/>
      <c r="F1" s="1943"/>
      <c r="G1" s="1943"/>
      <c r="H1" s="1943"/>
      <c r="I1" s="1943"/>
    </row>
    <row r="2" spans="1:12" ht="21.75" customHeight="1">
      <c r="A2" s="2841" t="str">
        <f>项目基本情况!B1</f>
        <v>北京市房地产抵押价值预评估</v>
      </c>
      <c r="B2" s="2841"/>
      <c r="C2" s="2841"/>
      <c r="D2" s="2841"/>
      <c r="E2" s="2841"/>
      <c r="F2" s="2841"/>
      <c r="G2" s="2841"/>
      <c r="H2" s="2841"/>
      <c r="I2" s="2841"/>
    </row>
    <row r="3" spans="1:12" ht="12.75">
      <c r="A3" s="2842" t="s">
        <v>602</v>
      </c>
      <c r="B3" s="2843"/>
      <c r="C3" s="2843"/>
      <c r="D3" s="2843"/>
      <c r="E3" s="2843"/>
      <c r="F3" s="2843"/>
      <c r="G3" s="2843"/>
      <c r="H3" s="2843"/>
      <c r="I3" s="2843"/>
    </row>
    <row r="4" spans="1:12" ht="14.25">
      <c r="A4" s="1944" t="s">
        <v>603</v>
      </c>
      <c r="B4" s="1945" t="s">
        <v>604</v>
      </c>
      <c r="C4" s="1946" t="s">
        <v>2319</v>
      </c>
      <c r="D4" s="1946" t="s">
        <v>2318</v>
      </c>
      <c r="E4" s="2844" t="s">
        <v>605</v>
      </c>
      <c r="F4" s="2845"/>
      <c r="G4" s="2845"/>
      <c r="H4" s="2845"/>
      <c r="I4" s="2846"/>
      <c r="K4" s="1940" t="str">
        <f>IF(ISNUMBER(FIND("比较法",结果表!C4)),"比较法",IF(ISNUMBER(FIND("成本法",结果表!C4)),"成本法",IF(ISNUMBER(FIND("假设开发法",结果表!C4)),"假设开发法",IF(ISNUMBER(FIND("收益法",结果表!C4)),"收益法","基准地价系数修正法"))))</f>
        <v>收益法</v>
      </c>
      <c r="L4" s="1940" t="str">
        <f>IF(ISNUMBER(FIND("比较法",结果表!D4)),"比较法",IF(ISNUMBER(FIND("成本法",结果表!D4)),"成本法",IF(ISNUMBER(FIND("假设开发法",结果表!D4)),"假设开发法",IF(ISNUMBER(FIND("收益法",结果表!D4)),"收益法","基准地价系数修正法"))))</f>
        <v>比较法</v>
      </c>
    </row>
    <row r="5" spans="1:12" ht="12.75">
      <c r="A5" s="2933" t="s">
        <v>606</v>
      </c>
      <c r="B5" s="2942">
        <v>25</v>
      </c>
      <c r="C5" s="2856"/>
      <c r="D5" s="2859"/>
      <c r="E5" s="1591" t="s">
        <v>607</v>
      </c>
      <c r="F5" s="1947"/>
      <c r="G5" s="1947"/>
      <c r="H5" s="1947"/>
      <c r="I5" s="2067"/>
    </row>
    <row r="6" spans="1:12" ht="12.75">
      <c r="A6" s="2933"/>
      <c r="B6" s="2942"/>
      <c r="C6" s="2858"/>
      <c r="D6" s="2859"/>
      <c r="E6" s="1591" t="s">
        <v>608</v>
      </c>
      <c r="F6" s="1947"/>
      <c r="G6" s="1947"/>
      <c r="H6" s="1947"/>
      <c r="I6" s="2067"/>
    </row>
    <row r="7" spans="1:12" ht="12.75">
      <c r="A7" s="2933"/>
      <c r="B7" s="2942"/>
      <c r="C7" s="2857"/>
      <c r="D7" s="2859"/>
      <c r="E7" s="1591" t="s">
        <v>609</v>
      </c>
      <c r="F7" s="1947"/>
      <c r="G7" s="1947"/>
      <c r="H7" s="1947"/>
      <c r="I7" s="2067"/>
    </row>
    <row r="8" spans="1:12" ht="12.75">
      <c r="A8" s="2933" t="s">
        <v>610</v>
      </c>
      <c r="B8" s="2942">
        <v>15</v>
      </c>
      <c r="C8" s="2856"/>
      <c r="D8" s="2859"/>
      <c r="E8" s="1591" t="s">
        <v>611</v>
      </c>
      <c r="F8" s="1947"/>
      <c r="G8" s="1947"/>
      <c r="H8" s="1947"/>
      <c r="I8" s="2067"/>
    </row>
    <row r="9" spans="1:12" ht="12.75">
      <c r="A9" s="2933"/>
      <c r="B9" s="2942"/>
      <c r="C9" s="2857"/>
      <c r="D9" s="2859"/>
      <c r="E9" s="1591" t="s">
        <v>612</v>
      </c>
      <c r="F9" s="1947"/>
      <c r="G9" s="1947"/>
      <c r="H9" s="1947"/>
      <c r="I9" s="2067"/>
    </row>
    <row r="10" spans="1:12" ht="12.75">
      <c r="A10" s="2933" t="s">
        <v>613</v>
      </c>
      <c r="B10" s="2942">
        <v>15</v>
      </c>
      <c r="C10" s="2856"/>
      <c r="D10" s="2859"/>
      <c r="E10" s="1591" t="s">
        <v>614</v>
      </c>
      <c r="F10" s="1947"/>
      <c r="G10" s="1947"/>
      <c r="H10" s="1947"/>
      <c r="I10" s="2067"/>
    </row>
    <row r="11" spans="1:12" ht="12.75">
      <c r="A11" s="2933"/>
      <c r="B11" s="2942"/>
      <c r="C11" s="2857"/>
      <c r="D11" s="2859"/>
      <c r="E11" s="1591" t="s">
        <v>615</v>
      </c>
      <c r="F11" s="1947"/>
      <c r="G11" s="1947"/>
      <c r="H11" s="1947"/>
      <c r="I11" s="2067"/>
    </row>
    <row r="12" spans="1:12" ht="12.75">
      <c r="A12" s="2933" t="s">
        <v>616</v>
      </c>
      <c r="B12" s="2942">
        <v>15</v>
      </c>
      <c r="C12" s="2856"/>
      <c r="D12" s="2859"/>
      <c r="E12" s="1591" t="s">
        <v>617</v>
      </c>
      <c r="F12" s="1947"/>
      <c r="G12" s="1947"/>
      <c r="H12" s="1947"/>
      <c r="I12" s="2067"/>
    </row>
    <row r="13" spans="1:12" ht="12.75">
      <c r="A13" s="2933"/>
      <c r="B13" s="2942"/>
      <c r="C13" s="2857"/>
      <c r="D13" s="2859"/>
      <c r="E13" s="1591" t="s">
        <v>618</v>
      </c>
      <c r="F13" s="1947"/>
      <c r="G13" s="1947"/>
      <c r="H13" s="1947"/>
      <c r="I13" s="2067"/>
    </row>
    <row r="14" spans="1:12" ht="12.75">
      <c r="A14" s="2933" t="s">
        <v>619</v>
      </c>
      <c r="B14" s="2942">
        <v>30</v>
      </c>
      <c r="C14" s="2856">
        <v>2</v>
      </c>
      <c r="D14" s="2859">
        <v>8</v>
      </c>
      <c r="E14" s="1591" t="s">
        <v>620</v>
      </c>
      <c r="F14" s="1947"/>
      <c r="G14" s="1947"/>
      <c r="H14" s="1947"/>
      <c r="I14" s="2067"/>
    </row>
    <row r="15" spans="1:12" ht="12.75">
      <c r="A15" s="2933"/>
      <c r="B15" s="2942"/>
      <c r="C15" s="2858"/>
      <c r="D15" s="2859"/>
      <c r="E15" s="1591" t="s">
        <v>621</v>
      </c>
      <c r="F15" s="1947"/>
      <c r="G15" s="1947"/>
      <c r="H15" s="1947"/>
      <c r="I15" s="2067"/>
    </row>
    <row r="16" spans="1:12" ht="12.75">
      <c r="A16" s="2933"/>
      <c r="B16" s="2942"/>
      <c r="C16" s="2857"/>
      <c r="D16" s="2859"/>
      <c r="E16" s="1591" t="s">
        <v>622</v>
      </c>
      <c r="F16" s="1947"/>
      <c r="G16" s="1947"/>
      <c r="H16" s="1947"/>
      <c r="I16" s="2067"/>
    </row>
    <row r="17" spans="1:35" ht="15">
      <c r="A17" s="1948" t="s">
        <v>623</v>
      </c>
      <c r="B17" s="1949"/>
      <c r="C17" s="1950">
        <f>SUM(C5:C16)</f>
        <v>2</v>
      </c>
      <c r="D17" s="1950">
        <f>SUM(D5:D16)</f>
        <v>8</v>
      </c>
      <c r="E17" s="1943"/>
      <c r="F17" s="1943"/>
      <c r="G17" s="1943"/>
      <c r="H17" s="1943"/>
      <c r="I17" s="1943"/>
    </row>
    <row r="18" spans="1:35" ht="15">
      <c r="A18" s="1951" t="s">
        <v>624</v>
      </c>
      <c r="B18" s="1952"/>
      <c r="C18" s="1953">
        <f>ROUND(C17/SUM(C17:D17),2)</f>
        <v>0.2</v>
      </c>
      <c r="D18" s="1953">
        <f>1-C18</f>
        <v>0.8</v>
      </c>
      <c r="E18" s="1943"/>
      <c r="F18" s="1943"/>
      <c r="G18" s="1943"/>
      <c r="H18" s="1943"/>
      <c r="I18" s="1943"/>
    </row>
    <row r="19" spans="1:35" ht="15">
      <c r="A19" s="1954" t="s">
        <v>625</v>
      </c>
      <c r="B19" s="1955" t="s">
        <v>626</v>
      </c>
      <c r="C19" s="1956">
        <f ca="1">SUMIF(INDIRECT("'"&amp;C4&amp;"'"&amp;"!A:A"),结果表!B19,INDIRECT("'"&amp;C4&amp;"'"&amp;"!B:B"))</f>
        <v>57</v>
      </c>
      <c r="D19" s="1957">
        <f ca="1">SUMIF(INDIRECT("'"&amp;D4&amp;"'"&amp;"!A:A"),结果表!B19,INDIRECT("'"&amp;D4&amp;"'"&amp;"!B:B"))</f>
        <v>246</v>
      </c>
      <c r="E19" s="1954" t="s">
        <v>627</v>
      </c>
      <c r="F19" s="1955" t="s">
        <v>626</v>
      </c>
      <c r="G19" s="1958">
        <f ca="1">ROUND(C19*$C$18+D19*$D$18,0)</f>
        <v>208</v>
      </c>
      <c r="H19" s="1959" t="str">
        <f>'数据-取费表'!B3</f>
        <v>万元</v>
      </c>
      <c r="I19" s="1943"/>
    </row>
    <row r="20" spans="1:35" ht="15">
      <c r="A20" s="1960"/>
      <c r="B20" s="1961" t="s">
        <v>628</v>
      </c>
      <c r="C20" s="1049">
        <f ca="1">SUMIF(INDIRECT("'"&amp;C4&amp;"'"&amp;"!A:A"),结果表!B20,INDIRECT("'"&amp;C4&amp;"'"&amp;"!B:B"))</f>
        <v>5903</v>
      </c>
      <c r="D20" s="1311">
        <f ca="1">SUMIF(INDIRECT("'"&amp;D4&amp;"'"&amp;"!A:A"),结果表!B20,INDIRECT("'"&amp;D4&amp;"'"&amp;"!B:B"))</f>
        <v>25614</v>
      </c>
      <c r="E20" s="1960"/>
      <c r="F20" s="1961" t="s">
        <v>628</v>
      </c>
      <c r="G20" s="1962">
        <f ca="1">ROUND(C20*$C$18+D20*$D$18,0)</f>
        <v>21672</v>
      </c>
      <c r="H20" s="1963" t="s">
        <v>629</v>
      </c>
      <c r="I20" s="1943"/>
    </row>
    <row r="21" spans="1:35" ht="15" customHeight="1">
      <c r="A21" s="1964"/>
      <c r="B21" s="1965"/>
      <c r="C21" s="1966"/>
      <c r="D21" s="1967"/>
      <c r="E21" s="1964"/>
      <c r="F21" s="1965"/>
      <c r="G21" s="1968"/>
      <c r="H21" s="1969"/>
      <c r="I21" s="1943"/>
    </row>
    <row r="22" spans="1:35" ht="14.25">
      <c r="A22" s="1970" t="s">
        <v>630</v>
      </c>
      <c r="B22" s="1971"/>
      <c r="C22" s="1972"/>
      <c r="D22" s="1973">
        <f ca="1">IF(C19&lt;D19,D19/C19-1,C19/D19-1)</f>
        <v>3.3157894736842106</v>
      </c>
      <c r="E22" s="1943"/>
      <c r="F22" s="1943"/>
      <c r="G22" s="1943"/>
      <c r="H22" s="1943"/>
      <c r="I22" s="1943"/>
    </row>
    <row r="23" spans="1:35" ht="12.75">
      <c r="A23" s="1943"/>
      <c r="B23" s="1943"/>
      <c r="C23" s="1943"/>
      <c r="D23" s="1943"/>
      <c r="E23" s="1943"/>
      <c r="F23" s="1943"/>
      <c r="G23" s="1943"/>
      <c r="H23" s="1943"/>
      <c r="I23" s="1943"/>
    </row>
    <row r="24" spans="1:35" ht="21.75" customHeight="1">
      <c r="A24" s="2934" t="s">
        <v>631</v>
      </c>
      <c r="B24" s="1955" t="s">
        <v>626</v>
      </c>
      <c r="C24" s="1958">
        <f>D30</f>
        <v>0</v>
      </c>
      <c r="D24" s="1974"/>
      <c r="E24" s="1943"/>
      <c r="F24" s="1943"/>
      <c r="G24" s="1943"/>
      <c r="H24" s="1943"/>
      <c r="I24" s="1943"/>
    </row>
    <row r="25" spans="1:35" ht="21.75" customHeight="1">
      <c r="A25" s="2935"/>
      <c r="B25" s="1961" t="s">
        <v>628</v>
      </c>
      <c r="C25" s="1975">
        <f>IF(B30=0,0,C30)</f>
        <v>0</v>
      </c>
      <c r="D25" s="1976"/>
      <c r="E25" s="1943"/>
      <c r="F25" s="1943"/>
      <c r="G25" s="1943"/>
      <c r="H25" s="1943"/>
      <c r="I25" s="1943"/>
    </row>
    <row r="26" spans="1:35" ht="13.5" customHeight="1">
      <c r="A26" s="1977" t="s">
        <v>632</v>
      </c>
      <c r="B26" s="1978" t="s">
        <v>633</v>
      </c>
      <c r="C26" s="1978" t="s">
        <v>634</v>
      </c>
      <c r="D26" s="1979" t="s">
        <v>635</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636</v>
      </c>
      <c r="B30" s="1978"/>
      <c r="C30" s="1978"/>
      <c r="D30" s="1978"/>
      <c r="E30" s="1983" t="s">
        <v>637</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638</v>
      </c>
      <c r="B32" s="2217" t="str">
        <f>'数据-取费表'!B4</f>
        <v>楼面单价</v>
      </c>
      <c r="C32" s="2218">
        <f ca="1">IF(B32="总价",G19-C24,G20-C25)</f>
        <v>21672</v>
      </c>
      <c r="D32" s="1943" t="str">
        <f>IF(B32="楼面单价","元/平方米",H19)</f>
        <v>元/平方米</v>
      </c>
      <c r="E32" s="1943"/>
      <c r="F32" s="1943"/>
      <c r="G32" s="1943"/>
      <c r="H32" s="1943"/>
      <c r="I32" s="1943"/>
    </row>
    <row r="33" spans="1:16" ht="15">
      <c r="A33" s="2219" t="s">
        <v>639</v>
      </c>
      <c r="B33" s="2220"/>
      <c r="C33" s="2221"/>
      <c r="D33" s="2222"/>
      <c r="E33" s="2223" t="s">
        <v>640</v>
      </c>
      <c r="F33" s="2224" t="str">
        <f>IF(B32="楼面单价","取值（单价）","取值（总价）")</f>
        <v>取值（单价）</v>
      </c>
      <c r="G33" s="1943"/>
      <c r="H33" s="1943"/>
      <c r="I33" s="1943"/>
    </row>
    <row r="34" spans="1:16" ht="15">
      <c r="A34" s="2225"/>
      <c r="B34" s="2226" t="s">
        <v>641</v>
      </c>
      <c r="C34" s="2227">
        <f ca="1">IF(D33="自定义",F34,C32-C35)</f>
        <v>6068</v>
      </c>
      <c r="D34" s="2228">
        <f ca="1">IF(D33="自定义",ROUND(C34/C32,3),1-D35)</f>
        <v>0.28000000000000003</v>
      </c>
      <c r="E34" s="2229" t="s">
        <v>642</v>
      </c>
      <c r="F34" s="2230">
        <v>2000</v>
      </c>
      <c r="G34" s="1943"/>
      <c r="H34" s="1943"/>
      <c r="I34" s="1943"/>
    </row>
    <row r="35" spans="1:16" ht="15">
      <c r="A35" s="1996"/>
      <c r="B35" s="2231" t="s">
        <v>643</v>
      </c>
      <c r="C35" s="2232">
        <f ca="1">IF(D33="自定义",F35,ROUND(C32*D35,0))</f>
        <v>15604</v>
      </c>
      <c r="D35" s="2233">
        <f ca="1">IF(D33="自定义",ROUND(C35/C32,3),IF(D33="成本法成本比率",成本法!C56,IF(D33="收益法收益比率",收益法!J38,收益法!J41)))</f>
        <v>0.72</v>
      </c>
      <c r="E35" s="2234" t="s">
        <v>644</v>
      </c>
      <c r="F35" s="2017">
        <v>4460</v>
      </c>
      <c r="G35" s="1943"/>
      <c r="H35" s="1943"/>
      <c r="I35" s="1943"/>
    </row>
    <row r="36" spans="1:16" ht="15">
      <c r="A36" s="2936" t="s">
        <v>645</v>
      </c>
      <c r="B36" s="1999" t="s">
        <v>646</v>
      </c>
      <c r="C36" s="2000">
        <v>0</v>
      </c>
      <c r="D36" s="2001"/>
      <c r="E36" s="2002"/>
      <c r="F36" s="2002"/>
      <c r="G36" s="1943"/>
      <c r="H36" s="1943"/>
      <c r="I36" s="1943"/>
    </row>
    <row r="37" spans="1:16" ht="15">
      <c r="A37" s="2937"/>
      <c r="B37" s="2003" t="s">
        <v>647</v>
      </c>
      <c r="C37" s="2004">
        <v>0</v>
      </c>
      <c r="D37" s="1952"/>
      <c r="E37" s="1952"/>
      <c r="F37" s="2002"/>
      <c r="G37" s="1952"/>
      <c r="H37" s="1952"/>
      <c r="I37" s="1952"/>
    </row>
    <row r="38" spans="1:16" ht="15">
      <c r="A38" s="2938"/>
      <c r="B38" s="2005" t="s">
        <v>648</v>
      </c>
      <c r="C38" s="2006">
        <v>0</v>
      </c>
      <c r="D38" s="2007" t="s">
        <v>649</v>
      </c>
      <c r="E38" s="1952"/>
      <c r="F38" s="2002"/>
      <c r="G38" s="1952"/>
      <c r="H38" s="1952"/>
      <c r="I38" s="1952"/>
    </row>
    <row r="39" spans="1:16" ht="15">
      <c r="A39" s="1960" t="s">
        <v>650</v>
      </c>
      <c r="B39" s="2008" t="s">
        <v>633</v>
      </c>
      <c r="C39" s="2009" t="s">
        <v>634</v>
      </c>
      <c r="D39" s="2009" t="s">
        <v>651</v>
      </c>
      <c r="E39" s="2010" t="s">
        <v>635</v>
      </c>
      <c r="F39" s="2002"/>
      <c r="G39" s="1952"/>
      <c r="H39" s="1952"/>
      <c r="I39" s="1952"/>
    </row>
    <row r="40" spans="1:16" ht="14.25">
      <c r="A40" s="2011" t="s">
        <v>652</v>
      </c>
      <c r="B40" s="2012"/>
      <c r="C40" s="1408"/>
      <c r="D40" s="1408"/>
      <c r="E40" s="2013"/>
      <c r="F40" s="2002"/>
      <c r="G40" s="1952"/>
      <c r="H40" s="1952"/>
      <c r="I40" s="1952"/>
    </row>
    <row r="41" spans="1:16" ht="14.25">
      <c r="A41" s="2011" t="s">
        <v>653</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654</v>
      </c>
      <c r="B44" s="2021"/>
      <c r="C44" s="2021"/>
      <c r="D44" s="2022"/>
      <c r="E44" s="2022"/>
      <c r="F44" s="2023"/>
      <c r="G44" s="2023"/>
      <c r="H44" s="2023"/>
      <c r="I44" s="2023"/>
      <c r="J44" s="2069" t="s">
        <v>655</v>
      </c>
      <c r="K44" s="2070"/>
      <c r="L44" s="2070"/>
      <c r="M44" s="2070"/>
      <c r="N44" s="2070"/>
      <c r="O44" s="2070"/>
      <c r="P44" s="1940"/>
    </row>
    <row r="45" spans="1:16" ht="14.25" customHeight="1">
      <c r="A45" s="2847" t="s">
        <v>656</v>
      </c>
      <c r="B45" s="2848"/>
      <c r="C45" s="2849"/>
      <c r="D45" s="1549">
        <f ca="1">ROUND(I102*F45,0)</f>
        <v>208</v>
      </c>
      <c r="E45" s="2024" t="s">
        <v>657</v>
      </c>
      <c r="F45" s="2025">
        <v>1</v>
      </c>
      <c r="G45" s="2026" t="s">
        <v>658</v>
      </c>
      <c r="H45" s="1943"/>
      <c r="I45" s="1943"/>
      <c r="J45" s="2850" t="s">
        <v>659</v>
      </c>
      <c r="K45" s="2850"/>
      <c r="L45" s="2850"/>
      <c r="M45" s="2850"/>
      <c r="N45" s="2850"/>
      <c r="O45" s="2850"/>
      <c r="P45" s="1940"/>
    </row>
    <row r="46" spans="1:16" ht="14.25" customHeight="1">
      <c r="A46" s="2851" t="s">
        <v>660</v>
      </c>
      <c r="B46" s="2852"/>
      <c r="C46" s="2852"/>
      <c r="D46" s="2852"/>
      <c r="E46" s="2852"/>
      <c r="F46" s="2852"/>
      <c r="G46" s="2853"/>
      <c r="H46" s="2027"/>
      <c r="I46" s="1354"/>
      <c r="J46" s="1473">
        <v>1</v>
      </c>
      <c r="K46" s="2850" t="s">
        <v>661</v>
      </c>
      <c r="L46" s="2850"/>
      <c r="M46" s="2854" t="str">
        <f>项目基本情况!B1</f>
        <v>北京市房地产抵押价值预评估</v>
      </c>
      <c r="N46" s="2854"/>
      <c r="O46" s="2854"/>
      <c r="P46" s="1940"/>
    </row>
    <row r="47" spans="1:16" ht="12" customHeight="1">
      <c r="A47" s="2028" t="s">
        <v>662</v>
      </c>
      <c r="B47" s="2029"/>
      <c r="C47" s="2030"/>
      <c r="D47" s="2031" t="s">
        <v>663</v>
      </c>
      <c r="E47" s="1401" t="s">
        <v>664</v>
      </c>
      <c r="F47" s="1762" t="s">
        <v>665</v>
      </c>
      <c r="G47" s="2032" t="s">
        <v>666</v>
      </c>
      <c r="H47" s="2027"/>
      <c r="I47" s="1354"/>
      <c r="J47" s="1473">
        <v>2</v>
      </c>
      <c r="K47" s="2850" t="s">
        <v>667</v>
      </c>
      <c r="L47" s="2850"/>
      <c r="M47" s="2855">
        <f>'数据-取费表'!B2</f>
        <v>43199</v>
      </c>
      <c r="N47" s="2855"/>
      <c r="O47" s="2855"/>
      <c r="P47" s="1940"/>
    </row>
    <row r="48" spans="1:16" ht="25.5">
      <c r="A48" s="2860" t="s">
        <v>668</v>
      </c>
      <c r="B48" s="2861"/>
      <c r="C48" s="2861"/>
      <c r="D48" s="1591">
        <f ca="1">IF(H48="情况1",0,IF(H48="情况2",D52,IF(H48="情况3",D53,IF(H48="情况4",D54))))</f>
        <v>15</v>
      </c>
      <c r="E48" s="1604" t="str">
        <f>IF(H48="情况4","(销售额-原购置价)×税（费）率","销售额×税（费）率")</f>
        <v>销售额×税（费）率</v>
      </c>
      <c r="F48" s="2033">
        <f>IF(H48="情况1","免征",'数据-取费表'!E29)</f>
        <v>7.8400000000000011E-2</v>
      </c>
      <c r="G48" s="2034" t="s">
        <v>669</v>
      </c>
      <c r="H48" s="2035" t="s">
        <v>670</v>
      </c>
      <c r="I48" s="2027"/>
      <c r="J48" s="1473">
        <v>3</v>
      </c>
      <c r="K48" s="2850" t="s">
        <v>671</v>
      </c>
      <c r="L48" s="2850"/>
      <c r="M48" s="2854">
        <f ca="1">I102</f>
        <v>208</v>
      </c>
      <c r="N48" s="2854"/>
      <c r="O48" s="2854"/>
      <c r="P48" s="1940"/>
    </row>
    <row r="49" spans="1:16" ht="25.5" customHeight="1">
      <c r="A49" s="2036" t="s">
        <v>672</v>
      </c>
      <c r="B49" s="2862" t="s">
        <v>673</v>
      </c>
      <c r="C49" s="2862"/>
      <c r="D49" s="1644">
        <v>0</v>
      </c>
      <c r="E49" s="2037" t="s">
        <v>674</v>
      </c>
      <c r="F49" s="2038" t="s">
        <v>121</v>
      </c>
      <c r="G49" s="2863"/>
      <c r="H49" s="1943"/>
      <c r="I49" s="2072"/>
      <c r="J49" s="1473">
        <v>4</v>
      </c>
      <c r="K49" s="2850" t="str">
        <f>IF(项目基本情况!F5="房地产抵押价值","房地产抵押价值","抵押担保权已注销时的房地产抵押价值")</f>
        <v>房地产抵押价值</v>
      </c>
      <c r="L49" s="2850"/>
      <c r="M49" s="2854">
        <f ca="1">IF(项目基本情况!F5="房地产抵押价值",I110,I112)</f>
        <v>208</v>
      </c>
      <c r="N49" s="2854"/>
      <c r="O49" s="2854"/>
      <c r="P49" s="1940"/>
    </row>
    <row r="50" spans="1:16" ht="25.5" customHeight="1">
      <c r="A50" s="2039"/>
      <c r="B50" s="2862" t="s">
        <v>675</v>
      </c>
      <c r="C50" s="2862"/>
      <c r="D50" s="1670"/>
      <c r="E50" s="2040"/>
      <c r="F50" s="2041"/>
      <c r="G50" s="2864"/>
      <c r="H50" s="1943"/>
      <c r="I50" s="2072"/>
      <c r="J50" s="2850" t="s">
        <v>676</v>
      </c>
      <c r="K50" s="2850"/>
      <c r="L50" s="2850"/>
      <c r="M50" s="2850"/>
      <c r="N50" s="2850"/>
      <c r="O50" s="2850"/>
      <c r="P50" s="1940"/>
    </row>
    <row r="51" spans="1:16" ht="12" customHeight="1">
      <c r="A51" s="2042"/>
      <c r="B51" s="2862" t="s">
        <v>677</v>
      </c>
      <c r="C51" s="2862"/>
      <c r="D51" s="2043"/>
      <c r="E51" s="443"/>
      <c r="F51" s="2041"/>
      <c r="G51" s="2865"/>
      <c r="H51" s="1943"/>
      <c r="I51" s="2072"/>
      <c r="J51" s="2071" t="s">
        <v>678</v>
      </c>
      <c r="K51" s="2850" t="s">
        <v>679</v>
      </c>
      <c r="L51" s="2850"/>
      <c r="M51" s="2071" t="s">
        <v>680</v>
      </c>
      <c r="N51" s="2071" t="s">
        <v>681</v>
      </c>
      <c r="O51" s="2071" t="s">
        <v>682</v>
      </c>
      <c r="P51" s="1940"/>
    </row>
    <row r="52" spans="1:16" ht="24" customHeight="1">
      <c r="A52" s="2044" t="s">
        <v>683</v>
      </c>
      <c r="B52" s="2862" t="s">
        <v>684</v>
      </c>
      <c r="C52" s="2862"/>
      <c r="D52" s="2043">
        <f ca="1">ROUND(D45*'数据-取费表'!E29/(1+'数据-取费表'!F30),0)</f>
        <v>15</v>
      </c>
      <c r="E52" s="1404" t="s">
        <v>685</v>
      </c>
      <c r="F52" s="2045">
        <f>'数据-取费表'!E29</f>
        <v>7.8400000000000011E-2</v>
      </c>
      <c r="G52" s="2046"/>
      <c r="H52" s="1943"/>
      <c r="I52" s="2072"/>
      <c r="J52" s="1473">
        <v>1</v>
      </c>
      <c r="K52" s="2866" t="s">
        <v>686</v>
      </c>
      <c r="L52" s="2866"/>
      <c r="M52" s="2073">
        <f ca="1">D48</f>
        <v>15</v>
      </c>
      <c r="N52" s="1473" t="str">
        <f>E48</f>
        <v>销售额×税（费）率</v>
      </c>
      <c r="O52" s="2074">
        <f>F48</f>
        <v>7.8400000000000011E-2</v>
      </c>
      <c r="P52" s="1940"/>
    </row>
    <row r="53" spans="1:16" ht="12" customHeight="1">
      <c r="A53" s="2044" t="s">
        <v>687</v>
      </c>
      <c r="B53" s="2867" t="s">
        <v>688</v>
      </c>
      <c r="C53" s="2815"/>
      <c r="D53" s="2043">
        <f ca="1">ROUND(D45*'数据-取费表'!E29/(1+'数据-取费表'!F30),0)</f>
        <v>15</v>
      </c>
      <c r="E53" s="1404" t="s">
        <v>685</v>
      </c>
      <c r="F53" s="2045">
        <f>'数据-取费表'!E29</f>
        <v>7.8400000000000011E-2</v>
      </c>
      <c r="G53" s="2046"/>
      <c r="H53" s="1943"/>
      <c r="I53" s="2072"/>
      <c r="J53" s="1473">
        <v>2</v>
      </c>
      <c r="K53" s="2866" t="s">
        <v>689</v>
      </c>
      <c r="L53" s="2866"/>
      <c r="M53" s="2073">
        <f t="shared" ref="M53:O54" ca="1" si="1">D55</f>
        <v>0</v>
      </c>
      <c r="N53" s="1473" t="str">
        <f t="shared" si="1"/>
        <v>销售额×税（费）率</v>
      </c>
      <c r="O53" s="2074">
        <f t="shared" si="1"/>
        <v>5.0000000000000001E-4</v>
      </c>
      <c r="P53" s="1940"/>
    </row>
    <row r="54" spans="1:16" ht="12" customHeight="1">
      <c r="A54" s="2044" t="s">
        <v>690</v>
      </c>
      <c r="B54" s="2867" t="s">
        <v>691</v>
      </c>
      <c r="C54" s="2815"/>
      <c r="D54" s="2043">
        <f ca="1">C68</f>
        <v>15</v>
      </c>
      <c r="E54" s="443" t="s">
        <v>692</v>
      </c>
      <c r="F54" s="2045">
        <f>'数据-取费表'!E29</f>
        <v>7.8400000000000011E-2</v>
      </c>
      <c r="G54" s="2046"/>
      <c r="H54" s="2048"/>
      <c r="I54" s="2072"/>
      <c r="J54" s="1473">
        <v>3</v>
      </c>
      <c r="K54" s="2866" t="s">
        <v>693</v>
      </c>
      <c r="L54" s="2866"/>
      <c r="M54" s="2073">
        <f t="shared" ca="1" si="1"/>
        <v>115</v>
      </c>
      <c r="N54" s="1473" t="str">
        <f t="shared" si="1"/>
        <v>增值额×税（费）率</v>
      </c>
      <c r="O54" s="2075" t="str">
        <f t="shared" si="1"/>
        <v>——</v>
      </c>
      <c r="P54" s="1940"/>
    </row>
    <row r="55" spans="1:16" ht="24" customHeight="1">
      <c r="A55" s="2810" t="s">
        <v>694</v>
      </c>
      <c r="B55" s="2861"/>
      <c r="C55" s="2861"/>
      <c r="D55" s="1642">
        <f ca="1">IF(H55="个人住宅",0,ROUND(D45*I55,0))</f>
        <v>0</v>
      </c>
      <c r="E55" s="1404" t="s">
        <v>695</v>
      </c>
      <c r="F55" s="2045">
        <f>IF(H55="正常",I55,"免征")</f>
        <v>5.0000000000000001E-4</v>
      </c>
      <c r="G55" s="2046"/>
      <c r="H55" s="2035" t="s">
        <v>696</v>
      </c>
      <c r="I55" s="2076">
        <f>'数据-取费表'!E37</f>
        <v>5.0000000000000001E-4</v>
      </c>
      <c r="J55" s="1473">
        <f>IF(H59="非个人房产","",4)</f>
        <v>4</v>
      </c>
      <c r="K55" s="2866" t="str">
        <f>IF(H59="非个人房产","——","个人所得税")</f>
        <v>个人所得税</v>
      </c>
      <c r="L55" s="2866"/>
      <c r="M55" s="2077">
        <f ca="1">D59</f>
        <v>2</v>
      </c>
      <c r="N55" s="2078" t="str">
        <f>E59</f>
        <v>销售额×税（费）率</v>
      </c>
      <c r="O55" s="2079">
        <f>F59</f>
        <v>0.01</v>
      </c>
      <c r="P55" s="1940"/>
    </row>
    <row r="56" spans="1:16" ht="24.75">
      <c r="A56" s="2810" t="s">
        <v>697</v>
      </c>
      <c r="B56" s="2861"/>
      <c r="C56" s="2861"/>
      <c r="D56" s="1642">
        <f ca="1">IF(H56="个人住宅",D57,D58)</f>
        <v>115</v>
      </c>
      <c r="E56" s="1404" t="s">
        <v>698</v>
      </c>
      <c r="F56" s="2045" t="str">
        <f>IF(H56="正常",F58,"免征")</f>
        <v>——</v>
      </c>
      <c r="G56" s="2050" t="s">
        <v>699</v>
      </c>
      <c r="H56" s="2051" t="s">
        <v>696</v>
      </c>
      <c r="I56" s="2053"/>
      <c r="J56" s="1473" t="str">
        <f>IF(项目基本情况!I6="上海银行",IF(J55="",4,J55+1),"")</f>
        <v/>
      </c>
      <c r="K56" s="2868" t="str">
        <f>IF(项目基本情况!I6="上海银行","其他处置费用","")</f>
        <v/>
      </c>
      <c r="L56" s="2869"/>
      <c r="M56" s="2073" t="str">
        <f>IF(项目基本情况!I6="上海银行",M69,"")</f>
        <v/>
      </c>
      <c r="N56" s="2870" t="str">
        <f>IF(项目基本情况!I6="上海银行","包含处置中涉及的律师、诉讼、拍卖、评估等费用","")</f>
        <v/>
      </c>
      <c r="O56" s="2871"/>
      <c r="P56" s="1940"/>
    </row>
    <row r="57" spans="1:16" ht="12.75">
      <c r="A57" s="2044" t="s">
        <v>672</v>
      </c>
      <c r="B57" s="2844" t="s">
        <v>700</v>
      </c>
      <c r="C57" s="2846"/>
      <c r="D57" s="2052">
        <v>0</v>
      </c>
      <c r="E57" s="2037" t="s">
        <v>674</v>
      </c>
      <c r="F57" s="1358"/>
      <c r="G57" s="2046"/>
      <c r="H57" s="2053"/>
      <c r="I57" s="2053"/>
      <c r="J57" s="2866">
        <f>IF(AND(J55="",J56=""),4,IF(项目基本情况!I6="上海银行",J56+1,J55+1))</f>
        <v>5</v>
      </c>
      <c r="K57" s="2866" t="s">
        <v>701</v>
      </c>
      <c r="L57" s="2080" t="s">
        <v>702</v>
      </c>
      <c r="M57" s="2081"/>
      <c r="N57" s="2082">
        <f ca="1">SUMIF(M52:M56,"&lt;9e307")</f>
        <v>132</v>
      </c>
      <c r="O57" s="2083"/>
      <c r="P57" s="2084">
        <f ca="1">N57/M49</f>
        <v>0.63461538461538458</v>
      </c>
    </row>
    <row r="58" spans="1:16" ht="24.75">
      <c r="A58" s="2044" t="s">
        <v>683</v>
      </c>
      <c r="B58" s="2844" t="s">
        <v>703</v>
      </c>
      <c r="C58" s="2845"/>
      <c r="D58" s="1642">
        <f ca="1">IF(H58="转让取得",C81,C97)</f>
        <v>115</v>
      </c>
      <c r="E58" s="1404" t="s">
        <v>698</v>
      </c>
      <c r="F58" s="1401" t="s">
        <v>121</v>
      </c>
      <c r="G58" s="2046"/>
      <c r="H58" s="2051" t="s">
        <v>704</v>
      </c>
      <c r="I58" s="2053"/>
      <c r="J58" s="2866"/>
      <c r="K58" s="2866"/>
      <c r="L58" s="2080" t="s">
        <v>705</v>
      </c>
      <c r="M58" s="2085"/>
      <c r="N58" s="2086" t="str">
        <f ca="1">IF(H19="元",NUMBERSTRING(INT(N57),2)&amp;"元整",NUMBERSTRING(INT(N57*10000),2)&amp;"元整")</f>
        <v>壹佰叁拾贰万元整</v>
      </c>
      <c r="O58" s="2087"/>
      <c r="P58" s="1940"/>
    </row>
    <row r="59" spans="1:16" ht="25.5">
      <c r="A59" s="2811" t="s">
        <v>706</v>
      </c>
      <c r="B59" s="2834"/>
      <c r="C59" s="2834"/>
      <c r="D59" s="2056">
        <f ca="1">IF(H59="非个人房产","——",IF(H59="个人住宅",0,ROUND(D45*I59,0)))</f>
        <v>2</v>
      </c>
      <c r="E59" s="2057" t="str">
        <f>IF(H59="非个人房产","——","销售额×税（费）率")</f>
        <v>销售额×税（费）率</v>
      </c>
      <c r="F59" s="2058">
        <f>IF(H59="非个人房产","——",IF(H59="个人住宅","免征",I59))</f>
        <v>0.01</v>
      </c>
      <c r="G59" s="2059" t="s">
        <v>699</v>
      </c>
      <c r="H59" s="2051" t="s">
        <v>707</v>
      </c>
      <c r="I59" s="2088">
        <v>0.01</v>
      </c>
      <c r="J59" s="2877">
        <f>J57+1</f>
        <v>6</v>
      </c>
      <c r="K59" s="2866" t="s">
        <v>708</v>
      </c>
      <c r="L59" s="1473" t="s">
        <v>702</v>
      </c>
      <c r="M59" s="2089"/>
      <c r="N59" s="2090">
        <f ca="1">M49-N57</f>
        <v>76</v>
      </c>
      <c r="O59" s="2091"/>
      <c r="P59" s="1940"/>
    </row>
    <row r="60" spans="1:16" ht="12" customHeight="1">
      <c r="A60" s="2060"/>
      <c r="B60" s="1943"/>
      <c r="C60" s="1943"/>
      <c r="D60" s="1943"/>
      <c r="E60" s="2053"/>
      <c r="F60" s="2053"/>
      <c r="G60" s="2053"/>
      <c r="H60" s="2018"/>
      <c r="I60" s="1943"/>
      <c r="J60" s="2878"/>
      <c r="K60" s="2866"/>
      <c r="L60" s="2080" t="s">
        <v>705</v>
      </c>
      <c r="M60" s="2085"/>
      <c r="N60" s="2086" t="str">
        <f ca="1">IF(H19="元",NUMBERSTRING(INT(N59),2)&amp;"元整",NUMBERSTRING(INT(N59*10000),2)&amp;"元整")</f>
        <v>柒拾陆万元整</v>
      </c>
      <c r="O60" s="2087"/>
      <c r="P60" s="1940"/>
    </row>
    <row r="61" spans="1:16" ht="12.75">
      <c r="A61" s="2872" t="s">
        <v>709</v>
      </c>
      <c r="B61" s="2872"/>
      <c r="C61" s="2872"/>
      <c r="D61" s="2872"/>
      <c r="E61" s="2872"/>
      <c r="F61" s="2053"/>
      <c r="G61" s="2053"/>
      <c r="H61" s="2018"/>
      <c r="I61" s="1943"/>
      <c r="J61" s="1473">
        <f>J59+1</f>
        <v>7</v>
      </c>
      <c r="K61" s="2866" t="s">
        <v>710</v>
      </c>
      <c r="L61" s="2866"/>
      <c r="M61" s="2092"/>
      <c r="N61" s="2093">
        <f ca="1">IF(H19="元",ROUND(N59/项目基本情况!C12,0),ROUND(N59*10000/项目基本情况!C12,0))</f>
        <v>7921</v>
      </c>
      <c r="O61" s="2094"/>
      <c r="P61" s="1940"/>
    </row>
    <row r="62" spans="1:16" ht="12.75">
      <c r="A62" s="2873" t="s">
        <v>711</v>
      </c>
      <c r="B62" s="2874"/>
      <c r="C62" s="454"/>
      <c r="D62" s="454" t="s">
        <v>712</v>
      </c>
      <c r="E62" s="2061" t="s">
        <v>666</v>
      </c>
      <c r="F62" s="2053"/>
      <c r="G62" s="2053"/>
      <c r="H62" s="2018"/>
      <c r="I62" s="1943"/>
      <c r="J62" s="1940"/>
      <c r="K62" s="1940"/>
      <c r="L62" s="1940"/>
      <c r="M62" s="1940"/>
      <c r="N62" s="1940"/>
      <c r="O62" s="1940"/>
      <c r="P62" s="1940"/>
    </row>
    <row r="63" spans="1:16" ht="12.75">
      <c r="A63" s="2062">
        <v>1</v>
      </c>
      <c r="B63" s="2063" t="s">
        <v>713</v>
      </c>
      <c r="C63" s="2064">
        <f ca="1">ROUND((C64+C65)/(1+'数据-取费表'!F30),0)</f>
        <v>194</v>
      </c>
      <c r="D63" s="2065"/>
      <c r="E63" s="2066"/>
      <c r="F63" s="2053"/>
      <c r="G63" s="2053"/>
      <c r="H63" s="2018"/>
      <c r="I63" s="1943"/>
      <c r="J63" s="2879" t="s">
        <v>714</v>
      </c>
      <c r="K63" s="2095" t="s">
        <v>715</v>
      </c>
      <c r="L63" s="2096">
        <f ca="1">IF(M49&gt;10000,M49*0.5%,IF(AND(M49&gt;1000,M49&lt;=10000),M49*1%,IF(AND(M49&gt;100,M49&lt;=1000),M49*3%,IF(AND(M49&gt;10,M49&lt;=100),M49*5%,M49*8%))))</f>
        <v>6.24</v>
      </c>
      <c r="M63" s="1401">
        <f ca="1">ROUND(L63,1)</f>
        <v>6.2</v>
      </c>
      <c r="N63" s="1940"/>
      <c r="O63" s="1940"/>
      <c r="P63" s="1940"/>
    </row>
    <row r="64" spans="1:16" ht="12.75">
      <c r="A64" s="2097" t="s">
        <v>716</v>
      </c>
      <c r="B64" s="405" t="s">
        <v>717</v>
      </c>
      <c r="C64" s="2098">
        <f ca="1">D45</f>
        <v>208</v>
      </c>
      <c r="D64" s="431" t="s">
        <v>121</v>
      </c>
      <c r="E64" s="2099"/>
      <c r="F64" s="2053"/>
      <c r="G64" s="2053"/>
      <c r="H64" s="2018"/>
      <c r="I64" s="1943"/>
      <c r="J64" s="2879"/>
      <c r="K64" s="2095" t="s">
        <v>718</v>
      </c>
      <c r="L64" s="2096">
        <f ca="1">IF(M49&gt;2000,M49*0.5%,IF(AND(M49&gt;1000,M49&lt;=2000),M49*0.6%,IF(AND(M49&gt;500,M49&lt;=1000),M49*0.7%,IF(AND(M49&gt;200,M49&lt;=500),M49*0.8%,IF(AND(M49&gt;100,M49&lt;=200),M49*0.9%,IF(AND(M49&gt;50,M49&lt;=100),M49*1%,IF(AND(M49&gt;20,M49&lt;=50),M49*1.5%,IF(AND(M49&gt;10,M49&lt;=20),M49*2%,IF(AND(M49&gt;1,M49&lt;=10),M49*2.5%)))))))))</f>
        <v>1.6640000000000001</v>
      </c>
      <c r="M64" s="1401">
        <f t="shared" ref="M64:M65" ca="1" si="2">ROUND(L64,1)</f>
        <v>1.7</v>
      </c>
      <c r="N64" s="1940" t="s">
        <v>719</v>
      </c>
      <c r="O64" s="1940"/>
      <c r="P64" s="1940"/>
    </row>
    <row r="65" spans="1:35" ht="12.75">
      <c r="A65" s="2097" t="s">
        <v>720</v>
      </c>
      <c r="B65" s="405" t="s">
        <v>721</v>
      </c>
      <c r="C65" s="2100"/>
      <c r="D65" s="431"/>
      <c r="E65" s="2099"/>
      <c r="F65" s="2053"/>
      <c r="G65" s="2053"/>
      <c r="H65" s="2018"/>
      <c r="I65" s="1943"/>
      <c r="J65" s="2879"/>
      <c r="K65" s="2095" t="s">
        <v>722</v>
      </c>
      <c r="L65" s="2096">
        <f ca="1">IF(M49&gt;1000,M49*0.1%,IF(AND(M49&gt;500,M49&lt;=1000),M49*0.5%,IF(AND(M49&gt;50,M49&lt;=500),M49*1%,IF(AND(M49&gt;1,M49&lt;=50),M49*1.5%))))</f>
        <v>2.08</v>
      </c>
      <c r="M65" s="1401">
        <f t="shared" ca="1" si="2"/>
        <v>2.1</v>
      </c>
      <c r="N65" s="1940" t="s">
        <v>719</v>
      </c>
      <c r="O65" s="1940"/>
      <c r="P65" s="1940"/>
    </row>
    <row r="66" spans="1:35" ht="12.75">
      <c r="A66" s="2101" t="s">
        <v>723</v>
      </c>
      <c r="B66" s="2102" t="s">
        <v>724</v>
      </c>
      <c r="C66" s="2103"/>
      <c r="D66" s="500" t="s">
        <v>121</v>
      </c>
      <c r="E66" s="2104" t="s">
        <v>725</v>
      </c>
      <c r="F66" s="2053"/>
      <c r="G66" s="2053"/>
      <c r="H66" s="2018"/>
      <c r="I66" s="1943"/>
      <c r="J66" s="2879"/>
      <c r="K66" s="2095" t="s">
        <v>726</v>
      </c>
      <c r="L66" s="2096">
        <f ca="1">M49*0.5%</f>
        <v>1.04</v>
      </c>
      <c r="M66" s="1401">
        <f ca="1">IF(L66&gt;0.5,0.5,ROUND(L66,0))</f>
        <v>0.5</v>
      </c>
      <c r="N66" s="1940" t="s">
        <v>727</v>
      </c>
      <c r="O66" s="1940"/>
      <c r="P66" s="1940"/>
    </row>
    <row r="67" spans="1:35" ht="12.75">
      <c r="A67" s="2101" t="s">
        <v>728</v>
      </c>
      <c r="B67" s="2102" t="s">
        <v>729</v>
      </c>
      <c r="C67" s="2105">
        <f ca="1">C63-C66</f>
        <v>194</v>
      </c>
      <c r="D67" s="431" t="s">
        <v>121</v>
      </c>
      <c r="E67" s="2099"/>
      <c r="F67" s="2053"/>
      <c r="G67" s="2053"/>
      <c r="H67" s="2018"/>
      <c r="I67" s="1943"/>
      <c r="J67" s="2879"/>
      <c r="K67" s="2095" t="s">
        <v>730</v>
      </c>
      <c r="L67" s="2096">
        <f ca="1">IF(M49&gt;=10000,(8.25+(M49-10000)*0.01%),IF(AND(M49&gt;=8000,M49&lt;10000),(7.85+(M49-8000)*0.02%),IF(AND(M49&gt;=5000,M49&lt;8000),(6.65+(M49-5000)*0.04%),IF(AND(M49&gt;=2000,M49&lt;5000),(4.25+(PM49-2000)*0.08%),IF(AND(M49&gt;=1000,M49&lt;2000),(2.75+(M49-1000)*0.15%),IF(AND(M49&gt;=100,M49&lt;1000),(0.5+(M49-100)*0.25%),IF(AND(M49&gt;0,M49&lt;100),M49*0.5%)))))))</f>
        <v>0.77</v>
      </c>
      <c r="M67" s="1401">
        <f ca="1">ROUND(L67*0.9,1)</f>
        <v>0.7</v>
      </c>
      <c r="N67" s="1940"/>
      <c r="O67" s="1940"/>
      <c r="P67" s="1940"/>
    </row>
    <row r="68" spans="1:35" ht="12.75">
      <c r="A68" s="2106" t="s">
        <v>731</v>
      </c>
      <c r="B68" s="2107" t="s">
        <v>732</v>
      </c>
      <c r="C68" s="2108">
        <f ca="1">IF(C67&lt;=0,0,ROUND(C67*D68,0))</f>
        <v>15</v>
      </c>
      <c r="D68" s="589">
        <f>'数据-取费表'!E29</f>
        <v>7.8400000000000011E-2</v>
      </c>
      <c r="E68" s="2109"/>
      <c r="F68" s="2053"/>
      <c r="G68" s="2053"/>
      <c r="H68" s="2018"/>
      <c r="I68" s="1943"/>
      <c r="J68" s="2879"/>
      <c r="K68" s="2095" t="s">
        <v>733</v>
      </c>
      <c r="L68" s="2096">
        <f ca="1">IF(M49&gt;10000,M49*0.5%,IF(AND(M49&gt;5000,M49&lt;=10000),M49*1%,IF(AND(M49&gt;1000,M49&lt;=5000),M49*2%,IF(AND(M49&gt;200,M49&lt;=1000),M49*3%,M49*5%))))</f>
        <v>6.24</v>
      </c>
      <c r="M68" s="1401">
        <f ca="1">ROUND(L68,1)</f>
        <v>6.2</v>
      </c>
      <c r="N68" s="1940"/>
      <c r="O68" s="1940"/>
      <c r="P68" s="1940"/>
    </row>
    <row r="69" spans="1:35" s="1938" customFormat="1" ht="7.5" customHeight="1">
      <c r="A69" s="2110"/>
      <c r="B69" s="2111"/>
      <c r="C69" s="2112"/>
      <c r="D69" s="548"/>
      <c r="E69" s="2113"/>
      <c r="F69" s="2053"/>
      <c r="G69" s="2053"/>
      <c r="H69" s="2018"/>
      <c r="I69" s="1943"/>
      <c r="J69" s="2879"/>
      <c r="K69" s="2095" t="s">
        <v>734</v>
      </c>
      <c r="L69" s="2182"/>
      <c r="M69" s="1401">
        <f ca="1">ROUND(SUM(M63:M68),0)</f>
        <v>17</v>
      </c>
      <c r="N69" s="2084">
        <f ca="1">M69/M49</f>
        <v>8.1730769230769232E-2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875" t="s">
        <v>735</v>
      </c>
      <c r="B70" s="2876"/>
      <c r="C70" s="2876"/>
      <c r="D70" s="2876"/>
      <c r="E70" s="2876"/>
      <c r="F70" s="2876"/>
      <c r="G70" s="2876"/>
      <c r="H70" s="2876"/>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873" t="s">
        <v>711</v>
      </c>
      <c r="B71" s="2874"/>
      <c r="C71" s="454"/>
      <c r="D71" s="454" t="s">
        <v>712</v>
      </c>
      <c r="E71" s="2114" t="s">
        <v>666</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736</v>
      </c>
      <c r="C72" s="2105">
        <f ca="1">ROUND(D45/(1+'数据-取费表'!F30),0)</f>
        <v>194</v>
      </c>
      <c r="D72" s="431" t="s">
        <v>121</v>
      </c>
      <c r="E72" s="1663" t="s">
        <v>737</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738</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739</v>
      </c>
      <c r="B74" s="405" t="s">
        <v>740</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741</v>
      </c>
      <c r="B75" s="405" t="s">
        <v>742</v>
      </c>
      <c r="C75" s="2121"/>
      <c r="D75" s="431" t="s">
        <v>121</v>
      </c>
      <c r="E75" s="2122" t="s">
        <v>743</v>
      </c>
      <c r="F75" s="2123" t="s">
        <v>744</v>
      </c>
      <c r="G75" s="2122" t="s">
        <v>745</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746</v>
      </c>
      <c r="B76" s="2125" t="s">
        <v>747</v>
      </c>
      <c r="C76" s="431">
        <f>IF(F75="购房发票",ROUND(C75*H75*D76,0),0)</f>
        <v>0</v>
      </c>
      <c r="D76" s="2126">
        <v>0.05</v>
      </c>
      <c r="E76" s="2867" t="s">
        <v>748</v>
      </c>
      <c r="F76" s="2862"/>
      <c r="G76" s="2862"/>
      <c r="H76" s="2880"/>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749</v>
      </c>
      <c r="B77" s="405" t="s">
        <v>750</v>
      </c>
      <c r="C77" s="431">
        <f>ROUND(IF(G77="个人住宅",0,IF(G77="2016年5月1日前购买",C75*D77,C75*D77/(1+'数据-取费表'!F30))),0)</f>
        <v>0</v>
      </c>
      <c r="D77" s="2128">
        <f>'数据-取费表'!E36+'数据-取费表'!E37</f>
        <v>3.0499999999999999E-2</v>
      </c>
      <c r="E77" s="1663" t="s">
        <v>751</v>
      </c>
      <c r="F77" s="2129"/>
      <c r="G77" s="2130" t="s">
        <v>752</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753</v>
      </c>
      <c r="B78" s="405" t="s">
        <v>754</v>
      </c>
      <c r="C78" s="2131">
        <f ca="1">ROUND(D45*D78/(1+'数据-取费表'!F30),0)</f>
        <v>2</v>
      </c>
      <c r="D78" s="2132">
        <f>'数据-取费表'!E31</f>
        <v>8.4000000000000012E-3</v>
      </c>
      <c r="E78" s="2881" t="s">
        <v>755</v>
      </c>
      <c r="F78" s="2882"/>
      <c r="G78" s="2882"/>
      <c r="H78" s="2883"/>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728</v>
      </c>
      <c r="B79" s="2102" t="s">
        <v>756</v>
      </c>
      <c r="C79" s="2105">
        <f ca="1">C72-C73</f>
        <v>192</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731</v>
      </c>
      <c r="B80" s="2102" t="s">
        <v>757</v>
      </c>
      <c r="C80" s="2137">
        <f ca="1">IF(C79&lt;=0,0,C79/C73)</f>
        <v>96</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758</v>
      </c>
      <c r="B81" s="2107" t="s">
        <v>759</v>
      </c>
      <c r="C81" s="2139">
        <f ca="1">ROUND(IF(C79&lt;=0,0,IF(C80&gt;=200%,C79*60%-C73*35%,IF(C80&gt;=100%,C79*50%-C73*15%,IF(C80&gt;=50%,C79*40%-C73*5%,IF(C80&lt;50%,C79*30%,0))))),0)</f>
        <v>115</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875" t="s">
        <v>760</v>
      </c>
      <c r="B83" s="2876"/>
      <c r="C83" s="2876"/>
      <c r="D83" s="2876"/>
      <c r="E83" s="2876"/>
      <c r="F83" s="2876"/>
      <c r="G83" s="2876"/>
      <c r="H83" s="2876"/>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873" t="s">
        <v>711</v>
      </c>
      <c r="B84" s="2874"/>
      <c r="C84" s="454"/>
      <c r="D84" s="454" t="s">
        <v>712</v>
      </c>
      <c r="E84" s="2114" t="s">
        <v>666</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736</v>
      </c>
      <c r="C85" s="2105">
        <f ca="1">ROUND(D45/(1+'数据-取费表'!F30),0)</f>
        <v>194</v>
      </c>
      <c r="D85" s="431" t="s">
        <v>121</v>
      </c>
      <c r="E85" s="1583" t="s">
        <v>737</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738</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739</v>
      </c>
      <c r="B87" s="405" t="s">
        <v>761</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741</v>
      </c>
      <c r="B88" s="405" t="s">
        <v>762</v>
      </c>
      <c r="C88" s="2149"/>
      <c r="D88" s="2132"/>
      <c r="E88" s="2150" t="s">
        <v>763</v>
      </c>
      <c r="F88" s="2134"/>
      <c r="G88" s="2151" t="s">
        <v>764</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746</v>
      </c>
      <c r="B89" s="405" t="s">
        <v>750</v>
      </c>
      <c r="C89" s="2131">
        <f>ROUND(C88*D89,0)</f>
        <v>0</v>
      </c>
      <c r="D89" s="2132">
        <f>'数据-取费表'!E36+'数据-取费表'!E37</f>
        <v>3.0499999999999999E-2</v>
      </c>
      <c r="E89" s="2150" t="s">
        <v>765</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753</v>
      </c>
      <c r="B90" s="405" t="s">
        <v>766</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767</v>
      </c>
      <c r="B91" s="405" t="s">
        <v>768</v>
      </c>
      <c r="C91" s="2131">
        <f>IF(H91="——",成本法!C33,I91)</f>
        <v>0</v>
      </c>
      <c r="D91" s="2132"/>
      <c r="E91" s="2881" t="s">
        <v>769</v>
      </c>
      <c r="F91" s="2882"/>
      <c r="G91" s="2882"/>
      <c r="H91" s="2153" t="s">
        <v>770</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771</v>
      </c>
      <c r="B92" s="405" t="s">
        <v>772</v>
      </c>
      <c r="C92" s="2131">
        <f>ROUND((C87+C90+C91)*D92,0)</f>
        <v>0</v>
      </c>
      <c r="D92" s="2132">
        <v>0.1</v>
      </c>
      <c r="E92" s="2881" t="s">
        <v>773</v>
      </c>
      <c r="F92" s="2882"/>
      <c r="G92" s="2882"/>
      <c r="H92" s="2883"/>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774</v>
      </c>
      <c r="B93" s="405" t="s">
        <v>754</v>
      </c>
      <c r="C93" s="2131">
        <f ca="1">ROUND(D45*D93/(1+'数据-取费表'!F30),0)</f>
        <v>2</v>
      </c>
      <c r="D93" s="2132">
        <f>'数据-取费表'!E31</f>
        <v>8.4000000000000012E-3</v>
      </c>
      <c r="E93" s="2881" t="s">
        <v>755</v>
      </c>
      <c r="F93" s="2882"/>
      <c r="G93" s="2882"/>
      <c r="H93" s="2883"/>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775</v>
      </c>
      <c r="B94" s="405" t="s">
        <v>776</v>
      </c>
      <c r="C94" s="2131">
        <f>ROUND((C87+C90+C91)*D94,0)</f>
        <v>0</v>
      </c>
      <c r="D94" s="2132">
        <v>0.2</v>
      </c>
      <c r="E94" s="2881" t="s">
        <v>777</v>
      </c>
      <c r="F94" s="2882"/>
      <c r="G94" s="2882"/>
      <c r="H94" s="2883"/>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728</v>
      </c>
      <c r="B95" s="2102" t="s">
        <v>756</v>
      </c>
      <c r="C95" s="2105">
        <f ca="1">ROUND(C85-C86,0)</f>
        <v>192</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731</v>
      </c>
      <c r="B96" s="2102" t="s">
        <v>757</v>
      </c>
      <c r="C96" s="2137">
        <f ca="1">IF(C95&lt;=0,0,C95/C86)</f>
        <v>96</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758</v>
      </c>
      <c r="B97" s="2107" t="s">
        <v>759</v>
      </c>
      <c r="C97" s="2139">
        <f ca="1">ROUND(IF(C95&lt;=0,0,IF(C96&gt;=200%,C95*60%-C86*35%,IF(C96&gt;=100%,C95*50%-C86*15%,IF(C96&gt;=50%,C95*40%-C86*5%,IF(C96&lt;50%,C95*30%,0))))),0)</f>
        <v>115</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778</v>
      </c>
      <c r="B98" s="1943"/>
      <c r="C98" s="1943"/>
      <c r="D98" s="1943"/>
      <c r="E98" s="2053"/>
      <c r="F98" s="2053"/>
      <c r="G98" s="2053"/>
      <c r="H98" s="2018"/>
      <c r="I98" s="1943"/>
    </row>
    <row r="99" spans="1:35" ht="15.75">
      <c r="A99" s="2884" t="s">
        <v>779</v>
      </c>
      <c r="B99" s="2885"/>
      <c r="C99" s="2885"/>
      <c r="D99" s="2886"/>
      <c r="E99" s="1943"/>
      <c r="F99" s="2887" t="s">
        <v>780</v>
      </c>
      <c r="G99" s="2888"/>
      <c r="H99" s="2888"/>
      <c r="I99" s="2889"/>
    </row>
    <row r="100" spans="1:35" ht="15.75">
      <c r="A100" s="2890" t="s">
        <v>781</v>
      </c>
      <c r="B100" s="2891"/>
      <c r="C100" s="2155" t="str">
        <f>C4</f>
        <v>收益法</v>
      </c>
      <c r="D100" s="2156" t="str">
        <f>D4</f>
        <v>比较法-住宅</v>
      </c>
      <c r="E100" s="1943"/>
      <c r="F100" s="2892" t="s">
        <v>782</v>
      </c>
      <c r="G100" s="2893"/>
      <c r="H100" s="2892" t="s">
        <v>783</v>
      </c>
      <c r="I100" s="2894"/>
    </row>
    <row r="101" spans="1:35" ht="15.75">
      <c r="A101" s="2939" t="s">
        <v>784</v>
      </c>
      <c r="B101" s="2157" t="str">
        <f>IF(H19="元","总价（元）","总价（万元）")</f>
        <v>总价（万元）</v>
      </c>
      <c r="C101" s="2155">
        <f ca="1">C19</f>
        <v>57</v>
      </c>
      <c r="D101" s="2156">
        <f ca="1">D19</f>
        <v>246</v>
      </c>
      <c r="E101" s="1943"/>
      <c r="F101" s="2892" t="str">
        <f>项目基本情况!I1</f>
        <v>北京市房地产</v>
      </c>
      <c r="G101" s="2893"/>
      <c r="H101" s="2895">
        <f>项目基本情况!C12</f>
        <v>95.95</v>
      </c>
      <c r="I101" s="2894"/>
    </row>
    <row r="102" spans="1:35" ht="15.75">
      <c r="A102" s="2939"/>
      <c r="B102" s="2157" t="s">
        <v>785</v>
      </c>
      <c r="C102" s="2158">
        <f ca="1">C20</f>
        <v>5903</v>
      </c>
      <c r="D102" s="2159">
        <f ca="1">D20</f>
        <v>25614</v>
      </c>
      <c r="E102" s="1943"/>
      <c r="F102" s="2902" t="s">
        <v>786</v>
      </c>
      <c r="G102" s="2903"/>
      <c r="H102" s="2160" t="str">
        <f>C106</f>
        <v>总价（万元）</v>
      </c>
      <c r="I102" s="2187">
        <f ca="1">H121</f>
        <v>208</v>
      </c>
    </row>
    <row r="103" spans="1:35" ht="15">
      <c r="A103" s="2939" t="s">
        <v>787</v>
      </c>
      <c r="B103" s="2161" t="str">
        <f>B101</f>
        <v>总价（万元）</v>
      </c>
      <c r="C103" s="2167">
        <f ca="1">H121</f>
        <v>208</v>
      </c>
      <c r="D103" s="2163"/>
      <c r="E103" s="1943"/>
      <c r="F103" s="2902"/>
      <c r="G103" s="2903"/>
      <c r="H103" s="2160" t="s">
        <v>785</v>
      </c>
      <c r="I103" s="2188">
        <f ca="1">I121</f>
        <v>21672</v>
      </c>
    </row>
    <row r="104" spans="1:35" ht="15.75">
      <c r="A104" s="2940"/>
      <c r="B104" s="2170" t="s">
        <v>785</v>
      </c>
      <c r="C104" s="2171">
        <f ca="1">I121</f>
        <v>21672</v>
      </c>
      <c r="D104" s="2172"/>
      <c r="E104" s="1943"/>
      <c r="F104" s="2896"/>
      <c r="G104" s="2897"/>
      <c r="H104" s="2898"/>
      <c r="I104" s="2899"/>
    </row>
    <row r="105" spans="1:35" ht="15.75">
      <c r="A105" s="2884" t="s">
        <v>788</v>
      </c>
      <c r="B105" s="2885"/>
      <c r="C105" s="2885"/>
      <c r="D105" s="2886"/>
      <c r="E105" s="1943"/>
      <c r="F105" s="2900" t="s">
        <v>789</v>
      </c>
      <c r="G105" s="2901"/>
      <c r="H105" s="2169" t="str">
        <f>C108</f>
        <v>总额（万元）</v>
      </c>
      <c r="I105" s="2187">
        <f>SUMIF(I106:I108,"&lt;9E307")</f>
        <v>0</v>
      </c>
    </row>
    <row r="106" spans="1:35" ht="15">
      <c r="A106" s="2908" t="s">
        <v>790</v>
      </c>
      <c r="B106" s="2909"/>
      <c r="C106" s="2160" t="str">
        <f>B101</f>
        <v>总价（万元）</v>
      </c>
      <c r="D106" s="2173">
        <f ca="1">H121</f>
        <v>208</v>
      </c>
      <c r="E106" s="1943"/>
      <c r="F106" s="2917" t="s">
        <v>791</v>
      </c>
      <c r="G106" s="2918"/>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08"/>
      <c r="B107" s="2909"/>
      <c r="C107" s="2160" t="s">
        <v>785</v>
      </c>
      <c r="D107" s="2174">
        <f ca="1">I121</f>
        <v>21672</v>
      </c>
      <c r="E107" s="1943"/>
      <c r="F107" s="2917" t="s">
        <v>792</v>
      </c>
      <c r="G107" s="2918"/>
      <c r="H107" s="2169" t="str">
        <f>C110</f>
        <v>总额（万元）</v>
      </c>
      <c r="I107" s="2188">
        <f>C37</f>
        <v>0</v>
      </c>
      <c r="K107" s="2189"/>
    </row>
    <row r="108" spans="1:35" ht="15">
      <c r="A108" s="2919" t="s">
        <v>793</v>
      </c>
      <c r="B108" s="2920"/>
      <c r="C108" s="2169" t="str">
        <f>IF(H19="元","总额（元）","总额（万元）")</f>
        <v>总额（万元）</v>
      </c>
      <c r="D108" s="2173">
        <f>IF(D36="正常操作",I106+I107+I108,I107+I108)</f>
        <v>0</v>
      </c>
      <c r="E108" s="1943"/>
      <c r="F108" s="2917" t="s">
        <v>794</v>
      </c>
      <c r="G108" s="2918"/>
      <c r="H108" s="2169" t="str">
        <f>C111</f>
        <v>总额（万元）</v>
      </c>
      <c r="I108" s="2188">
        <f>C38</f>
        <v>0</v>
      </c>
    </row>
    <row r="109" spans="1:35" ht="15.75">
      <c r="A109" s="2917" t="s">
        <v>791</v>
      </c>
      <c r="B109" s="2918"/>
      <c r="C109" s="2169" t="str">
        <f>C108</f>
        <v>总额（万元）</v>
      </c>
      <c r="D109" s="771">
        <f>IF(D36="同一抵押权人同一抵押物续贷",C36&amp;"（未扣减，详见特别提示）",C36)</f>
        <v>0</v>
      </c>
      <c r="E109" s="1943"/>
      <c r="F109" s="2896"/>
      <c r="G109" s="2897"/>
      <c r="H109" s="2921"/>
      <c r="I109" s="2922"/>
    </row>
    <row r="110" spans="1:35" ht="28.5" customHeight="1">
      <c r="A110" s="2917" t="s">
        <v>792</v>
      </c>
      <c r="B110" s="2918"/>
      <c r="C110" s="2169" t="str">
        <f>C108</f>
        <v>总额（万元）</v>
      </c>
      <c r="D110" s="771">
        <f>C37</f>
        <v>0</v>
      </c>
      <c r="E110" s="1943"/>
      <c r="F110" s="2904" t="str">
        <f>IF(项目基本情况!F5="已注销","——","3.房地产抵押价值")</f>
        <v>3.房地产抵押价值</v>
      </c>
      <c r="G110" s="2905"/>
      <c r="H110" s="2235" t="str">
        <f>C112</f>
        <v>总价（万元）</v>
      </c>
      <c r="I110" s="2236">
        <f ca="1">IF(F110="——","——",I102-I105)</f>
        <v>208</v>
      </c>
    </row>
    <row r="111" spans="1:35" ht="15">
      <c r="A111" s="2917" t="s">
        <v>794</v>
      </c>
      <c r="B111" s="2918"/>
      <c r="C111" s="2169" t="str">
        <f>C108</f>
        <v>总额（万元）</v>
      </c>
      <c r="D111" s="771">
        <f>C38</f>
        <v>0</v>
      </c>
      <c r="E111" s="1943"/>
      <c r="F111" s="2906"/>
      <c r="G111" s="2907"/>
      <c r="H111" s="2160" t="s">
        <v>785</v>
      </c>
      <c r="I111" s="2190">
        <f ca="1">D113</f>
        <v>21672</v>
      </c>
    </row>
    <row r="112" spans="1:35" ht="26.25" customHeight="1">
      <c r="A112" s="2908" t="str">
        <f>IF(项目基本情况!F5="已注销","——","3.房地产抵押价值")</f>
        <v>3.房地产抵押价值</v>
      </c>
      <c r="B112" s="2909"/>
      <c r="C112" s="2160" t="str">
        <f>B101</f>
        <v>总价（万元）</v>
      </c>
      <c r="D112" s="2173">
        <f ca="1">IF(A112="——","——",D106-D108)</f>
        <v>208</v>
      </c>
      <c r="E112" s="1943"/>
      <c r="F112" s="2904" t="str">
        <f>IF(项目基本情况!F5="已注销及未注销","4.抵押担保权已注销时的房地产抵押价值",IF(项目基本情况!F5="已注销","3.抵押担保权已注销时的房地产抵押价值","——"))</f>
        <v>——</v>
      </c>
      <c r="G112" s="2905"/>
      <c r="H112" s="2235" t="str">
        <f>C114</f>
        <v>总价（万元）</v>
      </c>
      <c r="I112" s="2236" t="str">
        <f>IF(F112="——","——",I102-I107-I108)</f>
        <v>——</v>
      </c>
    </row>
    <row r="113" spans="1:15" ht="15">
      <c r="A113" s="2908"/>
      <c r="B113" s="2909"/>
      <c r="C113" s="2160" t="s">
        <v>785</v>
      </c>
      <c r="D113" s="2174">
        <f ca="1">ROUND(IF(D112=D106,D107,IF(H19="元",D112/项目基本情况!C12,D112*10000/项目基本情况!C12)),0)</f>
        <v>21672</v>
      </c>
      <c r="E113" s="1943"/>
      <c r="F113" s="2906"/>
      <c r="G113" s="2907"/>
      <c r="H113" s="2160" t="s">
        <v>785</v>
      </c>
      <c r="I113" s="2237" t="str">
        <f>D115</f>
        <v>——</v>
      </c>
    </row>
    <row r="114" spans="1:15" ht="15.75">
      <c r="A114" s="2908" t="str">
        <f>IF(项目基本情况!F5="已注销及未注销","4.抵押担保权已注销时的房地产抵押价值",IF(项目基本情况!F5="已注销","3.抵押担保权已注销时的房地产抵押价值","——"))</f>
        <v>——</v>
      </c>
      <c r="B114" s="2909"/>
      <c r="C114" s="2160" t="str">
        <f>B101</f>
        <v>总价（万元）</v>
      </c>
      <c r="D114" s="2173" t="str">
        <f>IF(A114="——","——",D106-D110-D111)</f>
        <v>——</v>
      </c>
      <c r="E114" s="1943"/>
      <c r="F114" s="2904" t="str">
        <f>IF(项目基本情况!G5="抵押净值",IF(OR(项目基本情况!F5="已注销",项目基本情况!F5="房地产抵押价值"),"4.抵押净值","5.抵押净值"),"——")</f>
        <v>——</v>
      </c>
      <c r="G114" s="2905"/>
      <c r="H114" s="2160" t="str">
        <f>C116</f>
        <v>总价（万元）</v>
      </c>
      <c r="I114" s="2187" t="str">
        <f>IF(F114="——","——",N59)</f>
        <v>——</v>
      </c>
    </row>
    <row r="115" spans="1:15" ht="15">
      <c r="A115" s="2908"/>
      <c r="B115" s="2909"/>
      <c r="C115" s="2160" t="s">
        <v>785</v>
      </c>
      <c r="D115" s="2174" t="str">
        <f>IF(A114="——","——",ROUND(IF(D114=D106,D107,IF(H19="元",D114/项目基本情况!C12,D114*10000/项目基本情况!C12)),0))</f>
        <v>——</v>
      </c>
      <c r="E115" s="1943"/>
      <c r="F115" s="2910"/>
      <c r="G115" s="2911"/>
      <c r="H115" s="2176" t="s">
        <v>785</v>
      </c>
      <c r="I115" s="2191" t="str">
        <f ca="1">D117</f>
        <v>——</v>
      </c>
    </row>
    <row r="116" spans="1:15" ht="15.75">
      <c r="A116" s="2908" t="str">
        <f>IF(项目基本情况!G5="抵押净值",IF(OR(项目基本情况!F5="已注销",项目基本情况!F5="房地产抵押价值"),"4.抵押净值","5.抵押净值"),"——")</f>
        <v>——</v>
      </c>
      <c r="B116" s="2909"/>
      <c r="C116" s="2160" t="str">
        <f>B101</f>
        <v>总价（万元）</v>
      </c>
      <c r="D116" s="2173" t="str">
        <f>IF(A116="——","——",N59)</f>
        <v>——</v>
      </c>
      <c r="E116" s="1943"/>
      <c r="F116" s="2914"/>
      <c r="G116" s="2914"/>
      <c r="H116" s="2915"/>
      <c r="I116" s="2915"/>
      <c r="N116" s="1349"/>
      <c r="O116" s="1349"/>
    </row>
    <row r="117" spans="1:15" ht="15">
      <c r="A117" s="2912"/>
      <c r="B117" s="2913"/>
      <c r="C117" s="2176" t="s">
        <v>785</v>
      </c>
      <c r="D117" s="2178" t="str">
        <f ca="1">IF(D116=D112,D113,IF(A116="——","——",N61))</f>
        <v>——</v>
      </c>
      <c r="E117" s="1943"/>
      <c r="F117" s="2916" t="str">
        <f>IF(B32="总价","（以上估价结果中单价为总价除以建筑面积得出）","（以上估价结果中总价为楼面单价乘以建筑面积得出）")</f>
        <v>（以上估价结果中总价为楼面单价乘以建筑面积得出）</v>
      </c>
      <c r="G117" s="2916"/>
      <c r="H117" s="2916"/>
      <c r="I117" s="2916"/>
      <c r="N117" s="1349"/>
      <c r="O117" s="1349"/>
    </row>
    <row r="118" spans="1:15" ht="15">
      <c r="A118" s="2949" t="s">
        <v>795</v>
      </c>
      <c r="B118" s="2950"/>
      <c r="C118" s="2950"/>
      <c r="D118" s="2950"/>
      <c r="E118" s="2950"/>
      <c r="F118" s="2950"/>
      <c r="G118" s="2950"/>
      <c r="H118" s="2950"/>
      <c r="I118" s="2950"/>
    </row>
    <row r="119" spans="1:15" ht="14.25">
      <c r="A119" s="2941" t="s">
        <v>796</v>
      </c>
      <c r="B119" s="2943" t="s">
        <v>797</v>
      </c>
      <c r="C119" s="2943" t="s">
        <v>798</v>
      </c>
      <c r="D119" s="2951" t="s">
        <v>799</v>
      </c>
      <c r="E119" s="2952"/>
      <c r="F119" s="2942" t="s">
        <v>643</v>
      </c>
      <c r="G119" s="2942"/>
      <c r="H119" s="2942" t="s">
        <v>800</v>
      </c>
      <c r="I119" s="2953"/>
    </row>
    <row r="120" spans="1:15" ht="14.25">
      <c r="A120" s="2941"/>
      <c r="B120" s="2944"/>
      <c r="C120" s="2944"/>
      <c r="D120" s="893" t="s">
        <v>801</v>
      </c>
      <c r="E120" s="893" t="s">
        <v>628</v>
      </c>
      <c r="F120" s="893" t="s">
        <v>801</v>
      </c>
      <c r="G120" s="893" t="s">
        <v>628</v>
      </c>
      <c r="H120" s="893" t="s">
        <v>801</v>
      </c>
      <c r="I120" s="771" t="s">
        <v>628</v>
      </c>
    </row>
    <row r="121" spans="1:15" ht="14.25">
      <c r="A121" s="2179" t="str">
        <f>项目基本情况!I1</f>
        <v>北京市房地产</v>
      </c>
      <c r="B121" s="893">
        <f>项目基本情况!C12</f>
        <v>95.95</v>
      </c>
      <c r="C121" s="893">
        <f>项目基本情况!C13</f>
        <v>0</v>
      </c>
      <c r="D121" s="893">
        <f ca="1">ROUND(IF(B32="总价",C34,IF('数据-取费表'!B3="万元",E121*B121/10000,E121*B121)),0)</f>
        <v>58</v>
      </c>
      <c r="E121" s="893">
        <f ca="1">ROUND(IF(B32="楼面单价",C34,IF(H19="元",D121/B121,D121*10000/B121)),0)</f>
        <v>6068</v>
      </c>
      <c r="F121" s="893">
        <f ca="1">ROUND(IF(B32="总价",C35,IF('数据-取费表'!B3="万元",G121*B121/10000,G121*B121)),0)</f>
        <v>150</v>
      </c>
      <c r="G121" s="893">
        <f ca="1">ROUND(IF(B32="楼面单价",C35,IF(H19="元",F121/B121,F121*10000/B121)),0)</f>
        <v>15604</v>
      </c>
      <c r="H121" s="893">
        <f ca="1">ROUND(IF(B32="总价",C32,IF('数据-取费表'!B3="万元",I121*B121/10000,I121*B121)),0)</f>
        <v>208</v>
      </c>
      <c r="I121" s="771">
        <f ca="1">ROUND(IF(B32="楼面单价",C32,IF(H19="元",H121/B121,H121*10000/B121)),0)</f>
        <v>21672</v>
      </c>
    </row>
    <row r="122" spans="1:15" ht="14.25">
      <c r="A122" s="2941" t="s">
        <v>802</v>
      </c>
      <c r="B122" s="2942"/>
      <c r="C122" s="2942"/>
      <c r="D122" s="2965" t="str">
        <f ca="1">IF(H19="元",NUMBERSTRING(INT(D121),2)&amp;"元整",NUMBERSTRING(INT(D121*10000),2)&amp;"元整")</f>
        <v>伍拾捌万元整</v>
      </c>
      <c r="E122" s="2966"/>
      <c r="F122" s="2965" t="str">
        <f ca="1">IF(H19="元",NUMBERSTRING(INT(F121),2)&amp;"元整",NUMBERSTRING(INT(F121*10000),2)&amp;"元整")</f>
        <v>壹佰伍拾万元整</v>
      </c>
      <c r="G122" s="2966"/>
      <c r="H122" s="2965" t="str">
        <f ca="1">IF(H19="元",NUMBERSTRING(INT(H121),2)&amp;"元整",NUMBERSTRING(INT(H121*10000),2)&amp;"元整")</f>
        <v>贰佰零捌万元整</v>
      </c>
      <c r="I122" s="2967"/>
    </row>
    <row r="123" spans="1:15" ht="15">
      <c r="A123" s="2945" t="str">
        <f>IF(项目基本情况!D5="房地产市场价值","——",MID(A108,3,LEN(A108)-2))</f>
        <v>估价师所知悉的法定优先受偿款</v>
      </c>
      <c r="B123" s="2946"/>
      <c r="C123" s="2947"/>
      <c r="D123" s="2925">
        <f>I105</f>
        <v>0</v>
      </c>
      <c r="E123" s="2946"/>
      <c r="F123" s="2946"/>
      <c r="G123" s="2946"/>
      <c r="H123" s="2946"/>
      <c r="I123" s="2948"/>
    </row>
    <row r="124" spans="1:15" ht="14.25">
      <c r="A124" s="2956" t="s">
        <v>802</v>
      </c>
      <c r="B124" s="2957"/>
      <c r="C124" s="2958"/>
      <c r="D124" s="2959">
        <f>H109</f>
        <v>0</v>
      </c>
      <c r="E124" s="2960"/>
      <c r="F124" s="2960"/>
      <c r="G124" s="2960"/>
      <c r="H124" s="2960"/>
      <c r="I124" s="2961"/>
    </row>
    <row r="125" spans="1:15" ht="15">
      <c r="A125" s="2923" t="str">
        <f>IF(项目基本情况!D5="房地产市场价值","——",MID(A112,3,LEN(A112)-2))</f>
        <v>房地产抵押价值</v>
      </c>
      <c r="B125" s="2924"/>
      <c r="C125" s="2924"/>
      <c r="D125" s="2925">
        <f ca="1">I110</f>
        <v>208</v>
      </c>
      <c r="E125" s="2946"/>
      <c r="F125" s="2946"/>
      <c r="G125" s="2946"/>
      <c r="H125" s="2946"/>
      <c r="I125" s="2948"/>
    </row>
    <row r="126" spans="1:15" ht="14.25">
      <c r="A126" s="2941" t="s">
        <v>802</v>
      </c>
      <c r="B126" s="2942"/>
      <c r="C126" s="2942"/>
      <c r="D126" s="2959">
        <f ca="1">I111</f>
        <v>21672</v>
      </c>
      <c r="E126" s="2960"/>
      <c r="F126" s="2960"/>
      <c r="G126" s="2960"/>
      <c r="H126" s="2960"/>
      <c r="I126" s="2961"/>
    </row>
    <row r="127" spans="1:15" ht="15">
      <c r="A127" s="2923" t="str">
        <f>IF(项目基本情况!D5="房地产市场价值","——",MID(A114,3,LEN(A114)-2))</f>
        <v/>
      </c>
      <c r="B127" s="2924"/>
      <c r="C127" s="2924"/>
      <c r="D127" s="2962" t="str">
        <f>I112</f>
        <v>——</v>
      </c>
      <c r="E127" s="2963"/>
      <c r="F127" s="2963"/>
      <c r="G127" s="2963"/>
      <c r="H127" s="2963"/>
      <c r="I127" s="2964"/>
    </row>
    <row r="128" spans="1:15" ht="14.25">
      <c r="A128" s="2941" t="s">
        <v>802</v>
      </c>
      <c r="B128" s="2942"/>
      <c r="C128" s="2954"/>
      <c r="D128" s="2955" t="str">
        <f>I113</f>
        <v>——</v>
      </c>
      <c r="E128" s="2955"/>
      <c r="F128" s="2955"/>
      <c r="G128" s="2955"/>
      <c r="H128" s="2955"/>
      <c r="I128" s="2955"/>
    </row>
    <row r="129" spans="1:9" ht="15">
      <c r="A129" s="2923" t="str">
        <f>IF(项目基本情况!D5="房地产市场价值","——",MID(F114,3,LEN(F114)-2))</f>
        <v/>
      </c>
      <c r="B129" s="2924"/>
      <c r="C129" s="2925"/>
      <c r="D129" s="2926" t="str">
        <f>I114</f>
        <v>——</v>
      </c>
      <c r="E129" s="2926"/>
      <c r="F129" s="2926"/>
      <c r="G129" s="2926"/>
      <c r="H129" s="2926"/>
      <c r="I129" s="2926"/>
    </row>
    <row r="130" spans="1:9" ht="14.25">
      <c r="A130" s="2927" t="s">
        <v>802</v>
      </c>
      <c r="B130" s="2928"/>
      <c r="C130" s="2928"/>
      <c r="D130" s="2929">
        <f>H116</f>
        <v>0</v>
      </c>
      <c r="E130" s="2930"/>
      <c r="F130" s="2930"/>
      <c r="G130" s="2930"/>
      <c r="H130" s="2930"/>
      <c r="I130" s="2931"/>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row>
    <row r="133" spans="1:9" ht="21.75" customHeight="1">
      <c r="A133" s="2195" t="s">
        <v>803</v>
      </c>
      <c r="B133" s="2196"/>
      <c r="C133" s="2197" t="s">
        <v>804</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805</v>
      </c>
      <c r="G139" s="2207"/>
      <c r="H139" s="2207"/>
      <c r="I139" s="2214" t="s">
        <v>806</v>
      </c>
    </row>
    <row r="140" spans="1:9" ht="21.75" customHeight="1">
      <c r="A140" s="1352"/>
      <c r="B140" s="2208" t="s">
        <v>807</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808</v>
      </c>
    </row>
    <row r="143" spans="1:9" ht="21.75" customHeight="1">
      <c r="A143" s="1352"/>
      <c r="B143" s="2208" t="s">
        <v>809</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808</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601</v>
      </c>
      <c r="B1" s="1943"/>
      <c r="C1" s="1943"/>
      <c r="D1" s="1943"/>
      <c r="E1" s="1943"/>
      <c r="F1" s="1943"/>
      <c r="G1" s="1943"/>
      <c r="H1" s="1943"/>
      <c r="I1" s="1943"/>
    </row>
    <row r="2" spans="1:12" ht="21.75" customHeight="1">
      <c r="A2" s="2968" t="s">
        <v>810</v>
      </c>
      <c r="B2" s="2968"/>
      <c r="C2" s="2968"/>
      <c r="D2" s="2968"/>
      <c r="E2" s="2968"/>
      <c r="F2" s="2968"/>
      <c r="G2" s="2968"/>
      <c r="H2" s="2968"/>
      <c r="I2" s="2968"/>
    </row>
    <row r="3" spans="1:12" ht="12.75">
      <c r="A3" s="2842" t="s">
        <v>602</v>
      </c>
      <c r="B3" s="2843"/>
      <c r="C3" s="2843"/>
      <c r="D3" s="2843"/>
      <c r="E3" s="2843"/>
      <c r="F3" s="2843"/>
      <c r="G3" s="2843"/>
      <c r="H3" s="2843"/>
      <c r="I3" s="2843"/>
    </row>
    <row r="4" spans="1:12" ht="14.25">
      <c r="A4" s="1944" t="s">
        <v>603</v>
      </c>
      <c r="B4" s="1945" t="s">
        <v>604</v>
      </c>
      <c r="C4" s="1946"/>
      <c r="D4" s="1946"/>
      <c r="E4" s="2844" t="s">
        <v>605</v>
      </c>
      <c r="F4" s="2845"/>
      <c r="G4" s="2845"/>
      <c r="H4" s="2845"/>
      <c r="I4" s="2846"/>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606</v>
      </c>
      <c r="B5" s="2942">
        <v>25</v>
      </c>
      <c r="C5" s="2856"/>
      <c r="D5" s="2859"/>
      <c r="E5" s="1591" t="s">
        <v>607</v>
      </c>
      <c r="F5" s="1947"/>
      <c r="G5" s="1947"/>
      <c r="H5" s="1947"/>
      <c r="I5" s="2067"/>
    </row>
    <row r="6" spans="1:12" ht="12.75">
      <c r="A6" s="2933"/>
      <c r="B6" s="2942"/>
      <c r="C6" s="2858"/>
      <c r="D6" s="2859"/>
      <c r="E6" s="1591" t="s">
        <v>608</v>
      </c>
      <c r="F6" s="1947"/>
      <c r="G6" s="1947"/>
      <c r="H6" s="1947"/>
      <c r="I6" s="2067"/>
    </row>
    <row r="7" spans="1:12" ht="12.75">
      <c r="A7" s="2933"/>
      <c r="B7" s="2942"/>
      <c r="C7" s="2857"/>
      <c r="D7" s="2859"/>
      <c r="E7" s="1591" t="s">
        <v>609</v>
      </c>
      <c r="F7" s="1947"/>
      <c r="G7" s="1947"/>
      <c r="H7" s="1947"/>
      <c r="I7" s="2067"/>
    </row>
    <row r="8" spans="1:12" ht="12.75">
      <c r="A8" s="2933" t="s">
        <v>610</v>
      </c>
      <c r="B8" s="2942">
        <v>15</v>
      </c>
      <c r="C8" s="2856"/>
      <c r="D8" s="2859"/>
      <c r="E8" s="1591" t="s">
        <v>611</v>
      </c>
      <c r="F8" s="1947"/>
      <c r="G8" s="1947"/>
      <c r="H8" s="1947"/>
      <c r="I8" s="2067"/>
    </row>
    <row r="9" spans="1:12" ht="12.75">
      <c r="A9" s="2933"/>
      <c r="B9" s="2942"/>
      <c r="C9" s="2857"/>
      <c r="D9" s="2859"/>
      <c r="E9" s="1591" t="s">
        <v>612</v>
      </c>
      <c r="F9" s="1947"/>
      <c r="G9" s="1947"/>
      <c r="H9" s="1947"/>
      <c r="I9" s="2067"/>
    </row>
    <row r="10" spans="1:12" ht="12.75">
      <c r="A10" s="2933" t="s">
        <v>613</v>
      </c>
      <c r="B10" s="2942">
        <v>15</v>
      </c>
      <c r="C10" s="2856"/>
      <c r="D10" s="2859"/>
      <c r="E10" s="1591" t="s">
        <v>614</v>
      </c>
      <c r="F10" s="1947"/>
      <c r="G10" s="1947"/>
      <c r="H10" s="1947"/>
      <c r="I10" s="2067"/>
    </row>
    <row r="11" spans="1:12" ht="12.75">
      <c r="A11" s="2933"/>
      <c r="B11" s="2942"/>
      <c r="C11" s="2857"/>
      <c r="D11" s="2859"/>
      <c r="E11" s="1591" t="s">
        <v>615</v>
      </c>
      <c r="F11" s="1947"/>
      <c r="G11" s="1947"/>
      <c r="H11" s="1947"/>
      <c r="I11" s="2067"/>
    </row>
    <row r="12" spans="1:12" ht="12.75">
      <c r="A12" s="2933" t="s">
        <v>616</v>
      </c>
      <c r="B12" s="2942">
        <v>15</v>
      </c>
      <c r="C12" s="2856"/>
      <c r="D12" s="2859"/>
      <c r="E12" s="1591" t="s">
        <v>617</v>
      </c>
      <c r="F12" s="1947"/>
      <c r="G12" s="1947"/>
      <c r="H12" s="1947"/>
      <c r="I12" s="2067"/>
    </row>
    <row r="13" spans="1:12" ht="12.75">
      <c r="A13" s="2933"/>
      <c r="B13" s="2942"/>
      <c r="C13" s="2857"/>
      <c r="D13" s="2859"/>
      <c r="E13" s="1591" t="s">
        <v>618</v>
      </c>
      <c r="F13" s="1947"/>
      <c r="G13" s="1947"/>
      <c r="H13" s="1947"/>
      <c r="I13" s="2067"/>
    </row>
    <row r="14" spans="1:12" ht="12.75">
      <c r="A14" s="2933" t="s">
        <v>619</v>
      </c>
      <c r="B14" s="2942">
        <v>30</v>
      </c>
      <c r="C14" s="2856"/>
      <c r="D14" s="2859"/>
      <c r="E14" s="1591" t="s">
        <v>620</v>
      </c>
      <c r="F14" s="1947"/>
      <c r="G14" s="1947"/>
      <c r="H14" s="1947"/>
      <c r="I14" s="2067"/>
    </row>
    <row r="15" spans="1:12" ht="12.75">
      <c r="A15" s="2933"/>
      <c r="B15" s="2942"/>
      <c r="C15" s="2858"/>
      <c r="D15" s="2859"/>
      <c r="E15" s="1591" t="s">
        <v>621</v>
      </c>
      <c r="F15" s="1947"/>
      <c r="G15" s="1947"/>
      <c r="H15" s="1947"/>
      <c r="I15" s="2067"/>
    </row>
    <row r="16" spans="1:12" ht="12.75">
      <c r="A16" s="2933"/>
      <c r="B16" s="2942"/>
      <c r="C16" s="2857"/>
      <c r="D16" s="2859"/>
      <c r="E16" s="1591" t="s">
        <v>622</v>
      </c>
      <c r="F16" s="1947"/>
      <c r="G16" s="1947"/>
      <c r="H16" s="1947"/>
      <c r="I16" s="2067"/>
    </row>
    <row r="17" spans="1:35" ht="15">
      <c r="A17" s="1948" t="s">
        <v>623</v>
      </c>
      <c r="B17" s="1949"/>
      <c r="C17" s="1950">
        <f>SUM(C5:C16)</f>
        <v>0</v>
      </c>
      <c r="D17" s="1950">
        <f>SUM(D5:D16)</f>
        <v>0</v>
      </c>
      <c r="E17" s="1943"/>
      <c r="F17" s="1943"/>
      <c r="G17" s="1943"/>
      <c r="H17" s="1943"/>
      <c r="I17" s="1943"/>
    </row>
    <row r="18" spans="1:35" ht="15">
      <c r="A18" s="1951" t="s">
        <v>624</v>
      </c>
      <c r="B18" s="1952"/>
      <c r="C18" s="1953" t="e">
        <f>ROUND(C17/SUM(C17:D17),2)</f>
        <v>#DIV/0!</v>
      </c>
      <c r="D18" s="1953" t="e">
        <f>1-C18</f>
        <v>#DIV/0!</v>
      </c>
      <c r="E18" s="1943"/>
      <c r="F18" s="1943"/>
      <c r="G18" s="1943"/>
      <c r="H18" s="1943"/>
      <c r="I18" s="1943"/>
    </row>
    <row r="19" spans="1:35" ht="15">
      <c r="A19" s="1954" t="s">
        <v>625</v>
      </c>
      <c r="B19" s="1955" t="s">
        <v>626</v>
      </c>
      <c r="C19" s="1956" t="e">
        <f ca="1">SUMIF(INDIRECT("'"&amp;C4&amp;"'"&amp;"!A:A"),'结果表 (1修多)'!B19,INDIRECT("'"&amp;C4&amp;"'"&amp;"!B:B"))</f>
        <v>#REF!</v>
      </c>
      <c r="D19" s="1957" t="e">
        <f ca="1">SUMIF(INDIRECT("'"&amp;D4&amp;"'"&amp;"!A:A"),'结果表 (1修多)'!B19,INDIRECT("'"&amp;D4&amp;"'"&amp;"!B:B"))</f>
        <v>#REF!</v>
      </c>
      <c r="E19" s="1954" t="s">
        <v>627</v>
      </c>
      <c r="F19" s="1955" t="s">
        <v>626</v>
      </c>
      <c r="G19" s="1958" t="e">
        <f ca="1">ROUND(C19*$C$18+D19*$D$18,0)</f>
        <v>#REF!</v>
      </c>
      <c r="H19" s="1959" t="str">
        <f>'数据-取费表'!B3</f>
        <v>万元</v>
      </c>
      <c r="I19" s="1943"/>
    </row>
    <row r="20" spans="1:35" ht="15">
      <c r="A20" s="1960"/>
      <c r="B20" s="1961" t="s">
        <v>628</v>
      </c>
      <c r="C20" s="1049" t="e">
        <f ca="1">SUMIF(INDIRECT("'"&amp;C4&amp;"'"&amp;"!A:A"),'结果表 (1修多)'!B20,INDIRECT("'"&amp;C4&amp;"'"&amp;"!B:B"))</f>
        <v>#REF!</v>
      </c>
      <c r="D20" s="1311" t="e">
        <f ca="1">SUMIF(INDIRECT("'"&amp;D4&amp;"'"&amp;"!A:A"),'结果表 (1修多)'!B20,INDIRECT("'"&amp;D4&amp;"'"&amp;"!B:B"))</f>
        <v>#REF!</v>
      </c>
      <c r="E20" s="1960"/>
      <c r="F20" s="1961" t="s">
        <v>628</v>
      </c>
      <c r="G20" s="1962" t="e">
        <f ca="1">ROUND(C20*$C$18+D20*$D$18,0)</f>
        <v>#REF!</v>
      </c>
      <c r="H20" s="1963" t="s">
        <v>629</v>
      </c>
      <c r="I20" s="1943"/>
    </row>
    <row r="21" spans="1:35" ht="15" customHeight="1">
      <c r="A21" s="1964"/>
      <c r="B21" s="1965"/>
      <c r="C21" s="1966"/>
      <c r="D21" s="1967"/>
      <c r="E21" s="1964"/>
      <c r="F21" s="1965"/>
      <c r="G21" s="1968"/>
      <c r="H21" s="1969"/>
      <c r="I21" s="1943"/>
    </row>
    <row r="22" spans="1:35" ht="14.25">
      <c r="A22" s="1970" t="s">
        <v>630</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34" t="s">
        <v>631</v>
      </c>
      <c r="B24" s="1955" t="s">
        <v>626</v>
      </c>
      <c r="C24" s="1958">
        <f>D30</f>
        <v>0</v>
      </c>
      <c r="D24" s="1974"/>
      <c r="E24" s="1943"/>
      <c r="F24" s="1943"/>
      <c r="G24" s="1943"/>
      <c r="H24" s="1943"/>
      <c r="I24" s="1943"/>
    </row>
    <row r="25" spans="1:35" ht="21.75" customHeight="1">
      <c r="A25" s="2935"/>
      <c r="B25" s="1961" t="s">
        <v>628</v>
      </c>
      <c r="C25" s="1975">
        <f>IF(B30=0,0,C30)</f>
        <v>0</v>
      </c>
      <c r="D25" s="1976"/>
      <c r="E25" s="1943"/>
      <c r="F25" s="1943"/>
      <c r="G25" s="1943"/>
      <c r="H25" s="1943"/>
      <c r="I25" s="1943"/>
    </row>
    <row r="26" spans="1:35" ht="13.5" customHeight="1">
      <c r="A26" s="1977" t="s">
        <v>632</v>
      </c>
      <c r="B26" s="1978" t="s">
        <v>633</v>
      </c>
      <c r="C26" s="1978" t="s">
        <v>634</v>
      </c>
      <c r="D26" s="1979" t="s">
        <v>635</v>
      </c>
      <c r="E26" s="1943"/>
      <c r="F26" s="1943"/>
      <c r="G26" s="1943"/>
      <c r="H26" s="1943"/>
      <c r="I26" s="1943"/>
    </row>
    <row r="27" spans="1:35" ht="14.25">
      <c r="A27" s="1980" t="s">
        <v>811</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636</v>
      </c>
      <c r="B30" s="1982"/>
      <c r="C30" s="1982"/>
      <c r="D30" s="1982"/>
      <c r="E30" s="1983" t="s">
        <v>812</v>
      </c>
      <c r="F30" s="1943"/>
      <c r="G30" s="1943"/>
      <c r="H30" s="1943"/>
      <c r="I30" s="1943"/>
    </row>
    <row r="31" spans="1:35" s="1938" customFormat="1" ht="15">
      <c r="A31" s="2969" t="s">
        <v>813</v>
      </c>
      <c r="B31" s="2969"/>
      <c r="C31" s="2969"/>
      <c r="D31" s="2969"/>
      <c r="E31" s="2969"/>
      <c r="F31" s="2969"/>
      <c r="G31" s="2969"/>
      <c r="H31" s="2969"/>
      <c r="I31" s="2969"/>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814</v>
      </c>
      <c r="C32" s="1986">
        <f ca="1">典型户型修正!R27</f>
        <v>21672</v>
      </c>
      <c r="D32" s="1943" t="s">
        <v>629</v>
      </c>
      <c r="E32" s="1943"/>
      <c r="F32" s="1943"/>
      <c r="G32" s="1943"/>
      <c r="H32" s="1943"/>
      <c r="I32" s="1943"/>
    </row>
    <row r="33" spans="1:16" ht="15">
      <c r="A33" s="1987" t="s">
        <v>815</v>
      </c>
      <c r="B33" s="1988" t="s">
        <v>816</v>
      </c>
      <c r="C33" s="1989">
        <f ca="1">典型户型修正!B2</f>
        <v>392</v>
      </c>
      <c r="D33" s="1990" t="str">
        <f>IF('数据-取费表'!B3="万元","万元","元")</f>
        <v>万元</v>
      </c>
      <c r="E33" s="1943"/>
      <c r="F33" s="1943"/>
      <c r="G33" s="1943"/>
      <c r="H33" s="1943"/>
      <c r="I33" s="1943"/>
    </row>
    <row r="34" spans="1:16" ht="15">
      <c r="A34" s="1991"/>
      <c r="B34" s="1992" t="s">
        <v>817</v>
      </c>
      <c r="C34" s="1967">
        <f ca="1">典型户型修正!B3</f>
        <v>22173</v>
      </c>
      <c r="D34" s="1943" t="s">
        <v>629</v>
      </c>
      <c r="E34" s="1943"/>
      <c r="F34" s="1943"/>
      <c r="G34" s="1943"/>
      <c r="H34" s="1943"/>
      <c r="I34" s="1943"/>
    </row>
    <row r="35" spans="1:16" ht="15">
      <c r="A35" s="1993"/>
      <c r="B35" s="1994" t="s">
        <v>641</v>
      </c>
      <c r="C35" s="1995">
        <f>IF('数据-取费表'!B3="万元",典型户型修正!V25,典型户型修正!U25)</f>
        <v>0</v>
      </c>
      <c r="D35" s="1943" t="str">
        <f>D33</f>
        <v>万元</v>
      </c>
      <c r="E35" s="1943"/>
      <c r="F35" s="1943"/>
      <c r="G35" s="1943"/>
      <c r="H35" s="1943"/>
      <c r="I35" s="1943"/>
    </row>
    <row r="36" spans="1:16" ht="15">
      <c r="A36" s="1996"/>
      <c r="B36" s="1997" t="s">
        <v>643</v>
      </c>
      <c r="C36" s="1998">
        <f>IF('数据-取费表'!B3="万元",典型户型修正!Y25,典型户型修正!X25)</f>
        <v>0</v>
      </c>
      <c r="D36" s="1943" t="str">
        <f>D33</f>
        <v>万元</v>
      </c>
      <c r="E36" s="1943"/>
      <c r="F36" s="1943"/>
      <c r="G36" s="1943"/>
      <c r="H36" s="1943"/>
      <c r="I36" s="1943"/>
    </row>
    <row r="37" spans="1:16" ht="15">
      <c r="A37" s="2936" t="s">
        <v>645</v>
      </c>
      <c r="B37" s="1999" t="s">
        <v>646</v>
      </c>
      <c r="C37" s="2000"/>
      <c r="D37" s="2001"/>
      <c r="E37" s="2002"/>
      <c r="F37" s="2002"/>
      <c r="G37" s="1943"/>
      <c r="H37" s="1943"/>
      <c r="I37" s="1943"/>
    </row>
    <row r="38" spans="1:16" ht="15">
      <c r="A38" s="2937"/>
      <c r="B38" s="2003" t="s">
        <v>647</v>
      </c>
      <c r="C38" s="2004"/>
      <c r="D38" s="1952"/>
      <c r="E38" s="1952"/>
      <c r="F38" s="2002"/>
      <c r="G38" s="1952"/>
      <c r="H38" s="1952"/>
      <c r="I38" s="1952"/>
    </row>
    <row r="39" spans="1:16" ht="15">
      <c r="A39" s="2938"/>
      <c r="B39" s="2005" t="s">
        <v>648</v>
      </c>
      <c r="C39" s="2006"/>
      <c r="D39" s="2007" t="s">
        <v>649</v>
      </c>
      <c r="E39" s="1952"/>
      <c r="F39" s="2002"/>
      <c r="G39" s="1952"/>
      <c r="H39" s="1952"/>
      <c r="I39" s="1952"/>
    </row>
    <row r="40" spans="1:16" ht="15">
      <c r="A40" s="1960" t="s">
        <v>650</v>
      </c>
      <c r="B40" s="2008" t="s">
        <v>633</v>
      </c>
      <c r="C40" s="2009" t="s">
        <v>634</v>
      </c>
      <c r="D40" s="2009" t="s">
        <v>651</v>
      </c>
      <c r="E40" s="2010" t="s">
        <v>635</v>
      </c>
      <c r="F40" s="2002"/>
      <c r="G40" s="1952"/>
      <c r="H40" s="1952"/>
      <c r="I40" s="1952"/>
    </row>
    <row r="41" spans="1:16" ht="14.25">
      <c r="A41" s="2011" t="s">
        <v>652</v>
      </c>
      <c r="B41" s="2012"/>
      <c r="C41" s="1408"/>
      <c r="D41" s="1408"/>
      <c r="E41" s="2013"/>
      <c r="F41" s="2002"/>
      <c r="G41" s="1952"/>
      <c r="H41" s="1952"/>
      <c r="I41" s="1952"/>
    </row>
    <row r="42" spans="1:16" ht="14.25">
      <c r="A42" s="2011" t="s">
        <v>653</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654</v>
      </c>
      <c r="B45" s="2021"/>
      <c r="C45" s="2021"/>
      <c r="D45" s="2022"/>
      <c r="E45" s="2022"/>
      <c r="F45" s="2023"/>
      <c r="G45" s="2023"/>
      <c r="H45" s="2023"/>
      <c r="I45" s="2023"/>
      <c r="J45" s="2069" t="s">
        <v>655</v>
      </c>
      <c r="K45" s="2070"/>
      <c r="L45" s="2070"/>
      <c r="M45" s="2070"/>
      <c r="N45" s="2070"/>
      <c r="O45" s="2070"/>
      <c r="P45" s="1940"/>
    </row>
    <row r="46" spans="1:16" ht="14.25" customHeight="1">
      <c r="A46" s="2847" t="s">
        <v>656</v>
      </c>
      <c r="B46" s="2848"/>
      <c r="C46" s="2849"/>
      <c r="D46" s="1549">
        <f ca="1">ROUND(I103*F46,0)</f>
        <v>392</v>
      </c>
      <c r="E46" s="2024" t="s">
        <v>657</v>
      </c>
      <c r="F46" s="2025">
        <v>1</v>
      </c>
      <c r="G46" s="2026" t="s">
        <v>658</v>
      </c>
      <c r="H46" s="1943"/>
      <c r="I46" s="1943"/>
      <c r="J46" s="2850" t="s">
        <v>659</v>
      </c>
      <c r="K46" s="2850"/>
      <c r="L46" s="2850"/>
      <c r="M46" s="2850"/>
      <c r="N46" s="2850"/>
      <c r="O46" s="2850"/>
      <c r="P46" s="1940"/>
    </row>
    <row r="47" spans="1:16" ht="14.25" customHeight="1">
      <c r="A47" s="2851" t="s">
        <v>660</v>
      </c>
      <c r="B47" s="2852"/>
      <c r="C47" s="2852"/>
      <c r="D47" s="2852"/>
      <c r="E47" s="2852"/>
      <c r="F47" s="2852"/>
      <c r="G47" s="2853"/>
      <c r="H47" s="2027"/>
      <c r="I47" s="1354"/>
      <c r="J47" s="1473">
        <v>1</v>
      </c>
      <c r="K47" s="2850" t="s">
        <v>661</v>
      </c>
      <c r="L47" s="2850"/>
      <c r="M47" s="2970"/>
      <c r="N47" s="2970"/>
      <c r="O47" s="2970"/>
      <c r="P47" s="1940"/>
    </row>
    <row r="48" spans="1:16" ht="12" customHeight="1">
      <c r="A48" s="2028" t="s">
        <v>662</v>
      </c>
      <c r="B48" s="2029"/>
      <c r="C48" s="2030"/>
      <c r="D48" s="2031" t="s">
        <v>663</v>
      </c>
      <c r="E48" s="1401" t="s">
        <v>664</v>
      </c>
      <c r="F48" s="1762" t="s">
        <v>665</v>
      </c>
      <c r="G48" s="2032" t="s">
        <v>666</v>
      </c>
      <c r="H48" s="2027"/>
      <c r="I48" s="1354"/>
      <c r="J48" s="1473">
        <v>2</v>
      </c>
      <c r="K48" s="2850" t="s">
        <v>667</v>
      </c>
      <c r="L48" s="2850"/>
      <c r="M48" s="2855">
        <f>'数据-取费表'!B2</f>
        <v>43199</v>
      </c>
      <c r="N48" s="2855"/>
      <c r="O48" s="2855"/>
      <c r="P48" s="1940"/>
    </row>
    <row r="49" spans="1:16" ht="25.5">
      <c r="A49" s="2860" t="s">
        <v>668</v>
      </c>
      <c r="B49" s="2861"/>
      <c r="C49" s="2861"/>
      <c r="D49" s="1591">
        <f ca="1">IF(H49="情况1",0,IF(H49="情况2",D53,IF(H49="情况3",D54,IF(H49="情况4",D55))))</f>
        <v>29</v>
      </c>
      <c r="E49" s="1604" t="str">
        <f>IF(H49="情况4","(销售额-原购置价)×税（费）率","销售额×税（费）率")</f>
        <v>销售额×税（费）率</v>
      </c>
      <c r="F49" s="2033">
        <f>IF(H49="情况1","免征",'数据-取费表'!E29)</f>
        <v>7.8400000000000011E-2</v>
      </c>
      <c r="G49" s="2034" t="s">
        <v>669</v>
      </c>
      <c r="H49" s="2035" t="s">
        <v>670</v>
      </c>
      <c r="I49" s="2027"/>
      <c r="J49" s="1473">
        <v>3</v>
      </c>
      <c r="K49" s="2850" t="s">
        <v>671</v>
      </c>
      <c r="L49" s="2850"/>
      <c r="M49" s="2854">
        <f ca="1">I103</f>
        <v>392</v>
      </c>
      <c r="N49" s="2854"/>
      <c r="O49" s="2854"/>
      <c r="P49" s="1940"/>
    </row>
    <row r="50" spans="1:16" ht="25.5" customHeight="1">
      <c r="A50" s="2036" t="s">
        <v>672</v>
      </c>
      <c r="B50" s="2862" t="s">
        <v>673</v>
      </c>
      <c r="C50" s="2862"/>
      <c r="D50" s="1644">
        <v>0</v>
      </c>
      <c r="E50" s="2037" t="s">
        <v>674</v>
      </c>
      <c r="F50" s="2038" t="s">
        <v>121</v>
      </c>
      <c r="G50" s="2863"/>
      <c r="H50" s="1943"/>
      <c r="I50" s="2072"/>
      <c r="J50" s="1473">
        <v>4</v>
      </c>
      <c r="K50" s="2850" t="str">
        <f>IF(项目基本情况!F5="房地产抵押价值","房地产抵押价值","抵押担保权已注销时的房地产抵押价值")</f>
        <v>房地产抵押价值</v>
      </c>
      <c r="L50" s="2850"/>
      <c r="M50" s="2854">
        <f ca="1">IF(项目基本情况!F5="房地产抵押价值",I111,I113)</f>
        <v>392</v>
      </c>
      <c r="N50" s="2854"/>
      <c r="O50" s="2854"/>
      <c r="P50" s="1940"/>
    </row>
    <row r="51" spans="1:16" ht="25.5" customHeight="1">
      <c r="A51" s="2039"/>
      <c r="B51" s="2862" t="s">
        <v>675</v>
      </c>
      <c r="C51" s="2862"/>
      <c r="D51" s="1670"/>
      <c r="E51" s="2040"/>
      <c r="F51" s="2041"/>
      <c r="G51" s="2864"/>
      <c r="H51" s="1943"/>
      <c r="I51" s="2072"/>
      <c r="J51" s="2850" t="s">
        <v>676</v>
      </c>
      <c r="K51" s="2850"/>
      <c r="L51" s="2850"/>
      <c r="M51" s="2850"/>
      <c r="N51" s="2850"/>
      <c r="O51" s="2850"/>
      <c r="P51" s="1940"/>
    </row>
    <row r="52" spans="1:16" ht="12" customHeight="1">
      <c r="A52" s="2042"/>
      <c r="B52" s="2862" t="s">
        <v>677</v>
      </c>
      <c r="C52" s="2862"/>
      <c r="D52" s="2043"/>
      <c r="E52" s="443"/>
      <c r="F52" s="2041"/>
      <c r="G52" s="2865"/>
      <c r="H52" s="1943"/>
      <c r="I52" s="2072"/>
      <c r="J52" s="2071" t="s">
        <v>678</v>
      </c>
      <c r="K52" s="2850" t="s">
        <v>679</v>
      </c>
      <c r="L52" s="2850"/>
      <c r="M52" s="2071" t="s">
        <v>680</v>
      </c>
      <c r="N52" s="2071" t="s">
        <v>681</v>
      </c>
      <c r="O52" s="2071" t="s">
        <v>682</v>
      </c>
      <c r="P52" s="1940"/>
    </row>
    <row r="53" spans="1:16" ht="24" customHeight="1">
      <c r="A53" s="2044" t="s">
        <v>683</v>
      </c>
      <c r="B53" s="2862" t="s">
        <v>684</v>
      </c>
      <c r="C53" s="2862"/>
      <c r="D53" s="2043">
        <f ca="1">ROUND(D46*'数据-取费表'!E29/(1+'数据-取费表'!F30),0)</f>
        <v>29</v>
      </c>
      <c r="E53" s="1404" t="s">
        <v>685</v>
      </c>
      <c r="F53" s="2045">
        <f>'数据-取费表'!E29</f>
        <v>7.8400000000000011E-2</v>
      </c>
      <c r="G53" s="2046"/>
      <c r="H53" s="1943"/>
      <c r="I53" s="2072"/>
      <c r="J53" s="1473">
        <v>1</v>
      </c>
      <c r="K53" s="2866" t="s">
        <v>686</v>
      </c>
      <c r="L53" s="2866"/>
      <c r="M53" s="2073">
        <f ca="1">D49</f>
        <v>29</v>
      </c>
      <c r="N53" s="1473" t="str">
        <f>E49</f>
        <v>销售额×税（费）率</v>
      </c>
      <c r="O53" s="2074">
        <f>F49</f>
        <v>7.8400000000000011E-2</v>
      </c>
      <c r="P53" s="1940"/>
    </row>
    <row r="54" spans="1:16" ht="12" customHeight="1">
      <c r="A54" s="2044" t="s">
        <v>687</v>
      </c>
      <c r="B54" s="2867" t="s">
        <v>688</v>
      </c>
      <c r="C54" s="2815"/>
      <c r="D54" s="2043">
        <f ca="1">ROUND(D46*'数据-取费表'!E29/(1+'数据-取费表'!F30),0)</f>
        <v>29</v>
      </c>
      <c r="E54" s="1404" t="s">
        <v>685</v>
      </c>
      <c r="F54" s="2045">
        <f>'数据-取费表'!E29</f>
        <v>7.8400000000000011E-2</v>
      </c>
      <c r="G54" s="2046"/>
      <c r="H54" s="1943"/>
      <c r="I54" s="2072"/>
      <c r="J54" s="1473">
        <v>2</v>
      </c>
      <c r="K54" s="2866" t="s">
        <v>689</v>
      </c>
      <c r="L54" s="2866"/>
      <c r="M54" s="2073">
        <f t="shared" ref="M54:O55" ca="1" si="1">D56</f>
        <v>0</v>
      </c>
      <c r="N54" s="1473" t="str">
        <f t="shared" si="1"/>
        <v>销售额×税（费）率</v>
      </c>
      <c r="O54" s="2074">
        <f t="shared" si="1"/>
        <v>5.0000000000000001E-4</v>
      </c>
      <c r="P54" s="1940"/>
    </row>
    <row r="55" spans="1:16" ht="12" customHeight="1">
      <c r="A55" s="2044" t="s">
        <v>690</v>
      </c>
      <c r="B55" s="2867" t="s">
        <v>691</v>
      </c>
      <c r="C55" s="2815"/>
      <c r="D55" s="2043">
        <f ca="1">C69</f>
        <v>29</v>
      </c>
      <c r="E55" s="443" t="s">
        <v>692</v>
      </c>
      <c r="F55" s="2045">
        <f>'数据-取费表'!E29</f>
        <v>7.8400000000000011E-2</v>
      </c>
      <c r="G55" s="2046"/>
      <c r="H55" s="2048"/>
      <c r="I55" s="2072"/>
      <c r="J55" s="1473">
        <v>3</v>
      </c>
      <c r="K55" s="2866" t="s">
        <v>693</v>
      </c>
      <c r="L55" s="2866"/>
      <c r="M55" s="2073">
        <f t="shared" ca="1" si="1"/>
        <v>217</v>
      </c>
      <c r="N55" s="1473" t="str">
        <f t="shared" si="1"/>
        <v>增值额×税（费）率</v>
      </c>
      <c r="O55" s="2075" t="str">
        <f t="shared" si="1"/>
        <v>——</v>
      </c>
      <c r="P55" s="1940"/>
    </row>
    <row r="56" spans="1:16" ht="24" customHeight="1">
      <c r="A56" s="2810" t="s">
        <v>694</v>
      </c>
      <c r="B56" s="2861"/>
      <c r="C56" s="2861"/>
      <c r="D56" s="1642">
        <f ca="1">IF(H56="个人住宅",0,ROUND(D46*I56,0))</f>
        <v>0</v>
      </c>
      <c r="E56" s="1404" t="s">
        <v>695</v>
      </c>
      <c r="F56" s="2045">
        <f>IF(H56="正常",I56,"免征")</f>
        <v>5.0000000000000001E-4</v>
      </c>
      <c r="G56" s="2046"/>
      <c r="H56" s="2035" t="s">
        <v>696</v>
      </c>
      <c r="I56" s="2076">
        <f>'数据-取费表'!E37</f>
        <v>5.0000000000000001E-4</v>
      </c>
      <c r="J56" s="1473" t="str">
        <f>IF(H60="非个人房产","",4)</f>
        <v/>
      </c>
      <c r="K56" s="2866" t="str">
        <f>IF(H60="非个人房产","——","个人所得税")</f>
        <v>——</v>
      </c>
      <c r="L56" s="2866"/>
      <c r="M56" s="2077" t="str">
        <f>D60</f>
        <v>——</v>
      </c>
      <c r="N56" s="2078" t="str">
        <f>E60</f>
        <v>——</v>
      </c>
      <c r="O56" s="2079" t="str">
        <f>F60</f>
        <v>——</v>
      </c>
      <c r="P56" s="1940"/>
    </row>
    <row r="57" spans="1:16" ht="24.75">
      <c r="A57" s="2810" t="s">
        <v>697</v>
      </c>
      <c r="B57" s="2861"/>
      <c r="C57" s="2861"/>
      <c r="D57" s="1642">
        <f ca="1">IF(H57="个人住宅",D58,D59)</f>
        <v>217</v>
      </c>
      <c r="E57" s="1404" t="s">
        <v>698</v>
      </c>
      <c r="F57" s="2045" t="str">
        <f>IF(H57="正常",F59,"免征")</f>
        <v>——</v>
      </c>
      <c r="G57" s="2050" t="s">
        <v>699</v>
      </c>
      <c r="H57" s="2051" t="s">
        <v>696</v>
      </c>
      <c r="I57" s="2053"/>
      <c r="J57" s="1473" t="str">
        <f>IF(项目基本情况!I6="上海银行",IF(J56="",4,J56+1),"")</f>
        <v/>
      </c>
      <c r="K57" s="2868" t="str">
        <f>IF(项目基本情况!I6="上海银行","其他处置费用","")</f>
        <v/>
      </c>
      <c r="L57" s="2869"/>
      <c r="M57" s="2073" t="str">
        <f>IF(项目基本情况!I6="上海银行",M70,"")</f>
        <v/>
      </c>
      <c r="N57" s="2870" t="str">
        <f>IF(项目基本情况!I6="上海银行","包含处置中涉及的律师、诉讼、拍卖、评估等费用","")</f>
        <v/>
      </c>
      <c r="O57" s="2871"/>
      <c r="P57" s="1940"/>
    </row>
    <row r="58" spans="1:16" ht="12.75">
      <c r="A58" s="2044" t="s">
        <v>672</v>
      </c>
      <c r="B58" s="2844" t="s">
        <v>700</v>
      </c>
      <c r="C58" s="2846"/>
      <c r="D58" s="2052">
        <v>0</v>
      </c>
      <c r="E58" s="2037" t="s">
        <v>674</v>
      </c>
      <c r="F58" s="1358"/>
      <c r="G58" s="2046"/>
      <c r="H58" s="2053"/>
      <c r="I58" s="2053"/>
      <c r="J58" s="2866">
        <f>IF(AND(J56="",J57=""),4,IF(项目基本情况!I6="上海银行",J57+1,J56+1))</f>
        <v>4</v>
      </c>
      <c r="K58" s="2866" t="s">
        <v>701</v>
      </c>
      <c r="L58" s="2080" t="s">
        <v>702</v>
      </c>
      <c r="M58" s="2081"/>
      <c r="N58" s="2082">
        <f ca="1">SUMIF(M53:M57,"&lt;9e307")</f>
        <v>246</v>
      </c>
      <c r="O58" s="2083"/>
      <c r="P58" s="2084">
        <f ca="1">N58/M50</f>
        <v>0.62755102040816324</v>
      </c>
    </row>
    <row r="59" spans="1:16" ht="24.75">
      <c r="A59" s="2044" t="s">
        <v>683</v>
      </c>
      <c r="B59" s="2844" t="s">
        <v>703</v>
      </c>
      <c r="C59" s="2845"/>
      <c r="D59" s="1642">
        <f ca="1">IF(H59="转让取得",C82,C98)</f>
        <v>217</v>
      </c>
      <c r="E59" s="1404" t="s">
        <v>698</v>
      </c>
      <c r="F59" s="1401" t="s">
        <v>121</v>
      </c>
      <c r="G59" s="2046"/>
      <c r="H59" s="2051" t="s">
        <v>704</v>
      </c>
      <c r="I59" s="2053"/>
      <c r="J59" s="2866"/>
      <c r="K59" s="2866"/>
      <c r="L59" s="2080" t="s">
        <v>705</v>
      </c>
      <c r="M59" s="2085"/>
      <c r="N59" s="2086" t="str">
        <f ca="1">IF(H19="元",NUMBERSTRING(INT(N58),2)&amp;"元整",NUMBERSTRING(INT(N58*10000),2)&amp;"元整")</f>
        <v>贰佰肆拾陆万元整</v>
      </c>
      <c r="O59" s="2087"/>
      <c r="P59" s="1940"/>
    </row>
    <row r="60" spans="1:16" ht="24">
      <c r="A60" s="2811" t="s">
        <v>706</v>
      </c>
      <c r="B60" s="2834"/>
      <c r="C60" s="2834"/>
      <c r="D60" s="2056" t="str">
        <f>IF(H60="非个人房产","——",IF(H60="个人住宅",0,ROUND(D46*I60,0)))</f>
        <v>——</v>
      </c>
      <c r="E60" s="2057" t="str">
        <f>IF(H60="非个人房产","——","销售额×税（费）率")</f>
        <v>——</v>
      </c>
      <c r="F60" s="2058" t="str">
        <f>IF(H60="非个人房产","——",IF(H60="个人住宅","免征",I60))</f>
        <v>——</v>
      </c>
      <c r="G60" s="2059" t="s">
        <v>699</v>
      </c>
      <c r="H60" s="2051" t="s">
        <v>818</v>
      </c>
      <c r="I60" s="2088">
        <v>0.01</v>
      </c>
      <c r="J60" s="2877">
        <f>J58+1</f>
        <v>5</v>
      </c>
      <c r="K60" s="2866" t="s">
        <v>708</v>
      </c>
      <c r="L60" s="1473" t="s">
        <v>702</v>
      </c>
      <c r="M60" s="2089"/>
      <c r="N60" s="2090">
        <f ca="1">M50-N58</f>
        <v>146</v>
      </c>
      <c r="O60" s="2091"/>
      <c r="P60" s="1940"/>
    </row>
    <row r="61" spans="1:16" ht="12" customHeight="1">
      <c r="A61" s="2060"/>
      <c r="B61" s="1943"/>
      <c r="C61" s="1943"/>
      <c r="D61" s="1943"/>
      <c r="E61" s="2053"/>
      <c r="F61" s="2053"/>
      <c r="G61" s="2053"/>
      <c r="H61" s="2018"/>
      <c r="I61" s="1943"/>
      <c r="J61" s="2878"/>
      <c r="K61" s="2866"/>
      <c r="L61" s="2080" t="s">
        <v>705</v>
      </c>
      <c r="M61" s="2085"/>
      <c r="N61" s="2086" t="str">
        <f ca="1">IF(H19="元",NUMBERSTRING(INT(N60),2)&amp;"元整",NUMBERSTRING(INT(N60*10000),2)&amp;"元整")</f>
        <v>壹佰肆拾陆万元整</v>
      </c>
      <c r="O61" s="2087"/>
      <c r="P61" s="1940"/>
    </row>
    <row r="62" spans="1:16" ht="12.75">
      <c r="A62" s="2872" t="s">
        <v>709</v>
      </c>
      <c r="B62" s="2872"/>
      <c r="C62" s="2872"/>
      <c r="D62" s="2872"/>
      <c r="E62" s="2872"/>
      <c r="F62" s="2053"/>
      <c r="G62" s="2053"/>
      <c r="H62" s="2018"/>
      <c r="I62" s="1943"/>
      <c r="J62" s="1473">
        <f>J60+1</f>
        <v>6</v>
      </c>
      <c r="K62" s="2866" t="s">
        <v>710</v>
      </c>
      <c r="L62" s="2866"/>
      <c r="M62" s="2092"/>
      <c r="N62" s="2093">
        <f ca="1">IF(H19="元",ROUND(N60/项目基本情况!C12,0),ROUND(N60*10000/项目基本情况!C12,0))</f>
        <v>15216</v>
      </c>
      <c r="O62" s="2094"/>
      <c r="P62" s="1940"/>
    </row>
    <row r="63" spans="1:16" ht="12.75">
      <c r="A63" s="2873" t="s">
        <v>711</v>
      </c>
      <c r="B63" s="2874"/>
      <c r="C63" s="454"/>
      <c r="D63" s="454" t="s">
        <v>712</v>
      </c>
      <c r="E63" s="2061" t="s">
        <v>666</v>
      </c>
      <c r="F63" s="2053"/>
      <c r="G63" s="2053"/>
      <c r="H63" s="2018"/>
      <c r="I63" s="1943"/>
      <c r="J63" s="1940"/>
      <c r="K63" s="1940"/>
      <c r="L63" s="1940"/>
      <c r="M63" s="1940"/>
      <c r="N63" s="1940"/>
      <c r="O63" s="1940"/>
      <c r="P63" s="1940"/>
    </row>
    <row r="64" spans="1:16" ht="12.75">
      <c r="A64" s="2062">
        <v>1</v>
      </c>
      <c r="B64" s="2063" t="s">
        <v>713</v>
      </c>
      <c r="C64" s="2064">
        <f ca="1">ROUND((C65+C66)/(1+'数据-取费表'!F30),0)</f>
        <v>366</v>
      </c>
      <c r="D64" s="2065"/>
      <c r="E64" s="2066"/>
      <c r="F64" s="2053"/>
      <c r="G64" s="2053"/>
      <c r="H64" s="2018"/>
      <c r="I64" s="1943"/>
      <c r="J64" s="2879" t="s">
        <v>714</v>
      </c>
      <c r="K64" s="2095" t="s">
        <v>715</v>
      </c>
      <c r="L64" s="2096">
        <f ca="1">IF(M50&gt;10000,M50*0.5%,IF(AND(M50&gt;1000,M50&lt;=10000),M50*1%,IF(AND(M50&gt;100,M50&lt;=1000),M50*3%,IF(AND(M50&gt;10,M50&lt;=100),M50*5%,M50*8%))))</f>
        <v>11.76</v>
      </c>
      <c r="M64" s="1401">
        <f ca="1">ROUND(L64,1)</f>
        <v>11.8</v>
      </c>
      <c r="N64" s="1940"/>
      <c r="O64" s="1940"/>
      <c r="P64" s="1940"/>
    </row>
    <row r="65" spans="1:35" ht="12.75">
      <c r="A65" s="2097" t="s">
        <v>716</v>
      </c>
      <c r="B65" s="405" t="s">
        <v>717</v>
      </c>
      <c r="C65" s="2098">
        <f ca="1">D46</f>
        <v>392</v>
      </c>
      <c r="D65" s="431" t="s">
        <v>121</v>
      </c>
      <c r="E65" s="2099"/>
      <c r="F65" s="2053"/>
      <c r="G65" s="2053"/>
      <c r="H65" s="2018"/>
      <c r="I65" s="1943"/>
      <c r="J65" s="2879"/>
      <c r="K65" s="2095" t="s">
        <v>718</v>
      </c>
      <c r="L65" s="2096">
        <f ca="1">IF(M50&gt;2000,M50*0.5%,IF(AND(M50&gt;1000,M50&lt;=2000),M50*0.6%,IF(AND(M50&gt;500,M50&lt;=1000),M50*0.7%,IF(AND(M50&gt;200,M50&lt;=500),M50*0.8%,IF(AND(M50&gt;100,M50&lt;=200),M50*0.9%,IF(AND(M50&gt;50,M50&lt;=100),M50*1%,IF(AND(M50&gt;20,M50&lt;=50),M50*1.5%,IF(AND(M50&gt;10,M50&lt;=20),M50*2%,IF(AND(M50&gt;1,M50&lt;=10),M50*2.5%)))))))))</f>
        <v>3.1360000000000001</v>
      </c>
      <c r="M65" s="1401">
        <f t="shared" ref="M65:M66" ca="1" si="2">ROUND(L65,1)</f>
        <v>3.1</v>
      </c>
      <c r="N65" s="1940" t="s">
        <v>719</v>
      </c>
      <c r="O65" s="1940"/>
      <c r="P65" s="1940"/>
    </row>
    <row r="66" spans="1:35" ht="12.75">
      <c r="A66" s="2097" t="s">
        <v>720</v>
      </c>
      <c r="B66" s="405" t="s">
        <v>721</v>
      </c>
      <c r="C66" s="2100"/>
      <c r="D66" s="431"/>
      <c r="E66" s="2099"/>
      <c r="F66" s="2053"/>
      <c r="G66" s="2053"/>
      <c r="H66" s="2018"/>
      <c r="I66" s="1943"/>
      <c r="J66" s="2879"/>
      <c r="K66" s="2095" t="s">
        <v>722</v>
      </c>
      <c r="L66" s="2096">
        <f ca="1">IF(M50&gt;1000,M50*0.1%,IF(AND(M50&gt;500,M50&lt;=1000),M50*0.5%,IF(AND(M50&gt;50,M50&lt;=500),M50*1%,IF(AND(M50&gt;1,M50&lt;=50),M50*1.5%))))</f>
        <v>3.92</v>
      </c>
      <c r="M66" s="1401">
        <f t="shared" ca="1" si="2"/>
        <v>3.9</v>
      </c>
      <c r="N66" s="1940" t="s">
        <v>719</v>
      </c>
      <c r="O66" s="1940"/>
      <c r="P66" s="1940"/>
    </row>
    <row r="67" spans="1:35" ht="12.75">
      <c r="A67" s="2101" t="s">
        <v>723</v>
      </c>
      <c r="B67" s="2102" t="s">
        <v>724</v>
      </c>
      <c r="C67" s="2103"/>
      <c r="D67" s="500" t="s">
        <v>121</v>
      </c>
      <c r="E67" s="2104" t="s">
        <v>725</v>
      </c>
      <c r="F67" s="2053"/>
      <c r="G67" s="2053"/>
      <c r="H67" s="2018"/>
      <c r="I67" s="1943"/>
      <c r="J67" s="2879"/>
      <c r="K67" s="2095" t="s">
        <v>726</v>
      </c>
      <c r="L67" s="2096">
        <f ca="1">M50*0.5%</f>
        <v>1.96</v>
      </c>
      <c r="M67" s="1401">
        <f ca="1">IF(L67&gt;0.5,0.5,ROUND(L67,0))</f>
        <v>0.5</v>
      </c>
      <c r="N67" s="1940" t="s">
        <v>727</v>
      </c>
      <c r="O67" s="1940"/>
      <c r="P67" s="1940"/>
    </row>
    <row r="68" spans="1:35" ht="12.75">
      <c r="A68" s="2101" t="s">
        <v>728</v>
      </c>
      <c r="B68" s="2102" t="s">
        <v>729</v>
      </c>
      <c r="C68" s="2105">
        <f ca="1">C64-C67</f>
        <v>366</v>
      </c>
      <c r="D68" s="431" t="s">
        <v>121</v>
      </c>
      <c r="E68" s="2099"/>
      <c r="F68" s="2053"/>
      <c r="G68" s="2053"/>
      <c r="H68" s="2018"/>
      <c r="I68" s="1943"/>
      <c r="J68" s="2879"/>
      <c r="K68" s="2095" t="s">
        <v>730</v>
      </c>
      <c r="L68" s="2096">
        <f ca="1">IF(M50&gt;=10000,(8.25+(M50-10000)*0.01%),IF(AND(M50&gt;=8000,M50&lt;10000),(7.85+(M50-8000)*0.02%),IF(AND(M50&gt;=5000,M50&lt;8000),(6.65+(M50-5000)*0.04%),IF(AND(M50&gt;=2000,M50&lt;5000),(4.25+(PM50-2000)*0.08%),IF(AND(M50&gt;=1000,M50&lt;2000),(2.75+(M50-1000)*0.15%),IF(AND(M50&gt;=100,M50&lt;1000),(0.5+(M50-100)*0.25%),IF(AND(M50&gt;0,M50&lt;100),M50*0.5%)))))))</f>
        <v>1.23</v>
      </c>
      <c r="M68" s="1401">
        <f ca="1">ROUND(L68*0.9,1)</f>
        <v>1.1000000000000001</v>
      </c>
      <c r="N68" s="1940"/>
      <c r="O68" s="1940"/>
      <c r="P68" s="1940"/>
    </row>
    <row r="69" spans="1:35" ht="12.75">
      <c r="A69" s="2106" t="s">
        <v>731</v>
      </c>
      <c r="B69" s="2107" t="s">
        <v>732</v>
      </c>
      <c r="C69" s="2108">
        <f ca="1">IF(C68&lt;=0,0,ROUND(C68*D69,0))</f>
        <v>29</v>
      </c>
      <c r="D69" s="589">
        <f>'数据-取费表'!E29</f>
        <v>7.8400000000000011E-2</v>
      </c>
      <c r="E69" s="2109"/>
      <c r="F69" s="2053"/>
      <c r="G69" s="2053"/>
      <c r="H69" s="2018"/>
      <c r="I69" s="1943"/>
      <c r="J69" s="2879"/>
      <c r="K69" s="2095" t="s">
        <v>733</v>
      </c>
      <c r="L69" s="2096">
        <f ca="1">IF(M50&gt;10000,M50*0.5%,IF(AND(M50&gt;5000,M50&lt;=10000),M50*1%,IF(AND(M50&gt;1000,M50&lt;=5000),M50*2%,IF(AND(M50&gt;200,M50&lt;=1000),M50*3%,M50*5%))))</f>
        <v>11.76</v>
      </c>
      <c r="M69" s="1401">
        <f ca="1">ROUND(L69,1)</f>
        <v>11.8</v>
      </c>
      <c r="N69" s="1940"/>
      <c r="O69" s="1940"/>
      <c r="P69" s="1940"/>
    </row>
    <row r="70" spans="1:35" s="1938" customFormat="1" ht="7.5" customHeight="1">
      <c r="A70" s="2110"/>
      <c r="B70" s="2111"/>
      <c r="C70" s="2112"/>
      <c r="D70" s="548"/>
      <c r="E70" s="2113"/>
      <c r="F70" s="2053"/>
      <c r="G70" s="2053"/>
      <c r="H70" s="2018"/>
      <c r="I70" s="1943"/>
      <c r="J70" s="2879"/>
      <c r="K70" s="2095" t="s">
        <v>734</v>
      </c>
      <c r="L70" s="2182"/>
      <c r="M70" s="1401">
        <f ca="1">ROUND(SUM(M64:M69),0)</f>
        <v>32</v>
      </c>
      <c r="N70" s="2084">
        <f ca="1">M70/M50</f>
        <v>8.1632653061224483E-2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875" t="s">
        <v>735</v>
      </c>
      <c r="B71" s="2876"/>
      <c r="C71" s="2876"/>
      <c r="D71" s="2876"/>
      <c r="E71" s="2876"/>
      <c r="F71" s="2876"/>
      <c r="G71" s="2876"/>
      <c r="H71" s="2876"/>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873" t="s">
        <v>711</v>
      </c>
      <c r="B72" s="2874"/>
      <c r="C72" s="454"/>
      <c r="D72" s="454" t="s">
        <v>712</v>
      </c>
      <c r="E72" s="2114" t="s">
        <v>666</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736</v>
      </c>
      <c r="C73" s="2105">
        <f ca="1">ROUND(D46/(1+'数据-取费表'!F30),0)</f>
        <v>366</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738</v>
      </c>
      <c r="C74" s="2105">
        <f ca="1">C75+C79</f>
        <v>3</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741</v>
      </c>
      <c r="B76" s="405" t="s">
        <v>742</v>
      </c>
      <c r="C76" s="2121"/>
      <c r="D76" s="431" t="s">
        <v>121</v>
      </c>
      <c r="E76" s="2122" t="s">
        <v>743</v>
      </c>
      <c r="F76" s="2123" t="s">
        <v>744</v>
      </c>
      <c r="G76" s="2122" t="s">
        <v>745</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746</v>
      </c>
      <c r="B77" s="2125" t="s">
        <v>747</v>
      </c>
      <c r="C77" s="431">
        <f>IF(F76="购房发票",ROUND(C76*H76*D77,0),0)</f>
        <v>0</v>
      </c>
      <c r="D77" s="2126">
        <v>0.05</v>
      </c>
      <c r="E77" s="2867" t="s">
        <v>748</v>
      </c>
      <c r="F77" s="2862"/>
      <c r="G77" s="2862"/>
      <c r="H77" s="2880"/>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749</v>
      </c>
      <c r="B78" s="405" t="s">
        <v>750</v>
      </c>
      <c r="C78" s="431">
        <f>ROUND(IF(G78="个人住宅",0,IF(G78="2016年5月1日前购买",C76*D78,C76*D78/(1+'数据-取费表'!F30))),0)</f>
        <v>0</v>
      </c>
      <c r="D78" s="2128">
        <f>'数据-取费表'!E36+'数据-取费表'!E37</f>
        <v>3.0499999999999999E-2</v>
      </c>
      <c r="E78" s="1663" t="s">
        <v>751</v>
      </c>
      <c r="F78" s="2129"/>
      <c r="G78" s="2130" t="s">
        <v>752</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753</v>
      </c>
      <c r="B79" s="405" t="s">
        <v>754</v>
      </c>
      <c r="C79" s="2131">
        <f ca="1">ROUND(D46*D79/(1+'数据-取费表'!F30),0)</f>
        <v>3</v>
      </c>
      <c r="D79" s="2132">
        <f>'数据-取费表'!E31</f>
        <v>8.4000000000000012E-3</v>
      </c>
      <c r="E79" s="2881" t="s">
        <v>755</v>
      </c>
      <c r="F79" s="2882"/>
      <c r="G79" s="2882"/>
      <c r="H79" s="2883"/>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728</v>
      </c>
      <c r="B80" s="2102" t="s">
        <v>756</v>
      </c>
      <c r="C80" s="2105">
        <f ca="1">C73-C74</f>
        <v>363</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731</v>
      </c>
      <c r="B81" s="2102" t="s">
        <v>757</v>
      </c>
      <c r="C81" s="2137">
        <f ca="1">IF(C80&lt;=0,0,C80/C74)</f>
        <v>121</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758</v>
      </c>
      <c r="B82" s="2107" t="s">
        <v>759</v>
      </c>
      <c r="C82" s="2139">
        <f ca="1">ROUND(IF(C80&lt;=0,0,IF(C81&gt;=200%,C80*60%-C74*35%,IF(C81&gt;=100%,C80*50%-C74*15%,IF(C81&gt;=50%,C80*40%-C74*5%,IF(C81&lt;50%,C80*30%,0))))),0)</f>
        <v>217</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875" t="s">
        <v>760</v>
      </c>
      <c r="B84" s="2876"/>
      <c r="C84" s="2876"/>
      <c r="D84" s="2876"/>
      <c r="E84" s="2876"/>
      <c r="F84" s="2876"/>
      <c r="G84" s="2876"/>
      <c r="H84" s="287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873" t="s">
        <v>711</v>
      </c>
      <c r="B85" s="2874"/>
      <c r="C85" s="454"/>
      <c r="D85" s="454" t="s">
        <v>712</v>
      </c>
      <c r="E85" s="2114" t="s">
        <v>666</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736</v>
      </c>
      <c r="C86" s="2105">
        <f ca="1">ROUND(D46/(1+'数据-取费表'!F30),0)</f>
        <v>366</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738</v>
      </c>
      <c r="C87" s="2105">
        <f ca="1">IF(H89="仅含出让金",C88+C91+C92+C93+C94+C95,C88+C92+C93+C94+C95)</f>
        <v>3</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761</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741</v>
      </c>
      <c r="B89" s="405" t="s">
        <v>762</v>
      </c>
      <c r="C89" s="2149"/>
      <c r="D89" s="2132"/>
      <c r="E89" s="2150" t="s">
        <v>763</v>
      </c>
      <c r="F89" s="2134"/>
      <c r="G89" s="2151" t="s">
        <v>764</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746</v>
      </c>
      <c r="B90" s="405" t="s">
        <v>750</v>
      </c>
      <c r="C90" s="2131">
        <f>ROUND(C89*D90,0)</f>
        <v>0</v>
      </c>
      <c r="D90" s="2132">
        <f>'数据-取费表'!E36+'数据-取费表'!E37</f>
        <v>3.0499999999999999E-2</v>
      </c>
      <c r="E90" s="2150" t="s">
        <v>765</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753</v>
      </c>
      <c r="B91" s="405" t="s">
        <v>766</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767</v>
      </c>
      <c r="B92" s="405" t="s">
        <v>768</v>
      </c>
      <c r="C92" s="2131">
        <f>IF(H92="——",成本法!C33,I92)</f>
        <v>0</v>
      </c>
      <c r="D92" s="2132"/>
      <c r="E92" s="2881" t="s">
        <v>769</v>
      </c>
      <c r="F92" s="2882"/>
      <c r="G92" s="2882"/>
      <c r="H92" s="2153" t="s">
        <v>770</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771</v>
      </c>
      <c r="B93" s="405" t="s">
        <v>772</v>
      </c>
      <c r="C93" s="2131">
        <f>ROUND((C88+C91+C92)*D93,0)</f>
        <v>0</v>
      </c>
      <c r="D93" s="2132">
        <v>0.1</v>
      </c>
      <c r="E93" s="2881" t="s">
        <v>773</v>
      </c>
      <c r="F93" s="2882"/>
      <c r="G93" s="2882"/>
      <c r="H93" s="2883"/>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774</v>
      </c>
      <c r="B94" s="405" t="s">
        <v>754</v>
      </c>
      <c r="C94" s="2131">
        <f ca="1">ROUND(D46*D94/(1+'数据-取费表'!F30),0)</f>
        <v>3</v>
      </c>
      <c r="D94" s="2132">
        <f>'数据-取费表'!E31</f>
        <v>8.4000000000000012E-3</v>
      </c>
      <c r="E94" s="2881" t="s">
        <v>755</v>
      </c>
      <c r="F94" s="2882"/>
      <c r="G94" s="2882"/>
      <c r="H94" s="2883"/>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775</v>
      </c>
      <c r="B95" s="405" t="s">
        <v>776</v>
      </c>
      <c r="C95" s="2131">
        <f>ROUND((C88+C91+C92)*D95,0)</f>
        <v>0</v>
      </c>
      <c r="D95" s="2132">
        <v>0.2</v>
      </c>
      <c r="E95" s="2881" t="s">
        <v>777</v>
      </c>
      <c r="F95" s="2882"/>
      <c r="G95" s="2882"/>
      <c r="H95" s="2883"/>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728</v>
      </c>
      <c r="B96" s="2102" t="s">
        <v>756</v>
      </c>
      <c r="C96" s="2105">
        <f ca="1">ROUND(C86-C87,0)</f>
        <v>363</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731</v>
      </c>
      <c r="B97" s="2102" t="s">
        <v>757</v>
      </c>
      <c r="C97" s="2137">
        <f ca="1">IF(C96&lt;=0,0,C96/C87)</f>
        <v>121</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758</v>
      </c>
      <c r="B98" s="2107" t="s">
        <v>759</v>
      </c>
      <c r="C98" s="2139">
        <f ca="1">ROUND(IF(C96&lt;=0,0,IF(C97&gt;=200%,C96*60%-C87*35%,IF(C97&gt;=100%,C96*50%-C87*15%,IF(C97&gt;=50%,C96*40%-C87*5%,IF(C97&lt;50%,C96*30%,0))))),0)</f>
        <v>217</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778</v>
      </c>
      <c r="B99" s="1943"/>
      <c r="C99" s="1943"/>
      <c r="D99" s="1943"/>
      <c r="E99" s="2053"/>
      <c r="F99" s="2053"/>
      <c r="G99" s="2053"/>
      <c r="H99" s="2018"/>
      <c r="I99" s="1943"/>
    </row>
    <row r="100" spans="1:35" ht="15.75">
      <c r="A100" s="2884" t="s">
        <v>779</v>
      </c>
      <c r="B100" s="2885"/>
      <c r="C100" s="2885"/>
      <c r="D100" s="2886"/>
      <c r="E100" s="1943"/>
      <c r="F100" s="2887" t="s">
        <v>780</v>
      </c>
      <c r="G100" s="2888"/>
      <c r="H100" s="2888"/>
      <c r="I100" s="2889"/>
    </row>
    <row r="101" spans="1:35" ht="15.75">
      <c r="A101" s="2890" t="s">
        <v>781</v>
      </c>
      <c r="B101" s="2891"/>
      <c r="C101" s="2155">
        <f>C4</f>
        <v>0</v>
      </c>
      <c r="D101" s="2156">
        <f>D4</f>
        <v>0</v>
      </c>
      <c r="E101" s="1943"/>
      <c r="F101" s="2892" t="s">
        <v>782</v>
      </c>
      <c r="G101" s="2893"/>
      <c r="H101" s="2977" t="s">
        <v>783</v>
      </c>
      <c r="I101" s="2894"/>
    </row>
    <row r="102" spans="1:35" ht="15.75">
      <c r="A102" s="2974" t="s">
        <v>819</v>
      </c>
      <c r="B102" s="2157" t="str">
        <f>IF(H19="元","总价（元）","总价（万元）")</f>
        <v>总价（万元）</v>
      </c>
      <c r="C102" s="2155" t="e">
        <f ca="1">C19</f>
        <v>#REF!</v>
      </c>
      <c r="D102" s="2156" t="e">
        <f ca="1">D19</f>
        <v>#REF!</v>
      </c>
      <c r="E102" s="1943"/>
      <c r="F102" s="2978"/>
      <c r="G102" s="2979"/>
      <c r="H102" s="2895">
        <f>典型户型修正!B25</f>
        <v>176.79000000000002</v>
      </c>
      <c r="I102" s="2894"/>
    </row>
    <row r="103" spans="1:35" ht="15.75">
      <c r="A103" s="2974"/>
      <c r="B103" s="2157" t="s">
        <v>785</v>
      </c>
      <c r="C103" s="2158" t="e">
        <f ca="1">C20</f>
        <v>#REF!</v>
      </c>
      <c r="D103" s="2159" t="e">
        <f ca="1">D20</f>
        <v>#REF!</v>
      </c>
      <c r="E103" s="1943"/>
      <c r="F103" s="2902" t="s">
        <v>786</v>
      </c>
      <c r="G103" s="2903"/>
      <c r="H103" s="2160" t="str">
        <f>C109</f>
        <v>总价（万元）</v>
      </c>
      <c r="I103" s="2187">
        <f ca="1">H124</f>
        <v>392</v>
      </c>
    </row>
    <row r="104" spans="1:35" ht="15">
      <c r="A104" s="2974" t="s">
        <v>820</v>
      </c>
      <c r="B104" s="2161" t="str">
        <f>B102</f>
        <v>总价（万元）</v>
      </c>
      <c r="C104" s="2162" t="e">
        <f ca="1">ROUND(IF('数据-取费表'!B4="总价",G19,IF(H19="元",G20*'数据-取费表'!E5,G20*'数据-取费表'!E5/10000)),0)</f>
        <v>#REF!</v>
      </c>
      <c r="D104" s="2163"/>
      <c r="E104" s="1943"/>
      <c r="F104" s="2902"/>
      <c r="G104" s="2903"/>
      <c r="H104" s="2160" t="s">
        <v>785</v>
      </c>
      <c r="I104" s="2188">
        <f ca="1">I124</f>
        <v>22173</v>
      </c>
    </row>
    <row r="105" spans="1:35" ht="15.75">
      <c r="A105" s="2974"/>
      <c r="B105" s="2157" t="s">
        <v>785</v>
      </c>
      <c r="C105" s="2164" t="e">
        <f ca="1">ROUND(IF('数据-取费表'!B4="楼面单价",G20,IF(H19="元",G19/'数据-取费表'!E5,G19*10000/'数据-取费表'!E5)),0)</f>
        <v>#REF!</v>
      </c>
      <c r="D105" s="2163"/>
      <c r="E105" s="1943"/>
      <c r="F105" s="2896"/>
      <c r="G105" s="2897"/>
      <c r="H105" s="2898"/>
      <c r="I105" s="2899"/>
    </row>
    <row r="106" spans="1:35" ht="15.75">
      <c r="A106" s="2975" t="s">
        <v>821</v>
      </c>
      <c r="B106" s="2166" t="str">
        <f>B102</f>
        <v>总价（万元）</v>
      </c>
      <c r="C106" s="2167">
        <f ca="1">H124</f>
        <v>392</v>
      </c>
      <c r="D106" s="2168"/>
      <c r="E106" s="1943"/>
      <c r="F106" s="2900" t="s">
        <v>789</v>
      </c>
      <c r="G106" s="2901"/>
      <c r="H106" s="2169" t="str">
        <f>C111</f>
        <v>总额（万元）</v>
      </c>
      <c r="I106" s="2187">
        <f>SUMIF(I107:I109,"&lt;9E307")</f>
        <v>0</v>
      </c>
    </row>
    <row r="107" spans="1:35" ht="15">
      <c r="A107" s="2940"/>
      <c r="B107" s="2170" t="s">
        <v>785</v>
      </c>
      <c r="C107" s="2171">
        <f ca="1">I124</f>
        <v>22173</v>
      </c>
      <c r="D107" s="2172"/>
      <c r="E107" s="1943"/>
      <c r="F107" s="2917" t="s">
        <v>791</v>
      </c>
      <c r="G107" s="2918"/>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2971" t="s">
        <v>788</v>
      </c>
      <c r="B108" s="2972"/>
      <c r="C108" s="2972"/>
      <c r="D108" s="2973"/>
      <c r="E108" s="1943"/>
      <c r="F108" s="2917" t="s">
        <v>792</v>
      </c>
      <c r="G108" s="2918"/>
      <c r="H108" s="2169" t="str">
        <f>C113</f>
        <v>总额（万元）</v>
      </c>
      <c r="I108" s="2188">
        <f>C38</f>
        <v>0</v>
      </c>
      <c r="K108" s="2189"/>
    </row>
    <row r="109" spans="1:35" ht="15">
      <c r="A109" s="2908" t="s">
        <v>822</v>
      </c>
      <c r="B109" s="2909"/>
      <c r="C109" s="2160" t="str">
        <f>B102</f>
        <v>总价（万元）</v>
      </c>
      <c r="D109" s="2173">
        <f ca="1">H124</f>
        <v>392</v>
      </c>
      <c r="E109" s="1943"/>
      <c r="F109" s="2917" t="s">
        <v>794</v>
      </c>
      <c r="G109" s="2918"/>
      <c r="H109" s="2169" t="str">
        <f>C114</f>
        <v>总额（万元）</v>
      </c>
      <c r="I109" s="2188">
        <f>C39</f>
        <v>0</v>
      </c>
    </row>
    <row r="110" spans="1:35" ht="15.75">
      <c r="A110" s="2908"/>
      <c r="B110" s="2909"/>
      <c r="C110" s="2160" t="s">
        <v>785</v>
      </c>
      <c r="D110" s="2174">
        <f ca="1">I124</f>
        <v>22173</v>
      </c>
      <c r="E110" s="1943"/>
      <c r="F110" s="2896"/>
      <c r="G110" s="2897"/>
      <c r="H110" s="2921"/>
      <c r="I110" s="2922"/>
    </row>
    <row r="111" spans="1:35" ht="28.5" customHeight="1">
      <c r="A111" s="2919" t="s">
        <v>793</v>
      </c>
      <c r="B111" s="2920"/>
      <c r="C111" s="2169" t="str">
        <f>IF(H19="元","总额（元）","总额（万元）")</f>
        <v>总额（万元）</v>
      </c>
      <c r="D111" s="2173">
        <f>IF(D37="正常操作",I107+I108+I109,I108+I109)</f>
        <v>0</v>
      </c>
      <c r="E111" s="1943"/>
      <c r="F111" s="2904" t="str">
        <f>IF(项目基本情况!F5="已注销","——","3.房地产抵押价值")</f>
        <v>3.房地产抵押价值</v>
      </c>
      <c r="G111" s="2905"/>
      <c r="H111" s="2175" t="str">
        <f>C115</f>
        <v>总价（万元）</v>
      </c>
      <c r="I111" s="2187">
        <f ca="1">IF(F111="——","——",I103-I106)</f>
        <v>392</v>
      </c>
    </row>
    <row r="112" spans="1:35" ht="15">
      <c r="A112" s="2917" t="s">
        <v>791</v>
      </c>
      <c r="B112" s="2918"/>
      <c r="C112" s="2169" t="str">
        <f>C111</f>
        <v>总额（万元）</v>
      </c>
      <c r="D112" s="771">
        <f>IF(D37="同一抵押权人同一抵押物续贷",C37&amp;"（未扣减，详见特别提示）",C37)</f>
        <v>0</v>
      </c>
      <c r="E112" s="1943"/>
      <c r="F112" s="2906"/>
      <c r="G112" s="2907"/>
      <c r="H112" s="2160" t="s">
        <v>785</v>
      </c>
      <c r="I112" s="2190">
        <f ca="1">D116</f>
        <v>22173</v>
      </c>
    </row>
    <row r="113" spans="1:26" ht="15.75">
      <c r="A113" s="2917" t="s">
        <v>792</v>
      </c>
      <c r="B113" s="2918"/>
      <c r="C113" s="2169" t="str">
        <f>C111</f>
        <v>总额（万元）</v>
      </c>
      <c r="D113" s="771">
        <f>C38</f>
        <v>0</v>
      </c>
      <c r="E113" s="1943"/>
      <c r="F113" s="2904" t="str">
        <f>IF(项目基本情况!F5="已注销及未注销","4.抵押担保权已注销时的房地产抵押价值",IF(项目基本情况!F5="已注销","3.抵押担保权已注销时的房地产抵押价值","——"))</f>
        <v>——</v>
      </c>
      <c r="G113" s="2905"/>
      <c r="H113" s="2175" t="str">
        <f>C117</f>
        <v>总价（万元）</v>
      </c>
      <c r="I113" s="2187" t="str">
        <f>IF(F113="——","——",I103-I108-I109)</f>
        <v>——</v>
      </c>
    </row>
    <row r="114" spans="1:26" ht="15">
      <c r="A114" s="2917" t="s">
        <v>794</v>
      </c>
      <c r="B114" s="2918"/>
      <c r="C114" s="2169" t="str">
        <f>C111</f>
        <v>总额（万元）</v>
      </c>
      <c r="D114" s="771">
        <f>C39</f>
        <v>0</v>
      </c>
      <c r="E114" s="1943"/>
      <c r="F114" s="2906"/>
      <c r="G114" s="2907"/>
      <c r="H114" s="2160" t="s">
        <v>785</v>
      </c>
      <c r="I114" s="2188" t="str">
        <f>D118</f>
        <v>——</v>
      </c>
    </row>
    <row r="115" spans="1:26" ht="15.75">
      <c r="A115" s="2908" t="str">
        <f>IF(项目基本情况!F5="已注销","——","3.房地产抵押价值")</f>
        <v>3.房地产抵押价值</v>
      </c>
      <c r="B115" s="2909"/>
      <c r="C115" s="2160" t="str">
        <f>B102</f>
        <v>总价（万元）</v>
      </c>
      <c r="D115" s="2173">
        <f ca="1">IF(A115="——","——",D109-D111)</f>
        <v>392</v>
      </c>
      <c r="E115" s="1943"/>
      <c r="F115" s="2904" t="str">
        <f>IF(项目基本情况!G5="抵押净值",IF(OR(项目基本情况!F5="已注销",项目基本情况!F5="房地产抵押价值"),"4.抵押净值","5.抵押净值"),"——")</f>
        <v>——</v>
      </c>
      <c r="G115" s="2905"/>
      <c r="H115" s="2160" t="str">
        <f>C119</f>
        <v>总价（万元）</v>
      </c>
      <c r="I115" s="2187" t="str">
        <f>IF(F115="——","——",N60)</f>
        <v>——</v>
      </c>
    </row>
    <row r="116" spans="1:26" ht="15">
      <c r="A116" s="2908"/>
      <c r="B116" s="2909"/>
      <c r="C116" s="2160" t="s">
        <v>785</v>
      </c>
      <c r="D116" s="2174">
        <f ca="1">ROUND(IF(D115=D109,D110,IF(H19="元",D115/B124,D115*10000/B124)),0)</f>
        <v>22173</v>
      </c>
      <c r="E116" s="1943"/>
      <c r="F116" s="2910"/>
      <c r="G116" s="2911"/>
      <c r="H116" s="2176" t="s">
        <v>785</v>
      </c>
      <c r="I116" s="2191" t="str">
        <f ca="1">D120</f>
        <v>——</v>
      </c>
    </row>
    <row r="117" spans="1:26" ht="15.75">
      <c r="A117" s="2908" t="str">
        <f>IF(项目基本情况!F5="已注销及未注销","4.抵押担保权已注销时的房地产抵押价值",IF(项目基本情况!F5="已注销","3.抵押担保权已注销时的房地产抵押价值","——"))</f>
        <v>——</v>
      </c>
      <c r="B117" s="2909"/>
      <c r="C117" s="2160" t="str">
        <f>B102</f>
        <v>总价（万元）</v>
      </c>
      <c r="D117" s="2173" t="str">
        <f>IF(A117="——","——",D109-D113-D114)</f>
        <v>——</v>
      </c>
      <c r="E117" s="1943"/>
      <c r="F117" s="2914"/>
      <c r="G117" s="2914"/>
      <c r="H117" s="2915"/>
      <c r="I117" s="2915"/>
      <c r="N117" s="1349"/>
      <c r="O117" s="1349"/>
    </row>
    <row r="118" spans="1:26" s="1940" customFormat="1" ht="15">
      <c r="A118" s="2908"/>
      <c r="B118" s="2909"/>
      <c r="C118" s="2160" t="s">
        <v>785</v>
      </c>
      <c r="D118" s="2174" t="str">
        <f>IF(A117="——","——",IF(H19="元",ROUND(D117/B124,0),ROUND(D117*10000/B124,0)))</f>
        <v>——</v>
      </c>
      <c r="E118" s="1943"/>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08" t="str">
        <f>IF(项目基本情况!G5="抵押净值",IF(OR(项目基本情况!F5="已注销",项目基本情况!F5="房地产抵押价值"),"4.抵押净值","5.抵押净值"),"——")</f>
        <v>——</v>
      </c>
      <c r="B119" s="2909"/>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12"/>
      <c r="B120" s="2913"/>
      <c r="C120" s="2176" t="s">
        <v>785</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949" t="s">
        <v>795</v>
      </c>
      <c r="B121" s="2950"/>
      <c r="C121" s="2950"/>
      <c r="D121" s="2950"/>
      <c r="E121" s="2950"/>
      <c r="F121" s="2950"/>
      <c r="G121" s="2950"/>
      <c r="H121" s="2950"/>
      <c r="I121" s="2950"/>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941" t="s">
        <v>796</v>
      </c>
      <c r="B122" s="2943" t="s">
        <v>797</v>
      </c>
      <c r="C122" s="2943" t="s">
        <v>798</v>
      </c>
      <c r="D122" s="2951" t="s">
        <v>799</v>
      </c>
      <c r="E122" s="2952"/>
      <c r="F122" s="2942" t="s">
        <v>643</v>
      </c>
      <c r="G122" s="2942"/>
      <c r="H122" s="2942" t="s">
        <v>800</v>
      </c>
      <c r="I122" s="2953"/>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941"/>
      <c r="B123" s="2944"/>
      <c r="C123" s="2944"/>
      <c r="D123" s="893" t="s">
        <v>801</v>
      </c>
      <c r="E123" s="893" t="s">
        <v>628</v>
      </c>
      <c r="F123" s="893" t="s">
        <v>801</v>
      </c>
      <c r="G123" s="893" t="s">
        <v>628</v>
      </c>
      <c r="H123" s="893" t="s">
        <v>801</v>
      </c>
      <c r="I123" s="771" t="s">
        <v>628</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14.25">
      <c r="A124" s="2179" t="str">
        <f>项目基本情况!I1</f>
        <v>北京市房地产</v>
      </c>
      <c r="B124" s="893">
        <f>典型户型修正!B25</f>
        <v>176.79000000000002</v>
      </c>
      <c r="C124" s="2180"/>
      <c r="D124" s="893">
        <f>C35</f>
        <v>0</v>
      </c>
      <c r="E124" s="893">
        <f>ROUND(IF(H19="元",D124/B124,D124*10000/B124),0)</f>
        <v>0</v>
      </c>
      <c r="F124" s="893">
        <f>C36</f>
        <v>0</v>
      </c>
      <c r="G124" s="893">
        <f>ROUND(IF(H19="元",F124/B124,F124*10000/B124),0)</f>
        <v>0</v>
      </c>
      <c r="H124" s="893">
        <f ca="1">C33</f>
        <v>392</v>
      </c>
      <c r="I124" s="771">
        <f ca="1">C34</f>
        <v>22173</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941" t="s">
        <v>802</v>
      </c>
      <c r="B125" s="2942"/>
      <c r="C125" s="2942"/>
      <c r="D125" s="2965" t="str">
        <f>IF(H19="元",NUMBERSTRING(INT(D124),2)&amp;"元整",NUMBERSTRING(INT(D124*10000),2)&amp;"元整")</f>
        <v>零元整</v>
      </c>
      <c r="E125" s="2966"/>
      <c r="F125" s="2965" t="str">
        <f>IF(H19="元",NUMBERSTRING(INT(F124),2)&amp;"元整",NUMBERSTRING(INT(F124*10000),2)&amp;"元整")</f>
        <v>零元整</v>
      </c>
      <c r="G125" s="2966"/>
      <c r="H125" s="2965" t="str">
        <f ca="1">IF(H19="元",NUMBERSTRING(INT(H124),2)&amp;"元整",NUMBERSTRING(INT(H124*10000),2)&amp;"元整")</f>
        <v>叁佰玖拾贰万元整</v>
      </c>
      <c r="I125" s="2967"/>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45" t="str">
        <f>IF(项目基本情况!D5="房地产市场价值","——",MID(A111,3,LEN(A111)-2))</f>
        <v>估价师所知悉的法定优先受偿款</v>
      </c>
      <c r="B126" s="2946"/>
      <c r="C126" s="2947"/>
      <c r="D126" s="2925">
        <f>I106</f>
        <v>0</v>
      </c>
      <c r="E126" s="2946"/>
      <c r="F126" s="2946"/>
      <c r="G126" s="2946"/>
      <c r="H126" s="2946"/>
      <c r="I126" s="2948"/>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956" t="s">
        <v>802</v>
      </c>
      <c r="B127" s="2957"/>
      <c r="C127" s="2958"/>
      <c r="D127" s="2959">
        <f>H110</f>
        <v>0</v>
      </c>
      <c r="E127" s="2960"/>
      <c r="F127" s="2960"/>
      <c r="G127" s="2960"/>
      <c r="H127" s="2960"/>
      <c r="I127" s="2961"/>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23" t="str">
        <f>IF(项目基本情况!D5="房地产市场价值","——",MID(A115,3,LEN(A115)-2))</f>
        <v>房地产抵押价值</v>
      </c>
      <c r="B128" s="2924"/>
      <c r="C128" s="2924"/>
      <c r="D128" s="2925">
        <f ca="1">I111</f>
        <v>392</v>
      </c>
      <c r="E128" s="2946"/>
      <c r="F128" s="2946"/>
      <c r="G128" s="2946"/>
      <c r="H128" s="2946"/>
      <c r="I128" s="2948"/>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941" t="s">
        <v>802</v>
      </c>
      <c r="B129" s="2942"/>
      <c r="C129" s="2942"/>
      <c r="D129" s="2959">
        <f ca="1">I112</f>
        <v>22173</v>
      </c>
      <c r="E129" s="2960"/>
      <c r="F129" s="2960"/>
      <c r="G129" s="2960"/>
      <c r="H129" s="2960"/>
      <c r="I129" s="2961"/>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23" t="str">
        <f>IF(项目基本情况!D5="房地产市场价值","——",MID(A117,3,LEN(A117)-2))</f>
        <v/>
      </c>
      <c r="B130" s="2924"/>
      <c r="C130" s="2924"/>
      <c r="D130" s="2962" t="str">
        <f>I113</f>
        <v>——</v>
      </c>
      <c r="E130" s="2963"/>
      <c r="F130" s="2963"/>
      <c r="G130" s="2963"/>
      <c r="H130" s="2963"/>
      <c r="I130" s="2964"/>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941" t="s">
        <v>802</v>
      </c>
      <c r="B131" s="2942"/>
      <c r="C131" s="2954"/>
      <c r="D131" s="2955" t="str">
        <f>I114</f>
        <v>——</v>
      </c>
      <c r="E131" s="2955"/>
      <c r="F131" s="2955"/>
      <c r="G131" s="2955"/>
      <c r="H131" s="2955"/>
      <c r="I131" s="2955"/>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23" t="str">
        <f>IF(项目基本情况!D5="房地产市场价值","——",MID(F115,3,LEN(F115)-2))</f>
        <v/>
      </c>
      <c r="B132" s="2924"/>
      <c r="C132" s="2925"/>
      <c r="D132" s="2926" t="str">
        <f>I115</f>
        <v>——</v>
      </c>
      <c r="E132" s="2926"/>
      <c r="F132" s="2926"/>
      <c r="G132" s="2926"/>
      <c r="H132" s="2926"/>
      <c r="I132" s="2926"/>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27" t="s">
        <v>802</v>
      </c>
      <c r="B133" s="2928"/>
      <c r="C133" s="2928"/>
      <c r="D133" s="2929">
        <f>H117</f>
        <v>0</v>
      </c>
      <c r="E133" s="2930"/>
      <c r="F133" s="2930"/>
      <c r="G133" s="2930"/>
      <c r="H133" s="2930"/>
      <c r="I133" s="2931"/>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803</v>
      </c>
      <c r="B136" s="2196"/>
      <c r="C136" s="2197" t="s">
        <v>804</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805</v>
      </c>
      <c r="G142" s="2207"/>
      <c r="H142" s="2207"/>
      <c r="I142" s="2214" t="s">
        <v>806</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807</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808</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809</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808</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823</v>
      </c>
      <c r="B1" s="1783"/>
      <c r="C1" s="392"/>
      <c r="D1" s="392"/>
      <c r="E1" s="392"/>
      <c r="F1" s="392"/>
      <c r="G1" s="1073"/>
    </row>
    <row r="2" spans="1:7" s="1867" customFormat="1" ht="18" customHeight="1">
      <c r="A2" s="394" t="s">
        <v>824</v>
      </c>
      <c r="B2" s="1875">
        <f ca="1">IF(D2="——",IF(C2="元",C52,ROUND(C52/10000,0)),IF(C2="元",C52,ROUND(C52/10000,0))-E2)</f>
        <v>201</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825</v>
      </c>
      <c r="B3" s="395">
        <f ca="1">ROUND(C52/IF(B1="仅计算典型户型",'数据-取费表'!E5,'数据-取费表'!B5),0)</f>
        <v>20929</v>
      </c>
      <c r="C3" s="1073" t="s">
        <v>826</v>
      </c>
      <c r="D3" s="1073"/>
      <c r="E3" s="1073"/>
      <c r="F3" s="1073"/>
      <c r="G3" s="1073"/>
    </row>
    <row r="4" spans="1:7" s="1868" customFormat="1" ht="15.75">
      <c r="A4" s="1880" t="s">
        <v>827</v>
      </c>
      <c r="B4" s="1881"/>
      <c r="C4" s="1881"/>
      <c r="D4" s="1881"/>
      <c r="E4" s="1881"/>
      <c r="F4" s="1881"/>
      <c r="G4" s="1882"/>
    </row>
    <row r="5" spans="1:7" s="1869" customFormat="1" ht="13.5" customHeight="1">
      <c r="A5" s="1883" t="s">
        <v>828</v>
      </c>
      <c r="B5" s="1884" t="s">
        <v>829</v>
      </c>
      <c r="C5" s="1885">
        <f>C6+C7+C8</f>
        <v>1030500</v>
      </c>
      <c r="D5" s="1885" t="s">
        <v>830</v>
      </c>
      <c r="E5" s="1886" t="s">
        <v>831</v>
      </c>
      <c r="F5" s="1886" t="s">
        <v>712</v>
      </c>
      <c r="G5" s="1887"/>
    </row>
    <row r="6" spans="1:7" s="1869" customFormat="1" ht="13.5" customHeight="1">
      <c r="A6" s="1888" t="s">
        <v>832</v>
      </c>
      <c r="B6" s="1889" t="s">
        <v>833</v>
      </c>
      <c r="C6" s="1890">
        <v>1000000</v>
      </c>
      <c r="D6" s="1891"/>
      <c r="E6" s="1892"/>
      <c r="F6" s="1892"/>
      <c r="G6" s="1893"/>
    </row>
    <row r="7" spans="1:7" s="1869" customFormat="1" ht="13.5" customHeight="1">
      <c r="A7" s="1888" t="s">
        <v>834</v>
      </c>
      <c r="B7" s="1889" t="s">
        <v>835</v>
      </c>
      <c r="C7" s="1894">
        <f>ROUND(C6*F7,0)</f>
        <v>30500</v>
      </c>
      <c r="D7" s="1894"/>
      <c r="E7" s="1892"/>
      <c r="F7" s="1895">
        <f>'数据-取费表'!E36+'数据-取费表'!E37</f>
        <v>3.0499999999999999E-2</v>
      </c>
      <c r="G7" s="1893"/>
    </row>
    <row r="8" spans="1:7" s="1870" customFormat="1">
      <c r="A8" s="1888" t="s">
        <v>836</v>
      </c>
      <c r="B8" s="1889" t="s">
        <v>837</v>
      </c>
      <c r="C8" s="1894">
        <f>IF(G8="已包含在土地购买价格中","0",'数据-取费表'!E13)</f>
        <v>0</v>
      </c>
      <c r="D8" s="1896"/>
      <c r="E8" s="1894"/>
      <c r="F8" s="1895"/>
      <c r="G8" s="1897"/>
    </row>
    <row r="9" spans="1:7" s="1869" customFormat="1" ht="13.5" customHeight="1">
      <c r="A9" s="1898" t="s">
        <v>838</v>
      </c>
      <c r="B9" s="1899" t="s">
        <v>839</v>
      </c>
      <c r="C9" s="1900">
        <f>ROUND(D9*E9,0)</f>
        <v>15352</v>
      </c>
      <c r="D9" s="1901">
        <f>IF('数据-取费表'!B10="住宅",IF(B1="仅计算典型户型",'数据-取费表'!E5,'数据-取费表'!B5),0)</f>
        <v>95.95</v>
      </c>
      <c r="E9" s="1900">
        <f>'数据-取费表'!E11</f>
        <v>160</v>
      </c>
      <c r="F9" s="1895"/>
      <c r="G9" s="1902"/>
    </row>
    <row r="10" spans="1:7" s="1869" customFormat="1" ht="13.5" customHeight="1">
      <c r="A10" s="1898" t="s">
        <v>840</v>
      </c>
      <c r="B10" s="1899" t="s">
        <v>841</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842</v>
      </c>
      <c r="B11" s="1889" t="s">
        <v>843</v>
      </c>
      <c r="C11" s="1885"/>
      <c r="D11" s="1894"/>
      <c r="E11" s="1892"/>
      <c r="F11" s="1892"/>
      <c r="G11" s="1893"/>
    </row>
    <row r="12" spans="1:7" s="1869" customFormat="1" ht="13.5" hidden="1" customHeight="1">
      <c r="A12" s="1888" t="s">
        <v>844</v>
      </c>
      <c r="B12" s="1889" t="s">
        <v>750</v>
      </c>
      <c r="C12" s="1885">
        <v>0</v>
      </c>
      <c r="D12" s="1894"/>
      <c r="E12" s="1903"/>
      <c r="F12" s="1895">
        <v>3.0499999999999999E-2</v>
      </c>
      <c r="G12" s="1893"/>
    </row>
    <row r="13" spans="1:7" s="1869" customFormat="1" ht="13.5" hidden="1" customHeight="1">
      <c r="A13" s="1888" t="s">
        <v>845</v>
      </c>
      <c r="B13" s="1889" t="s">
        <v>846</v>
      </c>
      <c r="C13" s="1885"/>
      <c r="D13" s="1894"/>
      <c r="E13" s="1892"/>
      <c r="F13" s="1892"/>
      <c r="G13" s="1893"/>
    </row>
    <row r="14" spans="1:7" s="1869" customFormat="1" ht="13.5" hidden="1" customHeight="1">
      <c r="A14" s="1888" t="s">
        <v>847</v>
      </c>
      <c r="B14" s="1889" t="s">
        <v>837</v>
      </c>
      <c r="C14" s="1885"/>
      <c r="D14" s="1894"/>
      <c r="E14" s="1892"/>
      <c r="F14" s="1892"/>
      <c r="G14" s="1893" t="s">
        <v>848</v>
      </c>
    </row>
    <row r="15" spans="1:7" s="1869" customFormat="1" ht="13.5" hidden="1" customHeight="1">
      <c r="A15" s="1888" t="s">
        <v>849</v>
      </c>
      <c r="B15" s="1889" t="s">
        <v>850</v>
      </c>
      <c r="C15" s="1894"/>
      <c r="D15" s="1894"/>
      <c r="E15" s="1892"/>
      <c r="F15" s="1892"/>
      <c r="G15" s="1893" t="s">
        <v>851</v>
      </c>
    </row>
    <row r="16" spans="1:7" s="1869" customFormat="1" ht="13.5" hidden="1" customHeight="1">
      <c r="A16" s="1888" t="s">
        <v>852</v>
      </c>
      <c r="B16" s="1889" t="s">
        <v>837</v>
      </c>
      <c r="C16" s="1894"/>
      <c r="D16" s="1894"/>
      <c r="E16" s="1892"/>
      <c r="F16" s="1892"/>
      <c r="G16" s="1893"/>
    </row>
    <row r="17" spans="1:7" s="1869" customFormat="1" ht="13.5" hidden="1" customHeight="1">
      <c r="A17" s="1888" t="s">
        <v>853</v>
      </c>
      <c r="B17" s="1889" t="s">
        <v>854</v>
      </c>
      <c r="C17" s="1904"/>
      <c r="D17" s="1904"/>
      <c r="E17" s="1904"/>
      <c r="F17" s="1904"/>
      <c r="G17" s="1893" t="s">
        <v>851</v>
      </c>
    </row>
    <row r="18" spans="1:7" s="1869" customFormat="1" ht="13.5" hidden="1" customHeight="1">
      <c r="A18" s="1888" t="s">
        <v>855</v>
      </c>
      <c r="B18" s="1889" t="s">
        <v>856</v>
      </c>
      <c r="C18" s="1894">
        <v>0</v>
      </c>
      <c r="D18" s="1894"/>
      <c r="E18" s="1892"/>
      <c r="F18" s="1895">
        <v>3.0499999999999999E-2</v>
      </c>
      <c r="G18" s="1893" t="s">
        <v>857</v>
      </c>
    </row>
    <row r="19" spans="1:7" s="1870" customFormat="1" ht="13.5" customHeight="1">
      <c r="A19" s="1883" t="s">
        <v>858</v>
      </c>
      <c r="B19" s="1884" t="s">
        <v>859</v>
      </c>
      <c r="C19" s="1885">
        <f>IF(G19="已包含在土地取得成本中","0",ROUND(D19*E19,0))</f>
        <v>19190</v>
      </c>
      <c r="D19" s="1905">
        <f>IF(B1="仅计算典型户型",'数据-取费表'!E5,'数据-取费表'!B5)</f>
        <v>95.95</v>
      </c>
      <c r="E19" s="1885">
        <f>'数据-取费表'!E15</f>
        <v>200</v>
      </c>
      <c r="F19" s="1906"/>
      <c r="G19" s="1897"/>
    </row>
    <row r="20" spans="1:7" s="1869" customFormat="1" ht="13.5" customHeight="1">
      <c r="A20" s="1883" t="s">
        <v>860</v>
      </c>
      <c r="B20" s="1884" t="s">
        <v>861</v>
      </c>
      <c r="C20" s="1907">
        <f>ROUND((C5+C19)*F20,0)</f>
        <v>20994</v>
      </c>
      <c r="D20" s="1907"/>
      <c r="E20" s="1907"/>
      <c r="F20" s="1908">
        <f>'数据-取费表'!E25</f>
        <v>0.02</v>
      </c>
      <c r="G20" s="1909" t="s">
        <v>862</v>
      </c>
    </row>
    <row r="21" spans="1:7" s="1869" customFormat="1" ht="13.5" customHeight="1">
      <c r="A21" s="1883" t="s">
        <v>863</v>
      </c>
      <c r="B21" s="1884" t="s">
        <v>864</v>
      </c>
      <c r="C21" s="1910">
        <f>F21</f>
        <v>0.02</v>
      </c>
      <c r="D21" s="1911" t="s">
        <v>865</v>
      </c>
      <c r="E21" s="1907"/>
      <c r="F21" s="1908">
        <f>'数据-取费表'!E26</f>
        <v>0.02</v>
      </c>
      <c r="G21" s="1909" t="s">
        <v>866</v>
      </c>
    </row>
    <row r="22" spans="1:7" s="1869" customFormat="1" ht="13.5" customHeight="1">
      <c r="A22" s="1883" t="s">
        <v>867</v>
      </c>
      <c r="B22" s="1884" t="s">
        <v>868</v>
      </c>
      <c r="C22" s="1912">
        <f ca="1">ROUND(SUM(C23:C25),0)</f>
        <v>103086</v>
      </c>
      <c r="D22" s="1910">
        <f ca="1">C26</f>
        <v>1E-3</v>
      </c>
      <c r="E22" s="1911" t="s">
        <v>865</v>
      </c>
      <c r="F22" s="1908">
        <f ca="1">'数据-取费表'!E27</f>
        <v>4.7500000000000001E-2</v>
      </c>
      <c r="G22" s="1909" t="str">
        <f>IF('数据-取费表'!B23&lt;=1,"单利计息。","复利计息。")</f>
        <v>复利计息。</v>
      </c>
    </row>
    <row r="23" spans="1:7" s="1869" customFormat="1" ht="13.5" customHeight="1">
      <c r="A23" s="1888" t="s">
        <v>832</v>
      </c>
      <c r="B23" s="1889" t="s">
        <v>869</v>
      </c>
      <c r="C23" s="1913">
        <f ca="1">ROUND(IF('数据-取费表'!B23&lt;=1,C5*F22*'数据-取费表'!B24,C5*(POWER((1+F22),'数据-取费表'!B24)-1)),0)</f>
        <v>100223</v>
      </c>
      <c r="D23" s="1660"/>
      <c r="E23" s="1660"/>
      <c r="F23" s="1914"/>
      <c r="G23" s="1915" t="s">
        <v>870</v>
      </c>
    </row>
    <row r="24" spans="1:7" s="1869" customFormat="1" ht="13.5" customHeight="1">
      <c r="A24" s="1888" t="s">
        <v>834</v>
      </c>
      <c r="B24" s="1889" t="s">
        <v>871</v>
      </c>
      <c r="C24" s="1913">
        <f ca="1">ROUND(IF('数据-取费表'!B23&lt;=1,C19*F22*('数据-取费表'!B20/2+'数据-取费表'!B22),C19*(POWER((1+F22),('数据-取费表'!B20/2+'数据-取费表'!B22))-1)),0)</f>
        <v>1866</v>
      </c>
      <c r="D24" s="1660"/>
      <c r="E24" s="1660"/>
      <c r="F24" s="1914"/>
      <c r="G24" s="1915" t="s">
        <v>872</v>
      </c>
    </row>
    <row r="25" spans="1:7" s="1869" customFormat="1" ht="24">
      <c r="A25" s="1888" t="s">
        <v>836</v>
      </c>
      <c r="B25" s="1889" t="s">
        <v>873</v>
      </c>
      <c r="C25" s="1913">
        <f ca="1">ROUND(IF('数据-取费表'!B23&lt;=1,C20*F22*'数据-取费表'!B24/2,C20*(POWER((1+F22),'数据-取费表'!B24/2)-1)),0)</f>
        <v>997</v>
      </c>
      <c r="D25" s="1660"/>
      <c r="E25" s="1916"/>
      <c r="F25" s="1914"/>
      <c r="G25" s="1917" t="s">
        <v>874</v>
      </c>
    </row>
    <row r="26" spans="1:7" s="1869" customFormat="1">
      <c r="A26" s="1888" t="s">
        <v>875</v>
      </c>
      <c r="B26" s="1889" t="s">
        <v>876</v>
      </c>
      <c r="C26" s="1660">
        <f ca="1">ROUND(IF('数据-取费表'!B23&lt;=1,F21*F22*'数据-取费表'!B24/2,F21*(POWER((1+F22),'数据-取费表'!B24/2)-1)),4)</f>
        <v>1E-3</v>
      </c>
      <c r="D26" s="1660"/>
      <c r="E26" s="1916"/>
      <c r="F26" s="1914"/>
      <c r="G26" s="623"/>
    </row>
    <row r="27" spans="1:7" s="1869" customFormat="1" ht="25.5">
      <c r="A27" s="1918" t="s">
        <v>877</v>
      </c>
      <c r="B27" s="1919" t="s">
        <v>878</v>
      </c>
      <c r="C27" s="1885">
        <f>C28</f>
        <v>267671</v>
      </c>
      <c r="D27" s="1910">
        <f>C29</f>
        <v>5.0000000000000001E-3</v>
      </c>
      <c r="E27" s="1911" t="s">
        <v>865</v>
      </c>
      <c r="F27" s="1906">
        <f>'数据-取费表'!E28</f>
        <v>0.25</v>
      </c>
      <c r="G27" s="1920" t="s">
        <v>879</v>
      </c>
    </row>
    <row r="28" spans="1:7" s="1869" customFormat="1" ht="13.5" customHeight="1">
      <c r="A28" s="1888" t="s">
        <v>832</v>
      </c>
      <c r="B28" s="1921" t="s">
        <v>880</v>
      </c>
      <c r="C28" s="1894">
        <f>ROUND((C5+C19+C20)*F27*'数据-取费表'!B22/'数据-取费表'!B21,0)</f>
        <v>267671</v>
      </c>
      <c r="D28" s="1910"/>
      <c r="E28" s="1911"/>
      <c r="F28" s="1906"/>
      <c r="G28" s="1920"/>
    </row>
    <row r="29" spans="1:7" s="1869" customFormat="1" ht="13.5" customHeight="1">
      <c r="A29" s="1888" t="s">
        <v>834</v>
      </c>
      <c r="B29" s="1921" t="s">
        <v>881</v>
      </c>
      <c r="C29" s="1660">
        <f>ROUND(C21*F27*'数据-取费表'!B22/'数据-取费表'!B21,4)</f>
        <v>5.0000000000000001E-3</v>
      </c>
      <c r="D29" s="1910"/>
      <c r="E29" s="1911"/>
      <c r="F29" s="1906"/>
      <c r="G29" s="1920"/>
    </row>
    <row r="30" spans="1:7" s="1869" customFormat="1" ht="13.5" customHeight="1">
      <c r="A30" s="1918" t="s">
        <v>882</v>
      </c>
      <c r="B30" s="1884" t="s">
        <v>883</v>
      </c>
      <c r="C30" s="1910">
        <f>ROUND(F30/(1+'数据-取费表'!F30),4)</f>
        <v>7.3300000000000004E-2</v>
      </c>
      <c r="D30" s="1911" t="s">
        <v>865</v>
      </c>
      <c r="E30" s="1916"/>
      <c r="F30" s="1908">
        <f>'数据-取费表'!E29</f>
        <v>7.8400000000000011E-2</v>
      </c>
      <c r="G30" s="1909" t="s">
        <v>884</v>
      </c>
    </row>
    <row r="31" spans="1:7" ht="16.5" customHeight="1">
      <c r="A31" s="1883">
        <v>1</v>
      </c>
      <c r="B31" s="1884" t="s">
        <v>885</v>
      </c>
      <c r="C31" s="1885">
        <f ca="1">ROUND((C5+C19+C20+C22+C27)/(1-C21-D22-D27-C30),0)</f>
        <v>1600356</v>
      </c>
      <c r="D31" s="1905"/>
      <c r="E31" s="1885"/>
      <c r="F31" s="1922"/>
      <c r="G31" s="1909" t="s">
        <v>886</v>
      </c>
    </row>
    <row r="32" spans="1:7" s="1868" customFormat="1" ht="15.75">
      <c r="A32" s="1923" t="s">
        <v>887</v>
      </c>
      <c r="B32" s="1924"/>
      <c r="C32" s="1925"/>
      <c r="D32" s="1925"/>
      <c r="E32" s="1925"/>
      <c r="F32" s="1925"/>
      <c r="G32" s="1926"/>
    </row>
    <row r="33" spans="1:7" s="1869" customFormat="1" ht="13.5" customHeight="1">
      <c r="A33" s="1883" t="s">
        <v>828</v>
      </c>
      <c r="B33" s="1884" t="s">
        <v>888</v>
      </c>
      <c r="C33" s="1912">
        <f>SUM(C34:C38)</f>
        <v>334387</v>
      </c>
      <c r="D33" s="1907"/>
      <c r="E33" s="1886"/>
      <c r="F33" s="1916"/>
      <c r="G33" s="1909"/>
    </row>
    <row r="34" spans="1:7" s="1871" customFormat="1" ht="13.5" customHeight="1">
      <c r="A34" s="1888" t="s">
        <v>832</v>
      </c>
      <c r="B34" s="1889" t="s">
        <v>889</v>
      </c>
      <c r="C34" s="1894">
        <f>IF(B1="仅计算典型户型",'数据-取费表'!F18,'数据-取费表'!E18)</f>
        <v>287850</v>
      </c>
      <c r="D34" s="1891"/>
      <c r="E34" s="1894"/>
      <c r="F34" s="1927" t="str">
        <f>IF('数据-取费表'!B25=0,"",'数据-取费表'!E20)</f>
        <v/>
      </c>
      <c r="G34" s="1893"/>
    </row>
    <row r="35" spans="1:7" ht="13.5" customHeight="1">
      <c r="A35" s="1888" t="s">
        <v>834</v>
      </c>
      <c r="B35" s="1889" t="s">
        <v>890</v>
      </c>
      <c r="C35" s="1894">
        <f>ROUND(C34*F35,0)</f>
        <v>14393</v>
      </c>
      <c r="D35" s="1894"/>
      <c r="E35" s="1894"/>
      <c r="F35" s="1928">
        <f>'数据-取费表'!E21</f>
        <v>0.05</v>
      </c>
      <c r="G35" s="1893" t="s">
        <v>891</v>
      </c>
    </row>
    <row r="36" spans="1:7" ht="24">
      <c r="A36" s="1888" t="s">
        <v>836</v>
      </c>
      <c r="B36" s="1889" t="s">
        <v>892</v>
      </c>
      <c r="C36" s="1894">
        <f>ROUND(IF('数据-取费表'!B10="住宅",C34*F36,0),0)</f>
        <v>8636</v>
      </c>
      <c r="D36" s="1894"/>
      <c r="E36" s="1894"/>
      <c r="F36" s="1928">
        <f>'数据-取费表'!E22</f>
        <v>0.03</v>
      </c>
      <c r="G36" s="1929" t="s">
        <v>893</v>
      </c>
    </row>
    <row r="37" spans="1:7" s="1871" customFormat="1" ht="13.5" customHeight="1">
      <c r="A37" s="1888" t="s">
        <v>875</v>
      </c>
      <c r="B37" s="1889" t="s">
        <v>894</v>
      </c>
      <c r="C37" s="1894">
        <f>ROUND(E37*D37,0)</f>
        <v>19190</v>
      </c>
      <c r="D37" s="1891">
        <f>IF(B1="仅计算典型户型",'数据-取费表'!E5,'数据-取费表'!B5)</f>
        <v>95.95</v>
      </c>
      <c r="E37" s="1894">
        <f>'数据-取费表'!E23</f>
        <v>200</v>
      </c>
      <c r="F37" s="1928"/>
      <c r="G37" s="1930" t="s">
        <v>895</v>
      </c>
    </row>
    <row r="38" spans="1:7" ht="13.5" customHeight="1">
      <c r="A38" s="1888" t="s">
        <v>896</v>
      </c>
      <c r="B38" s="1889" t="s">
        <v>750</v>
      </c>
      <c r="C38" s="1894">
        <f>ROUND(C34*F38,0)</f>
        <v>4318</v>
      </c>
      <c r="D38" s="1894"/>
      <c r="E38" s="1894"/>
      <c r="F38" s="1928">
        <f>'数据-取费表'!E24</f>
        <v>1.4999999999999999E-2</v>
      </c>
      <c r="G38" s="1893" t="s">
        <v>891</v>
      </c>
    </row>
    <row r="39" spans="1:7" s="1869" customFormat="1" ht="13.5" customHeight="1">
      <c r="A39" s="1883" t="s">
        <v>858</v>
      </c>
      <c r="B39" s="1884" t="s">
        <v>861</v>
      </c>
      <c r="C39" s="1907">
        <f>ROUND(C33*F20,0)</f>
        <v>6688</v>
      </c>
      <c r="D39" s="1907"/>
      <c r="E39" s="1907"/>
      <c r="F39" s="1908"/>
      <c r="G39" s="1909" t="s">
        <v>897</v>
      </c>
    </row>
    <row r="40" spans="1:7" s="1869" customFormat="1" ht="13.5" customHeight="1">
      <c r="A40" s="1883" t="s">
        <v>860</v>
      </c>
      <c r="B40" s="1884" t="s">
        <v>864</v>
      </c>
      <c r="C40" s="1931">
        <f>F21</f>
        <v>0.02</v>
      </c>
      <c r="D40" s="1911" t="s">
        <v>898</v>
      </c>
      <c r="E40" s="1907"/>
      <c r="F40" s="1908"/>
      <c r="G40" s="1909" t="s">
        <v>899</v>
      </c>
    </row>
    <row r="41" spans="1:7" s="1869" customFormat="1" ht="13.5" customHeight="1">
      <c r="A41" s="1883" t="s">
        <v>863</v>
      </c>
      <c r="B41" s="1884" t="s">
        <v>868</v>
      </c>
      <c r="C41" s="1907">
        <f ca="1">ROUND(SUM(C42:C43),0)</f>
        <v>16201</v>
      </c>
      <c r="D41" s="1910">
        <f ca="1">C44</f>
        <v>1E-3</v>
      </c>
      <c r="E41" s="1911" t="s">
        <v>898</v>
      </c>
      <c r="F41" s="1908"/>
      <c r="G41" s="1909" t="str">
        <f>IF('数据-取费表'!B23&lt;=1,"单利计息。","复利计息。")</f>
        <v>复利计息。</v>
      </c>
    </row>
    <row r="42" spans="1:7" ht="13.5" customHeight="1">
      <c r="A42" s="1888" t="s">
        <v>832</v>
      </c>
      <c r="B42" s="1889" t="s">
        <v>869</v>
      </c>
      <c r="C42" s="1660">
        <f ca="1">ROUND(IF('数据-取费表'!B23&lt;=1,C33*F22*'数据-取费表'!B22/2,C33*(POWER((1+F22),'数据-取费表'!B22/2)-1)),0)</f>
        <v>15883</v>
      </c>
      <c r="D42" s="1660"/>
      <c r="E42" s="1660"/>
      <c r="F42" s="1914"/>
      <c r="G42" s="2980" t="s">
        <v>900</v>
      </c>
    </row>
    <row r="43" spans="1:7" ht="13.5" customHeight="1">
      <c r="A43" s="1888" t="s">
        <v>834</v>
      </c>
      <c r="B43" s="1889" t="s">
        <v>871</v>
      </c>
      <c r="C43" s="1660">
        <f ca="1">ROUND(IF('数据-取费表'!B23&lt;=1,C39*F22*'数据-取费表'!B22/2,C39*(POWER((1+F22),'数据-取费表'!B22/2)-1)),0)</f>
        <v>318</v>
      </c>
      <c r="D43" s="1660"/>
      <c r="E43" s="1660"/>
      <c r="F43" s="1914"/>
      <c r="G43" s="2981"/>
    </row>
    <row r="44" spans="1:7" ht="13.5" customHeight="1">
      <c r="A44" s="1888" t="s">
        <v>836</v>
      </c>
      <c r="B44" s="1889" t="s">
        <v>873</v>
      </c>
      <c r="C44" s="1660">
        <f ca="1">ROUND(IF('数据-取费表'!B23&lt;=1,C40*F22*'数据-取费表'!B22/2,C40*(POWER((1+F22),'数据-取费表'!B22/2)-1)),4)</f>
        <v>1E-3</v>
      </c>
      <c r="D44" s="1660"/>
      <c r="E44" s="1660"/>
      <c r="F44" s="1914"/>
      <c r="G44" s="2982"/>
    </row>
    <row r="45" spans="1:7" s="1869" customFormat="1" ht="13.5" customHeight="1">
      <c r="A45" s="1883" t="s">
        <v>867</v>
      </c>
      <c r="B45" s="1919" t="s">
        <v>878</v>
      </c>
      <c r="C45" s="1885">
        <f>C46</f>
        <v>85269</v>
      </c>
      <c r="D45" s="1910">
        <f>C47</f>
        <v>5.0000000000000001E-3</v>
      </c>
      <c r="E45" s="1911" t="s">
        <v>898</v>
      </c>
      <c r="F45" s="1906"/>
      <c r="G45" s="1920" t="s">
        <v>901</v>
      </c>
    </row>
    <row r="46" spans="1:7" s="1869" customFormat="1" ht="13.5" customHeight="1">
      <c r="A46" s="1888" t="s">
        <v>832</v>
      </c>
      <c r="B46" s="1921" t="s">
        <v>902</v>
      </c>
      <c r="C46" s="1894">
        <f>ROUND((C33+C39)*F27,0)</f>
        <v>85269</v>
      </c>
      <c r="D46" s="1932"/>
      <c r="E46" s="1911"/>
      <c r="F46" s="1906"/>
      <c r="G46" s="1920"/>
    </row>
    <row r="47" spans="1:7" s="1869" customFormat="1" ht="13.5" customHeight="1">
      <c r="A47" s="1888" t="s">
        <v>834</v>
      </c>
      <c r="B47" s="1921" t="s">
        <v>903</v>
      </c>
      <c r="C47" s="1660">
        <f>ROUND(C40*F27,4)</f>
        <v>5.0000000000000001E-3</v>
      </c>
      <c r="D47" s="1932"/>
      <c r="E47" s="1911"/>
      <c r="F47" s="1906"/>
      <c r="G47" s="1920"/>
    </row>
    <row r="48" spans="1:7" s="1869" customFormat="1" ht="13.5" customHeight="1">
      <c r="A48" s="1918" t="s">
        <v>877</v>
      </c>
      <c r="B48" s="1884" t="s">
        <v>883</v>
      </c>
      <c r="C48" s="1931">
        <f>ROUND(F30/(1+'数据-取费表'!F30),4)</f>
        <v>7.3300000000000004E-2</v>
      </c>
      <c r="D48" s="1911" t="s">
        <v>898</v>
      </c>
      <c r="E48" s="1907"/>
      <c r="F48" s="1908"/>
      <c r="G48" s="1909" t="s">
        <v>904</v>
      </c>
    </row>
    <row r="49" spans="1:7" ht="16.5" customHeight="1">
      <c r="A49" s="1918" t="s">
        <v>882</v>
      </c>
      <c r="B49" s="1884" t="s">
        <v>905</v>
      </c>
      <c r="C49" s="1907">
        <f ca="1">ROUND((C33+C39+C41+C45)/(1-C40-D41-D45-C48),0)</f>
        <v>491335</v>
      </c>
      <c r="D49" s="1907"/>
      <c r="E49" s="1907"/>
      <c r="F49" s="1933"/>
      <c r="G49" s="1909" t="s">
        <v>906</v>
      </c>
    </row>
    <row r="50" spans="1:7" s="1871" customFormat="1" ht="24">
      <c r="A50" s="1918" t="s">
        <v>907</v>
      </c>
      <c r="B50" s="1884" t="s">
        <v>908</v>
      </c>
      <c r="C50" s="1907"/>
      <c r="D50" s="1907"/>
      <c r="E50" s="1907"/>
      <c r="F50" s="1933">
        <f>IF('数据-取费表'!B25=0,'数据-取费表'!E20,1)</f>
        <v>0.83</v>
      </c>
      <c r="G50" s="1920" t="s">
        <v>909</v>
      </c>
    </row>
    <row r="51" spans="1:7" ht="16.5" customHeight="1">
      <c r="A51" s="1918" t="s">
        <v>910</v>
      </c>
      <c r="B51" s="1884" t="s">
        <v>911</v>
      </c>
      <c r="C51" s="1907">
        <f ca="1">ROUND(C49*F50,0)</f>
        <v>407808</v>
      </c>
      <c r="D51" s="1907"/>
      <c r="E51" s="1907"/>
      <c r="F51" s="1933"/>
      <c r="G51" s="1909" t="s">
        <v>912</v>
      </c>
    </row>
    <row r="52" spans="1:7" s="1868" customFormat="1" ht="15.75">
      <c r="A52" s="1934" t="s">
        <v>913</v>
      </c>
      <c r="B52" s="1935"/>
      <c r="C52" s="1936">
        <f ca="1">C31+C51</f>
        <v>2008164</v>
      </c>
      <c r="D52" s="1935"/>
      <c r="E52" s="1935"/>
      <c r="F52" s="1935"/>
      <c r="G52" s="1937"/>
    </row>
    <row r="55" spans="1:7" ht="15">
      <c r="B55" s="1702" t="s">
        <v>914</v>
      </c>
      <c r="C55" s="1337"/>
    </row>
    <row r="56" spans="1:7">
      <c r="B56" s="1706" t="s">
        <v>915</v>
      </c>
      <c r="C56" s="1704">
        <f ca="1">ROUND(C51/C52,3)</f>
        <v>0.20300000000000001</v>
      </c>
    </row>
    <row r="57" spans="1:7">
      <c r="B57" s="1706" t="s">
        <v>916</v>
      </c>
      <c r="C57" s="1707">
        <f ca="1">1-C56</f>
        <v>0.79699999999999993</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917</v>
      </c>
      <c r="B1" s="1782"/>
      <c r="C1" s="1783" t="s">
        <v>918</v>
      </c>
      <c r="D1" s="1784"/>
      <c r="E1" s="1785"/>
      <c r="F1" s="1785"/>
      <c r="G1" s="1785"/>
      <c r="H1" s="1785"/>
      <c r="I1" s="1785"/>
      <c r="J1" s="1785"/>
      <c r="K1" s="1785"/>
    </row>
    <row r="2" spans="1:33" s="1768" customFormat="1" ht="18" customHeight="1">
      <c r="A2" s="394" t="s">
        <v>824</v>
      </c>
      <c r="B2" s="395">
        <f ca="1">IF(C2="元",C32,ROUND(C32/10000,0))</f>
        <v>208</v>
      </c>
      <c r="C2" s="1786" t="str">
        <f>'数据-取费表'!B3</f>
        <v>万元</v>
      </c>
      <c r="D2" s="1785"/>
      <c r="E2" s="1785"/>
      <c r="F2" s="1785"/>
      <c r="G2" s="1785"/>
      <c r="H2" s="1785"/>
      <c r="I2" s="1785"/>
      <c r="J2" s="1785"/>
      <c r="K2" s="1785"/>
    </row>
    <row r="3" spans="1:33" s="1768" customFormat="1" ht="18" customHeight="1">
      <c r="A3" s="401" t="s">
        <v>825</v>
      </c>
      <c r="B3" s="395">
        <f ca="1">ROUND(C32/IF(C1="仅计算典型户型",'数据-取费表'!E5,'数据-取费表'!B5),0)</f>
        <v>21664</v>
      </c>
      <c r="C3" s="1786" t="s">
        <v>919</v>
      </c>
      <c r="D3" s="1785"/>
      <c r="E3" s="1785"/>
      <c r="F3" s="1785"/>
      <c r="G3" s="1785"/>
      <c r="H3" s="1785"/>
      <c r="I3" s="1785"/>
      <c r="J3" s="1785"/>
      <c r="K3" s="1785"/>
    </row>
    <row r="4" spans="1:33" s="1769" customFormat="1" ht="16.5" customHeight="1">
      <c r="A4" s="1787" t="s">
        <v>920</v>
      </c>
      <c r="B4" s="1788"/>
      <c r="C4" s="1789">
        <f>SUM(C8:K8)</f>
        <v>3358250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921</v>
      </c>
      <c r="B5" s="1791" t="s">
        <v>922</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923</v>
      </c>
      <c r="B6" s="1794" t="s">
        <v>924</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925</v>
      </c>
      <c r="B7" s="1794" t="s">
        <v>360</v>
      </c>
      <c r="C7" s="1797">
        <f>IF(C1="仅计算典型户型",'数据-取费表'!E5,'数据-取费表'!B5)</f>
        <v>95.95</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926</v>
      </c>
      <c r="B8" s="1794" t="s">
        <v>927</v>
      </c>
      <c r="C8" s="1799">
        <f>C6*C7</f>
        <v>3358250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928</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921</v>
      </c>
      <c r="B10" s="1802" t="s">
        <v>922</v>
      </c>
      <c r="C10" s="1803" t="s">
        <v>929</v>
      </c>
      <c r="D10" s="1804" t="s">
        <v>930</v>
      </c>
      <c r="E10" s="1804" t="s">
        <v>931</v>
      </c>
      <c r="F10" s="1804" t="s">
        <v>932</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933</v>
      </c>
      <c r="B11" s="1807" t="s">
        <v>934</v>
      </c>
      <c r="C11" s="1808">
        <f>IF(C1="仅计算典型户型",'数据-取费表'!F18,'数据-取费表'!E18)</f>
        <v>287850</v>
      </c>
      <c r="D11" s="1809"/>
      <c r="E11" s="1358"/>
      <c r="F11" s="1810">
        <f>1-'数据-取费表'!E20</f>
        <v>0.17000000000000004</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935</v>
      </c>
      <c r="B12" s="1807" t="s">
        <v>936</v>
      </c>
      <c r="C12" s="1401">
        <f>ROUND(C11*F12,0)</f>
        <v>14393</v>
      </c>
      <c r="D12" s="1809"/>
      <c r="E12" s="1358"/>
      <c r="F12" s="1811">
        <f>'数据-取费表'!E21</f>
        <v>0.05</v>
      </c>
      <c r="G12" s="1802" t="s">
        <v>937</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938</v>
      </c>
      <c r="B13" s="1807" t="s">
        <v>939</v>
      </c>
      <c r="C13" s="1401">
        <f>ROUND(IF('数据-取费表'!B10="住宅",C11*F13,0),0)</f>
        <v>8636</v>
      </c>
      <c r="D13" s="1809"/>
      <c r="E13" s="1358"/>
      <c r="F13" s="1811">
        <f>'数据-取费表'!E22</f>
        <v>0.03</v>
      </c>
      <c r="G13" s="1802" t="s">
        <v>940</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941</v>
      </c>
      <c r="B14" s="1807" t="s">
        <v>942</v>
      </c>
      <c r="C14" s="1401">
        <f>ROUND(D14*E14*F11,0)</f>
        <v>3262</v>
      </c>
      <c r="D14" s="1809">
        <f>IF(C1="仅计算典型户型",'数据-取费表'!E5,'数据-取费表'!B5)</f>
        <v>95.95</v>
      </c>
      <c r="E14" s="1401">
        <f>'数据-取费表'!E23</f>
        <v>200</v>
      </c>
      <c r="F14" s="1811"/>
      <c r="G14" s="1802" t="s">
        <v>943</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944</v>
      </c>
      <c r="B15" s="1807" t="s">
        <v>945</v>
      </c>
      <c r="C15" s="1812">
        <f>ROUND(C11*F15,0)</f>
        <v>4318</v>
      </c>
      <c r="D15" s="1813"/>
      <c r="E15" s="1812"/>
      <c r="F15" s="1814">
        <f>'数据-取费表'!E24</f>
        <v>1.4999999999999999E-2</v>
      </c>
      <c r="G15" s="1794" t="s">
        <v>946</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947</v>
      </c>
      <c r="B16" s="1807" t="s">
        <v>948</v>
      </c>
      <c r="C16" s="1808">
        <f>SUM(C11:C15)</f>
        <v>318459</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949</v>
      </c>
      <c r="B17" s="1807" t="s">
        <v>950</v>
      </c>
      <c r="C17" s="1401">
        <f>ROUND(D17*E17,0)</f>
        <v>0</v>
      </c>
      <c r="D17" s="1809">
        <f>IF(C1="仅计算典型户型",'数据-取费表'!E5,'数据-取费表'!B5)</f>
        <v>95.95</v>
      </c>
      <c r="E17" s="1401">
        <f>'数据-取费表'!E16</f>
        <v>0</v>
      </c>
      <c r="F17" s="1813"/>
      <c r="G17" s="1794" t="s">
        <v>951</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952</v>
      </c>
      <c r="B18" s="1807" t="s">
        <v>953</v>
      </c>
      <c r="C18" s="1401">
        <f>C19+C20-'数据-取费表'!E13</f>
        <v>15352</v>
      </c>
      <c r="D18" s="1809"/>
      <c r="E18" s="1401"/>
      <c r="F18" s="1811"/>
      <c r="G18" s="1794" t="s">
        <v>954</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933</v>
      </c>
      <c r="B19" s="1807" t="s">
        <v>955</v>
      </c>
      <c r="C19" s="1401">
        <f>ROUND(D19*E19,0)</f>
        <v>15352</v>
      </c>
      <c r="D19" s="1809">
        <f>IF('数据-取费表'!B10="住宅",IF(C1="仅计算典型户型",'数据-取费表'!E5,'数据-取费表'!B5),0)</f>
        <v>95.95</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935</v>
      </c>
      <c r="B20" s="1807" t="s">
        <v>956</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923</v>
      </c>
      <c r="B21" s="1818" t="s">
        <v>957</v>
      </c>
      <c r="C21" s="1819">
        <f>C16+C17+C18</f>
        <v>333811</v>
      </c>
      <c r="D21" s="1820"/>
      <c r="E21" s="1821"/>
      <c r="F21" s="1821"/>
      <c r="G21" s="1794" t="s">
        <v>958</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925</v>
      </c>
      <c r="B22" s="1818" t="s">
        <v>959</v>
      </c>
      <c r="C22" s="1819">
        <f>ROUND(C21*F22,0)</f>
        <v>6676</v>
      </c>
      <c r="D22" s="1821"/>
      <c r="E22" s="1821"/>
      <c r="F22" s="1822">
        <f>'数据-取费表'!E25</f>
        <v>0.02</v>
      </c>
      <c r="G22" s="1802" t="s">
        <v>960</v>
      </c>
      <c r="H22" s="1805"/>
      <c r="I22" s="1805"/>
      <c r="J22" s="1805"/>
      <c r="K22" s="1860"/>
      <c r="L22" s="1775"/>
      <c r="M22" s="1775"/>
      <c r="N22" s="1775"/>
    </row>
    <row r="23" spans="1:33" s="1773" customFormat="1" ht="13.5" customHeight="1">
      <c r="A23" s="1793" t="s">
        <v>926</v>
      </c>
      <c r="B23" s="1818" t="s">
        <v>961</v>
      </c>
      <c r="C23" s="1819">
        <f>ROUND(C4*F23*F11,0)</f>
        <v>11418</v>
      </c>
      <c r="D23" s="1821"/>
      <c r="E23" s="1821"/>
      <c r="F23" s="1822">
        <f>'数据-取费表'!E26</f>
        <v>0.02</v>
      </c>
      <c r="G23" s="1802" t="s">
        <v>962</v>
      </c>
      <c r="H23" s="1805"/>
      <c r="I23" s="1805"/>
      <c r="J23" s="1805"/>
      <c r="K23" s="1860"/>
    </row>
    <row r="24" spans="1:33" s="1773" customFormat="1" ht="13.5" customHeight="1">
      <c r="A24" s="1793" t="s">
        <v>963</v>
      </c>
      <c r="B24" s="1818" t="s">
        <v>964</v>
      </c>
      <c r="C24" s="1823">
        <f>ROUND(F24/(1+'数据-取费表'!F30),4)</f>
        <v>2.8500000000000001E-2</v>
      </c>
      <c r="D24" s="1824" t="s">
        <v>965</v>
      </c>
      <c r="E24" s="1824"/>
      <c r="F24" s="1822">
        <f>'数据-取费表'!E36+'数据-取费表'!E37</f>
        <v>3.0499999999999999E-2</v>
      </c>
      <c r="G24" s="1802" t="s">
        <v>966</v>
      </c>
      <c r="H24" s="1825"/>
      <c r="I24" s="1825"/>
      <c r="J24" s="1825"/>
      <c r="K24" s="1864"/>
    </row>
    <row r="25" spans="1:33" s="1775" customFormat="1" ht="13.5" customHeight="1">
      <c r="A25" s="1793" t="s">
        <v>967</v>
      </c>
      <c r="B25" s="1820" t="s">
        <v>968</v>
      </c>
      <c r="C25" s="1826">
        <f ca="1">C27</f>
        <v>0</v>
      </c>
      <c r="D25" s="1823">
        <f ca="1">C26</f>
        <v>0</v>
      </c>
      <c r="E25" s="1827" t="s">
        <v>965</v>
      </c>
      <c r="F25" s="1828">
        <f ca="1">'数据-取费表'!E27</f>
        <v>4.7500000000000001E-2</v>
      </c>
      <c r="G25" s="1794" t="s">
        <v>969</v>
      </c>
      <c r="H25" s="1825"/>
      <c r="I25" s="1825"/>
      <c r="J25" s="1825"/>
      <c r="K25" s="1864"/>
    </row>
    <row r="26" spans="1:33" s="1776" customFormat="1" ht="13.5" customHeight="1">
      <c r="A26" s="1806" t="s">
        <v>947</v>
      </c>
      <c r="B26" s="1829" t="s">
        <v>970</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949</v>
      </c>
      <c r="B27" s="1829" t="s">
        <v>971</v>
      </c>
      <c r="C27" s="1834">
        <f ca="1">ROUND(IF('数据-取费表'!B23&lt;=1,(C21+C22+C23)*F25*'数据-取费表'!B25/2,(C21+C22+C23)*(POWER((1+F25),'数据-取费表'!B25/2)-1)),0)</f>
        <v>0</v>
      </c>
      <c r="D27" s="1831"/>
      <c r="E27" s="1832"/>
      <c r="F27" s="1833"/>
      <c r="G27" s="1794" t="s">
        <v>972</v>
      </c>
      <c r="H27" s="1815"/>
      <c r="I27" s="1815"/>
      <c r="J27" s="1815"/>
      <c r="K27" s="1862"/>
    </row>
    <row r="28" spans="1:33" s="1777" customFormat="1" ht="13.5" customHeight="1">
      <c r="A28" s="1793" t="s">
        <v>973</v>
      </c>
      <c r="B28" s="1835" t="s">
        <v>974</v>
      </c>
      <c r="C28" s="1836">
        <f>C30</f>
        <v>87976</v>
      </c>
      <c r="D28" s="1823">
        <f>C29</f>
        <v>0.2571</v>
      </c>
      <c r="E28" s="1827" t="s">
        <v>965</v>
      </c>
      <c r="F28" s="912">
        <f>'数据-取费表'!E28</f>
        <v>0.25</v>
      </c>
      <c r="G28" s="1837"/>
      <c r="H28" s="1825"/>
      <c r="I28" s="1825"/>
      <c r="J28" s="1825"/>
      <c r="K28" s="1864"/>
    </row>
    <row r="29" spans="1:33" s="1778" customFormat="1" ht="13.5" customHeight="1">
      <c r="A29" s="1806" t="s">
        <v>947</v>
      </c>
      <c r="B29" s="1838" t="s">
        <v>975</v>
      </c>
      <c r="C29" s="1831">
        <f>ROUND((1+C24)*F28,4)</f>
        <v>0.2571</v>
      </c>
      <c r="D29" s="1831"/>
      <c r="E29" s="1832"/>
      <c r="F29" s="1839"/>
      <c r="G29" s="1794" t="s">
        <v>976</v>
      </c>
      <c r="H29" s="1815"/>
      <c r="I29" s="1815"/>
      <c r="J29" s="1815"/>
      <c r="K29" s="1862"/>
    </row>
    <row r="30" spans="1:33" s="1778" customFormat="1" ht="13.5" customHeight="1">
      <c r="A30" s="1806" t="s">
        <v>949</v>
      </c>
      <c r="B30" s="1838" t="s">
        <v>977</v>
      </c>
      <c r="C30" s="1840">
        <f>ROUND((C21+C22+C23)*F28,0)</f>
        <v>87976</v>
      </c>
      <c r="D30" s="1831"/>
      <c r="E30" s="1841"/>
      <c r="F30" s="1839"/>
      <c r="G30" s="1794"/>
      <c r="H30" s="1815"/>
      <c r="I30" s="1815"/>
      <c r="J30" s="1815"/>
      <c r="K30" s="1862"/>
    </row>
    <row r="31" spans="1:33" s="1775" customFormat="1" ht="13.5" customHeight="1">
      <c r="A31" s="1842" t="s">
        <v>978</v>
      </c>
      <c r="B31" s="1818" t="s">
        <v>979</v>
      </c>
      <c r="C31" s="1843">
        <f>ROUND(C4*F31/(1+'数据-取费表'!F30),0)</f>
        <v>246062</v>
      </c>
      <c r="D31" s="1844"/>
      <c r="E31" s="1845"/>
      <c r="F31" s="1846">
        <f>'数据-取费表'!E29</f>
        <v>7.8400000000000011E-2</v>
      </c>
      <c r="G31" s="1847" t="s">
        <v>980</v>
      </c>
      <c r="H31" s="1848"/>
      <c r="I31" s="1848"/>
      <c r="J31" s="1848"/>
      <c r="K31" s="1865"/>
    </row>
    <row r="32" spans="1:33" s="1772" customFormat="1" ht="13.5" customHeight="1">
      <c r="A32" s="1849" t="s">
        <v>981</v>
      </c>
      <c r="B32" s="1850"/>
      <c r="C32" s="1851">
        <f ca="1">ROUND((C4-C21-C22-C23-C25-C28-C31)/(1+C24+D25+D28),0)</f>
        <v>2078646</v>
      </c>
      <c r="D32" s="1850"/>
      <c r="E32" s="1850"/>
      <c r="F32" s="1850"/>
      <c r="G32" s="1852" t="s">
        <v>982</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85" zoomScale="90" zoomScaleNormal="90" workbookViewId="0">
      <selection activeCell="C103" sqref="C103:G104"/>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1253</v>
      </c>
      <c r="B1" s="1128" t="s">
        <v>1254</v>
      </c>
      <c r="C1" s="1223" t="s">
        <v>984</v>
      </c>
      <c r="D1" s="1274"/>
      <c r="E1" s="1069" t="s">
        <v>2320</v>
      </c>
      <c r="F1" s="1070" t="s">
        <v>1255</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824</v>
      </c>
      <c r="B2" s="1072">
        <f>IF(D2="——",IF(C2="元",ROUND(C49*D3,0),ROUND(C49*D3/10000,0)),IF(C2="元",ROUND(C49*D3,0),ROUND(C49*D3/10000,0))-E2)</f>
        <v>246</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825</v>
      </c>
      <c r="B3" s="1079">
        <f>ROUND(IF(D2="——",C49,IF(C2="万元",B2*10000/D3,B2/D3)),0)</f>
        <v>25614</v>
      </c>
      <c r="C3" s="1078" t="s">
        <v>1256</v>
      </c>
      <c r="D3" s="1079">
        <f>IF(C1="仅计算典型户型",'数据-取费表'!E5,'数据-取费表'!B5)</f>
        <v>95.95</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1257</v>
      </c>
      <c r="B4" s="713"/>
      <c r="C4" s="2983" t="s">
        <v>1258</v>
      </c>
      <c r="D4" s="2984"/>
      <c r="E4" s="2985" t="s">
        <v>1259</v>
      </c>
      <c r="F4" s="2986"/>
      <c r="G4" s="2983" t="s">
        <v>1260</v>
      </c>
      <c r="H4" s="2984"/>
      <c r="I4" s="2983" t="s">
        <v>1261</v>
      </c>
      <c r="J4" s="2984"/>
      <c r="K4" s="1284" t="s">
        <v>1262</v>
      </c>
      <c r="L4" s="850"/>
      <c r="M4" s="851"/>
      <c r="N4" s="851"/>
      <c r="O4" s="851"/>
      <c r="P4" s="3014" t="s">
        <v>1263</v>
      </c>
      <c r="Q4" s="3015"/>
      <c r="R4" s="3020" t="s">
        <v>1259</v>
      </c>
      <c r="S4" s="3021"/>
      <c r="T4" s="3020" t="s">
        <v>1260</v>
      </c>
      <c r="U4" s="3021"/>
      <c r="V4" s="3026" t="s">
        <v>1261</v>
      </c>
      <c r="W4" s="3026"/>
      <c r="X4" s="888"/>
      <c r="Y4" s="3020" t="s">
        <v>1263</v>
      </c>
      <c r="Z4" s="3021"/>
      <c r="AA4" s="3011" t="s">
        <v>1259</v>
      </c>
      <c r="AB4" s="3011" t="s">
        <v>1260</v>
      </c>
      <c r="AC4" s="3011" t="s">
        <v>1261</v>
      </c>
    </row>
    <row r="5" spans="1:29" ht="15">
      <c r="A5" s="714"/>
      <c r="B5" s="715"/>
      <c r="C5" s="2987" t="s">
        <v>2352</v>
      </c>
      <c r="D5" s="2988"/>
      <c r="E5" s="2987" t="s">
        <v>2352</v>
      </c>
      <c r="F5" s="2988"/>
      <c r="G5" s="2987" t="s">
        <v>2352</v>
      </c>
      <c r="H5" s="2988"/>
      <c r="I5" s="2987" t="s">
        <v>2352</v>
      </c>
      <c r="J5" s="2988"/>
      <c r="K5" s="1285"/>
      <c r="L5" s="850"/>
      <c r="M5" s="851"/>
      <c r="N5" s="851"/>
      <c r="O5" s="851"/>
      <c r="P5" s="3016"/>
      <c r="Q5" s="3017"/>
      <c r="R5" s="3022"/>
      <c r="S5" s="3023"/>
      <c r="T5" s="3022"/>
      <c r="U5" s="3023"/>
      <c r="V5" s="3026"/>
      <c r="W5" s="3026"/>
      <c r="X5" s="888"/>
      <c r="Y5" s="3022"/>
      <c r="Z5" s="3023"/>
      <c r="AA5" s="3012"/>
      <c r="AB5" s="3012"/>
      <c r="AC5" s="3012"/>
    </row>
    <row r="6" spans="1:29" ht="15">
      <c r="A6" s="716"/>
      <c r="B6" s="717"/>
      <c r="C6" s="2989"/>
      <c r="D6" s="2990"/>
      <c r="E6" s="2989"/>
      <c r="F6" s="2990"/>
      <c r="G6" s="2989"/>
      <c r="H6" s="2990"/>
      <c r="I6" s="2989"/>
      <c r="J6" s="2990"/>
      <c r="K6" s="1285" t="s">
        <v>1269</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1270</v>
      </c>
      <c r="B7" s="719"/>
      <c r="C7" s="720">
        <f>'数据-取费表'!B2</f>
        <v>43199</v>
      </c>
      <c r="D7" s="721">
        <v>100</v>
      </c>
      <c r="E7" s="722">
        <v>43160</v>
      </c>
      <c r="F7" s="723">
        <f>SUMIF(58:58,YEAR(E7)&amp;"-"&amp;MONTH(E7),59:59)</f>
        <v>100</v>
      </c>
      <c r="G7" s="722">
        <v>43191</v>
      </c>
      <c r="H7" s="721">
        <f>SUMIF(58:58,YEAR(G7)&amp;"-"&amp;MONTH(G7),59:59)</f>
        <v>100</v>
      </c>
      <c r="I7" s="722">
        <v>43191</v>
      </c>
      <c r="J7" s="721">
        <f>SUMIF(58:58,YEAR(I7)&amp;"-"&amp;MONTH(I7),59:59)</f>
        <v>100</v>
      </c>
      <c r="K7" s="1286"/>
      <c r="L7" s="853"/>
      <c r="M7" s="854"/>
      <c r="N7" s="854"/>
      <c r="O7" s="854"/>
      <c r="P7" s="2991" t="s">
        <v>1271</v>
      </c>
      <c r="Q7" s="2992"/>
      <c r="R7" s="890" t="s">
        <v>1272</v>
      </c>
      <c r="S7" s="891">
        <f t="shared" ref="S7:S15" si="0">F7</f>
        <v>100</v>
      </c>
      <c r="T7" s="890" t="s">
        <v>1272</v>
      </c>
      <c r="U7" s="891">
        <f t="shared" ref="U7:U15" si="1">H7</f>
        <v>100</v>
      </c>
      <c r="V7" s="890" t="s">
        <v>1272</v>
      </c>
      <c r="W7" s="891">
        <f t="shared" ref="W7:W15" si="2">J7</f>
        <v>100</v>
      </c>
      <c r="X7" s="892"/>
      <c r="Y7" s="2991" t="s">
        <v>1271</v>
      </c>
      <c r="Z7" s="2993"/>
      <c r="AA7" s="903">
        <f>D7/F7</f>
        <v>1</v>
      </c>
      <c r="AB7" s="903">
        <f>D7/H7</f>
        <v>1</v>
      </c>
      <c r="AC7" s="903">
        <f>D7/J7</f>
        <v>1</v>
      </c>
    </row>
    <row r="8" spans="1:29" s="693" customFormat="1" ht="15">
      <c r="A8" s="718" t="s">
        <v>1273</v>
      </c>
      <c r="B8" s="719"/>
      <c r="C8" s="725" t="s">
        <v>1274</v>
      </c>
      <c r="D8" s="721">
        <v>100</v>
      </c>
      <c r="E8" s="725" t="s">
        <v>1274</v>
      </c>
      <c r="F8" s="723">
        <f>SUMIF(61:61,E8,62:62)-SUMIF(61:61,C8,62:62)+100</f>
        <v>100</v>
      </c>
      <c r="G8" s="725" t="s">
        <v>2350</v>
      </c>
      <c r="H8" s="721">
        <f>SUMIF(61:61,G8,62:62)-SUMIF(61:61,C8,62:62)+100</f>
        <v>100</v>
      </c>
      <c r="I8" s="725" t="s">
        <v>1274</v>
      </c>
      <c r="J8" s="721">
        <f>SUMIF(61:61,I8,62:62)-SUMIF(61:61,C8,62:62)+100</f>
        <v>100</v>
      </c>
      <c r="K8" s="1286"/>
      <c r="L8" s="853"/>
      <c r="M8" s="854"/>
      <c r="N8" s="854"/>
      <c r="O8" s="854"/>
      <c r="P8" s="2991" t="s">
        <v>1275</v>
      </c>
      <c r="Q8" s="2993"/>
      <c r="R8" s="890" t="s">
        <v>1272</v>
      </c>
      <c r="S8" s="891">
        <f t="shared" si="0"/>
        <v>100</v>
      </c>
      <c r="T8" s="890" t="s">
        <v>1272</v>
      </c>
      <c r="U8" s="891">
        <f t="shared" si="1"/>
        <v>100</v>
      </c>
      <c r="V8" s="890" t="s">
        <v>1272</v>
      </c>
      <c r="W8" s="891">
        <f t="shared" si="2"/>
        <v>100</v>
      </c>
      <c r="X8" s="892"/>
      <c r="Y8" s="2991" t="s">
        <v>1275</v>
      </c>
      <c r="Z8" s="2993"/>
      <c r="AA8" s="903">
        <f t="shared" ref="AA8:AA46" si="3">D8/F8</f>
        <v>1</v>
      </c>
      <c r="AB8" s="903">
        <f t="shared" ref="AB8:AB46" si="4">D8/H8</f>
        <v>1</v>
      </c>
      <c r="AC8" s="903">
        <f t="shared" ref="AC8:AC46" si="5">D8/J8</f>
        <v>1</v>
      </c>
    </row>
    <row r="9" spans="1:29" s="693" customFormat="1">
      <c r="A9" s="726" t="s">
        <v>1276</v>
      </c>
      <c r="B9" s="727" t="s">
        <v>1277</v>
      </c>
      <c r="C9" s="2731" t="s">
        <v>2341</v>
      </c>
      <c r="D9" s="729">
        <v>100</v>
      </c>
      <c r="E9" s="2731" t="s">
        <v>2341</v>
      </c>
      <c r="F9" s="1250">
        <f>SUMIF(63:63,E9,64:64)-SUMIF(63:63,C9,64:64)+100</f>
        <v>100</v>
      </c>
      <c r="G9" s="2731" t="s">
        <v>2341</v>
      </c>
      <c r="H9" s="729">
        <f>SUMIF(63:63,G9,64:64)-SUMIF(63:63,C9,64:64)+100</f>
        <v>100</v>
      </c>
      <c r="I9" s="2731" t="s">
        <v>2341</v>
      </c>
      <c r="J9" s="729">
        <f>SUMIF(63:63,I9,64:64)-SUMIF(63:63,C9,64:64)+100</f>
        <v>100</v>
      </c>
      <c r="K9" s="1286"/>
      <c r="L9" s="853"/>
      <c r="M9" s="854"/>
      <c r="N9" s="854"/>
      <c r="O9" s="854"/>
      <c r="P9" s="2996" t="s">
        <v>1278</v>
      </c>
      <c r="Q9" s="893" t="str">
        <f t="shared" ref="Q9:Q15" si="6">B9</f>
        <v>用途</v>
      </c>
      <c r="R9" s="890" t="s">
        <v>1272</v>
      </c>
      <c r="S9" s="891">
        <f t="shared" si="0"/>
        <v>100</v>
      </c>
      <c r="T9" s="890" t="s">
        <v>1272</v>
      </c>
      <c r="U9" s="891">
        <f t="shared" si="1"/>
        <v>100</v>
      </c>
      <c r="V9" s="890" t="s">
        <v>1272</v>
      </c>
      <c r="W9" s="891">
        <f t="shared" si="2"/>
        <v>100</v>
      </c>
      <c r="X9" s="892"/>
      <c r="Y9" s="2942" t="s">
        <v>1279</v>
      </c>
      <c r="Z9" s="904" t="str">
        <f t="shared" ref="Z9:Z15" si="7">Q9</f>
        <v>用途</v>
      </c>
      <c r="AA9" s="903">
        <f t="shared" si="3"/>
        <v>1</v>
      </c>
      <c r="AB9" s="903">
        <f t="shared" si="4"/>
        <v>1</v>
      </c>
      <c r="AC9" s="903">
        <f t="shared" si="5"/>
        <v>1</v>
      </c>
    </row>
    <row r="10" spans="1:29" s="694" customFormat="1" ht="27">
      <c r="A10" s="730"/>
      <c r="B10" s="731" t="s">
        <v>1280</v>
      </c>
      <c r="C10" s="1082" t="s">
        <v>1354</v>
      </c>
      <c r="D10" s="733">
        <v>100</v>
      </c>
      <c r="E10" s="1082" t="s">
        <v>1354</v>
      </c>
      <c r="F10" s="1230">
        <f>SUMIF(65:65,E10,66:66)-SUMIF(65:65,C10,66:66)+100</f>
        <v>100</v>
      </c>
      <c r="G10" s="1082" t="s">
        <v>1354</v>
      </c>
      <c r="H10" s="733">
        <f>SUMIF(65:65,G10,66:66)-SUMIF(65:65,C10,66:66)+100</f>
        <v>100</v>
      </c>
      <c r="I10" s="1082" t="s">
        <v>1354</v>
      </c>
      <c r="J10" s="733">
        <f>SUMIF(65:65,I10,66:66)-SUMIF(65:65,C10,66:66)+100</f>
        <v>100</v>
      </c>
      <c r="K10" s="1287">
        <v>2</v>
      </c>
      <c r="L10" s="857"/>
      <c r="M10" s="858"/>
      <c r="N10" s="858"/>
      <c r="O10" s="858"/>
      <c r="P10" s="2996"/>
      <c r="Q10" s="893" t="str">
        <f t="shared" si="6"/>
        <v>土地使用年限（年）</v>
      </c>
      <c r="R10" s="890" t="s">
        <v>1272</v>
      </c>
      <c r="S10" s="891">
        <f t="shared" si="0"/>
        <v>100</v>
      </c>
      <c r="T10" s="890" t="s">
        <v>1272</v>
      </c>
      <c r="U10" s="891">
        <f t="shared" si="1"/>
        <v>100</v>
      </c>
      <c r="V10" s="890" t="s">
        <v>1272</v>
      </c>
      <c r="W10" s="891">
        <f t="shared" si="2"/>
        <v>100</v>
      </c>
      <c r="X10" s="892"/>
      <c r="Y10" s="2942"/>
      <c r="Z10" s="904" t="str">
        <f t="shared" si="7"/>
        <v>土地使用年限（年）</v>
      </c>
      <c r="AA10" s="903">
        <f t="shared" si="3"/>
        <v>1</v>
      </c>
      <c r="AB10" s="903">
        <f t="shared" si="4"/>
        <v>1</v>
      </c>
      <c r="AC10" s="903">
        <f t="shared" si="5"/>
        <v>1</v>
      </c>
    </row>
    <row r="11" spans="1:29" ht="15">
      <c r="A11" s="734"/>
      <c r="B11" s="731" t="s">
        <v>1281</v>
      </c>
      <c r="C11" s="735">
        <v>1.5</v>
      </c>
      <c r="D11" s="733">
        <v>100</v>
      </c>
      <c r="E11" s="736">
        <v>1.5</v>
      </c>
      <c r="F11" s="1230">
        <f>LOOKUP(E11,68:68,69:69)-LOOKUP(C11,68:68,69:69)+100</f>
        <v>100</v>
      </c>
      <c r="G11" s="735">
        <v>1.5</v>
      </c>
      <c r="H11" s="733">
        <f>LOOKUP(G11,68:68,69:69)-LOOKUP(C11,68:68,69:69)+100</f>
        <v>100</v>
      </c>
      <c r="I11" s="735">
        <v>1.5</v>
      </c>
      <c r="J11" s="733">
        <f>LOOKUP(I11,68:68,69:69)-LOOKUP(C11,68:68,69:69)+100</f>
        <v>100</v>
      </c>
      <c r="K11" s="1287">
        <v>1</v>
      </c>
      <c r="L11" s="861"/>
      <c r="M11" s="851"/>
      <c r="N11" s="851"/>
      <c r="O11" s="851"/>
      <c r="P11" s="2996"/>
      <c r="Q11" s="893" t="str">
        <f t="shared" si="6"/>
        <v>容积率</v>
      </c>
      <c r="R11" s="890" t="s">
        <v>1272</v>
      </c>
      <c r="S11" s="891">
        <f t="shared" si="0"/>
        <v>100</v>
      </c>
      <c r="T11" s="890" t="s">
        <v>1272</v>
      </c>
      <c r="U11" s="891">
        <f t="shared" si="1"/>
        <v>100</v>
      </c>
      <c r="V11" s="890" t="s">
        <v>1272</v>
      </c>
      <c r="W11" s="891">
        <f t="shared" si="2"/>
        <v>100</v>
      </c>
      <c r="X11" s="892"/>
      <c r="Y11" s="2942"/>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2996"/>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2996"/>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2996"/>
      <c r="Q14" s="893">
        <f t="shared" si="6"/>
        <v>111</v>
      </c>
      <c r="R14" s="890" t="s">
        <v>1272</v>
      </c>
      <c r="S14" s="891">
        <f t="shared" si="0"/>
        <v>100</v>
      </c>
      <c r="T14" s="890" t="s">
        <v>1272</v>
      </c>
      <c r="U14" s="891">
        <f t="shared" si="1"/>
        <v>100</v>
      </c>
      <c r="V14" s="890" t="s">
        <v>1272</v>
      </c>
      <c r="W14" s="891">
        <f t="shared" si="2"/>
        <v>100</v>
      </c>
      <c r="X14" s="892"/>
      <c r="Y14" s="2942"/>
      <c r="Z14" s="904">
        <f t="shared" si="7"/>
        <v>111</v>
      </c>
      <c r="AA14" s="903">
        <f t="shared" si="3"/>
        <v>1</v>
      </c>
      <c r="AB14" s="903">
        <f t="shared" si="4"/>
        <v>1</v>
      </c>
      <c r="AC14" s="903">
        <f t="shared" si="5"/>
        <v>1</v>
      </c>
    </row>
    <row r="15" spans="1:29" ht="15">
      <c r="A15" s="748" t="s">
        <v>1282</v>
      </c>
      <c r="B15" s="1085" t="s">
        <v>207</v>
      </c>
      <c r="C15" s="1251">
        <f>估价对象房地状况!C3</f>
        <v>0</v>
      </c>
      <c r="D15" s="751">
        <v>100</v>
      </c>
      <c r="E15" s="2738"/>
      <c r="F15" s="1086">
        <f>SUMIF(76:76,E16,77:77)-SUMIF(76:76,C16,77:77)+100</f>
        <v>100</v>
      </c>
      <c r="G15" s="2738"/>
      <c r="H15" s="751">
        <f>SUMIF(76:76,G16,77:77)-SUMIF(76:76,C16,77:77)+100</f>
        <v>100</v>
      </c>
      <c r="I15" s="2738"/>
      <c r="J15" s="751">
        <f>SUMIF(76:76,I16,77:77)-SUMIF(76:76,C16,77:77)+100</f>
        <v>100</v>
      </c>
      <c r="K15" s="1289">
        <v>2</v>
      </c>
      <c r="L15" s="863"/>
      <c r="M15" s="851"/>
      <c r="N15" s="851"/>
      <c r="O15" s="851"/>
      <c r="P15" s="2997" t="s">
        <v>1283</v>
      </c>
      <c r="Q15" s="486" t="str">
        <f t="shared" si="6"/>
        <v>居住社区成熟度</v>
      </c>
      <c r="R15" s="894" t="s">
        <v>1272</v>
      </c>
      <c r="S15" s="895">
        <f t="shared" si="0"/>
        <v>100</v>
      </c>
      <c r="T15" s="894" t="s">
        <v>1272</v>
      </c>
      <c r="U15" s="895">
        <f t="shared" si="1"/>
        <v>100</v>
      </c>
      <c r="V15" s="894" t="s">
        <v>1272</v>
      </c>
      <c r="W15" s="895">
        <f t="shared" si="2"/>
        <v>100</v>
      </c>
      <c r="X15" s="888"/>
      <c r="Y15" s="3002" t="s">
        <v>1283</v>
      </c>
      <c r="Z15" s="823" t="str">
        <f t="shared" si="7"/>
        <v>居住社区成熟度</v>
      </c>
      <c r="AA15" s="905">
        <f t="shared" si="3"/>
        <v>1</v>
      </c>
      <c r="AB15" s="905">
        <f t="shared" si="4"/>
        <v>1</v>
      </c>
      <c r="AC15" s="905">
        <f t="shared" si="5"/>
        <v>1</v>
      </c>
    </row>
    <row r="16" spans="1:29" ht="15">
      <c r="A16" s="734"/>
      <c r="B16" s="1087"/>
      <c r="C16" s="754" t="s">
        <v>1970</v>
      </c>
      <c r="D16" s="755"/>
      <c r="E16" s="763" t="s">
        <v>1970</v>
      </c>
      <c r="F16" s="1088"/>
      <c r="G16" s="866" t="s">
        <v>1970</v>
      </c>
      <c r="H16" s="757"/>
      <c r="I16" s="763" t="s">
        <v>1970</v>
      </c>
      <c r="J16" s="755"/>
      <c r="K16" s="1290"/>
      <c r="L16" s="863"/>
      <c r="M16" s="851"/>
      <c r="N16" s="851"/>
      <c r="O16" s="851"/>
      <c r="P16" s="2998"/>
      <c r="Q16" s="486"/>
      <c r="R16" s="894"/>
      <c r="S16" s="895"/>
      <c r="T16" s="894"/>
      <c r="U16" s="895"/>
      <c r="V16" s="894"/>
      <c r="W16" s="895"/>
      <c r="X16" s="888"/>
      <c r="Y16" s="3003"/>
      <c r="Z16" s="823"/>
      <c r="AA16" s="905">
        <v>1</v>
      </c>
      <c r="AB16" s="905">
        <v>1</v>
      </c>
      <c r="AC16" s="905">
        <v>1</v>
      </c>
    </row>
    <row r="17" spans="1:29" ht="15">
      <c r="A17" s="734"/>
      <c r="B17" s="1091" t="s">
        <v>211</v>
      </c>
      <c r="C17" s="759">
        <f>估价对象房地状况!C6</f>
        <v>0</v>
      </c>
      <c r="D17" s="757">
        <v>100</v>
      </c>
      <c r="E17" s="2739"/>
      <c r="F17" s="1089">
        <f>SUMIF(78:78,E18,79:79)-SUMIF(78:78,C18,79:79)+100</f>
        <v>100</v>
      </c>
      <c r="G17" s="2739"/>
      <c r="H17" s="761">
        <f>SUMIF(78:78,G18,79:79)-SUMIF(78:78,C18,79:79)+100</f>
        <v>100</v>
      </c>
      <c r="I17" s="2739"/>
      <c r="J17" s="761">
        <f>SUMIF(78:78,I18,79:79)-SUMIF(78:78,C18,79:79)+100</f>
        <v>100</v>
      </c>
      <c r="K17" s="1289">
        <v>2</v>
      </c>
      <c r="L17" s="863"/>
      <c r="M17" s="851"/>
      <c r="N17" s="851"/>
      <c r="O17" s="851"/>
      <c r="P17" s="2998"/>
      <c r="Q17" s="486" t="str">
        <f>B17</f>
        <v>交通便捷度</v>
      </c>
      <c r="R17" s="894" t="s">
        <v>1272</v>
      </c>
      <c r="S17" s="895">
        <f>F17</f>
        <v>100</v>
      </c>
      <c r="T17" s="894" t="s">
        <v>1272</v>
      </c>
      <c r="U17" s="895">
        <f>H17</f>
        <v>100</v>
      </c>
      <c r="V17" s="894" t="s">
        <v>1272</v>
      </c>
      <c r="W17" s="895">
        <f>J17</f>
        <v>100</v>
      </c>
      <c r="X17" s="888"/>
      <c r="Y17" s="3003"/>
      <c r="Z17" s="823" t="str">
        <f>Q17</f>
        <v>交通便捷度</v>
      </c>
      <c r="AA17" s="905">
        <f t="shared" si="3"/>
        <v>1</v>
      </c>
      <c r="AB17" s="905">
        <f t="shared" si="4"/>
        <v>1</v>
      </c>
      <c r="AC17" s="905">
        <f t="shared" si="5"/>
        <v>1</v>
      </c>
    </row>
    <row r="18" spans="1:29" ht="15">
      <c r="A18" s="734"/>
      <c r="B18" s="783"/>
      <c r="C18" s="1090" t="s">
        <v>1970</v>
      </c>
      <c r="D18" s="757"/>
      <c r="E18" s="1034" t="s">
        <v>1970</v>
      </c>
      <c r="F18" s="1089"/>
      <c r="G18" s="1051" t="s">
        <v>1970</v>
      </c>
      <c r="H18" s="755"/>
      <c r="I18" s="1034" t="s">
        <v>1970</v>
      </c>
      <c r="J18" s="755"/>
      <c r="K18" s="1290"/>
      <c r="L18" s="863"/>
      <c r="M18" s="851"/>
      <c r="N18" s="851"/>
      <c r="O18" s="851"/>
      <c r="P18" s="2998"/>
      <c r="Q18" s="486"/>
      <c r="R18" s="894"/>
      <c r="S18" s="895"/>
      <c r="T18" s="894"/>
      <c r="U18" s="895"/>
      <c r="V18" s="894"/>
      <c r="W18" s="895"/>
      <c r="X18" s="888"/>
      <c r="Y18" s="3003"/>
      <c r="Z18" s="823"/>
      <c r="AA18" s="905">
        <v>1</v>
      </c>
      <c r="AB18" s="905">
        <v>1</v>
      </c>
      <c r="AC18" s="905">
        <v>1</v>
      </c>
    </row>
    <row r="19" spans="1:29" ht="15">
      <c r="A19" s="734"/>
      <c r="B19" s="1091" t="s">
        <v>213</v>
      </c>
      <c r="C19" s="759">
        <f>估价对象房地状况!C7</f>
        <v>0</v>
      </c>
      <c r="D19" s="761">
        <v>100</v>
      </c>
      <c r="E19" s="2739"/>
      <c r="F19" s="1092">
        <f>SUMIF(80:80,E20,81:81)-SUMIF(80:80,C20,81:81)+100</f>
        <v>100</v>
      </c>
      <c r="G19" s="2739"/>
      <c r="H19" s="757">
        <f>SUMIF(80:80,G20,81:81)-SUMIF(80:80,C20,81:81)+100</f>
        <v>100</v>
      </c>
      <c r="I19" s="2739"/>
      <c r="J19" s="757">
        <f>SUMIF(80:80,I20,81:81)-SUMIF(80:80,C20,81:81)+100</f>
        <v>100</v>
      </c>
      <c r="K19" s="1289">
        <v>2</v>
      </c>
      <c r="L19" s="863"/>
      <c r="M19" s="851"/>
      <c r="N19" s="851"/>
      <c r="O19" s="851"/>
      <c r="P19" s="2998"/>
      <c r="Q19" s="486" t="str">
        <f>B19</f>
        <v>公共配套设施</v>
      </c>
      <c r="R19" s="894" t="s">
        <v>1272</v>
      </c>
      <c r="S19" s="895">
        <f>F19</f>
        <v>100</v>
      </c>
      <c r="T19" s="894" t="s">
        <v>1272</v>
      </c>
      <c r="U19" s="895">
        <f>H19</f>
        <v>100</v>
      </c>
      <c r="V19" s="894" t="s">
        <v>1272</v>
      </c>
      <c r="W19" s="895">
        <f>J19</f>
        <v>100</v>
      </c>
      <c r="X19" s="888"/>
      <c r="Y19" s="3003"/>
      <c r="Z19" s="823" t="str">
        <f>Q19</f>
        <v>公共配套设施</v>
      </c>
      <c r="AA19" s="905">
        <f t="shared" si="3"/>
        <v>1</v>
      </c>
      <c r="AB19" s="905">
        <f t="shared" si="4"/>
        <v>1</v>
      </c>
      <c r="AC19" s="905">
        <f t="shared" si="5"/>
        <v>1</v>
      </c>
    </row>
    <row r="20" spans="1:29" ht="15">
      <c r="A20" s="734"/>
      <c r="B20" s="783"/>
      <c r="C20" s="754" t="s">
        <v>1970</v>
      </c>
      <c r="D20" s="755"/>
      <c r="E20" s="763" t="s">
        <v>1970</v>
      </c>
      <c r="F20" s="1088"/>
      <c r="G20" s="866" t="s">
        <v>1970</v>
      </c>
      <c r="H20" s="755"/>
      <c r="I20" s="763" t="s">
        <v>1970</v>
      </c>
      <c r="J20" s="755"/>
      <c r="K20" s="1290"/>
      <c r="L20" s="863"/>
      <c r="M20" s="851"/>
      <c r="N20" s="851"/>
      <c r="O20" s="851"/>
      <c r="P20" s="2998"/>
      <c r="Q20" s="486"/>
      <c r="R20" s="894"/>
      <c r="S20" s="895"/>
      <c r="T20" s="894"/>
      <c r="U20" s="895"/>
      <c r="V20" s="894"/>
      <c r="W20" s="895"/>
      <c r="X20" s="888"/>
      <c r="Y20" s="3003"/>
      <c r="Z20" s="823"/>
      <c r="AA20" s="905">
        <v>1</v>
      </c>
      <c r="AB20" s="905">
        <v>1</v>
      </c>
      <c r="AC20" s="905">
        <v>1</v>
      </c>
    </row>
    <row r="21" spans="1:29" ht="15">
      <c r="A21" s="734"/>
      <c r="B21" s="1226" t="s">
        <v>214</v>
      </c>
      <c r="C21" s="759">
        <f>估价对象房地状况!C8</f>
        <v>0</v>
      </c>
      <c r="D21" s="761">
        <v>100</v>
      </c>
      <c r="E21" s="2739"/>
      <c r="F21" s="1092">
        <f>SUMIF(82:82,E22,83:83)-SUMIF(82:82,C22,83:83)+100</f>
        <v>100</v>
      </c>
      <c r="G21" s="2739"/>
      <c r="H21" s="757">
        <f>SUMIF(82:82,G22,83:83)-SUMIF(82:82,C22,83:83)+100</f>
        <v>100</v>
      </c>
      <c r="I21" s="2739"/>
      <c r="J21" s="757">
        <f>SUMIF(82:82,I22,83:83)-SUMIF(82:82,C22,83:83)+100</f>
        <v>100</v>
      </c>
      <c r="K21" s="1289">
        <v>1</v>
      </c>
      <c r="L21" s="863"/>
      <c r="M21" s="851"/>
      <c r="N21" s="851"/>
      <c r="O21" s="851"/>
      <c r="P21" s="2998"/>
      <c r="Q21" s="486" t="str">
        <f>B21</f>
        <v>基础设施水平</v>
      </c>
      <c r="R21" s="894" t="s">
        <v>1272</v>
      </c>
      <c r="S21" s="895">
        <f>F21</f>
        <v>100</v>
      </c>
      <c r="T21" s="894" t="s">
        <v>1272</v>
      </c>
      <c r="U21" s="895">
        <f>H21</f>
        <v>100</v>
      </c>
      <c r="V21" s="894" t="s">
        <v>1272</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1226"/>
      <c r="C22" s="1090" t="s">
        <v>2336</v>
      </c>
      <c r="D22" s="755"/>
      <c r="E22" s="754" t="s">
        <v>2336</v>
      </c>
      <c r="F22" s="1088"/>
      <c r="G22" s="754" t="s">
        <v>2336</v>
      </c>
      <c r="H22" s="755"/>
      <c r="I22" s="754" t="s">
        <v>2336</v>
      </c>
      <c r="J22" s="755"/>
      <c r="K22" s="1291"/>
      <c r="L22" s="863"/>
      <c r="M22" s="851"/>
      <c r="N22" s="851"/>
      <c r="O22" s="851"/>
      <c r="P22" s="2998"/>
      <c r="Q22" s="486"/>
      <c r="R22" s="894"/>
      <c r="S22" s="895"/>
      <c r="T22" s="894"/>
      <c r="U22" s="895"/>
      <c r="V22" s="894"/>
      <c r="W22" s="895"/>
      <c r="X22" s="888"/>
      <c r="Y22" s="3003"/>
      <c r="Z22" s="823"/>
      <c r="AA22" s="905">
        <v>1</v>
      </c>
      <c r="AB22" s="905">
        <v>1</v>
      </c>
      <c r="AC22" s="905">
        <v>1</v>
      </c>
    </row>
    <row r="23" spans="1:29" ht="15">
      <c r="A23" s="734"/>
      <c r="B23" s="1091" t="s">
        <v>567</v>
      </c>
      <c r="C23" s="759">
        <f>估价对象房地状况!C9</f>
        <v>0</v>
      </c>
      <c r="D23" s="757">
        <v>100</v>
      </c>
      <c r="E23" s="2740"/>
      <c r="F23" s="1089">
        <f>SUMIF(84:84,E24,85:85)-SUMIF(84:84,C24,85:85)+100</f>
        <v>100</v>
      </c>
      <c r="G23" s="2740"/>
      <c r="H23" s="757">
        <f>SUMIF(84:84,G24,85:85)-SUMIF(84:84,C24,85:85)+100</f>
        <v>100</v>
      </c>
      <c r="I23" s="2740"/>
      <c r="J23" s="757">
        <f>SUMIF(84:84,I24,85:85)-SUMIF(84:84,C24,85:85)+100</f>
        <v>100</v>
      </c>
      <c r="K23" s="1289">
        <v>2</v>
      </c>
      <c r="L23" s="863"/>
      <c r="M23" s="851"/>
      <c r="N23" s="851"/>
      <c r="O23" s="851"/>
      <c r="P23" s="2998"/>
      <c r="Q23" s="486" t="str">
        <f>B23</f>
        <v>自然及人文环境</v>
      </c>
      <c r="R23" s="894" t="s">
        <v>1272</v>
      </c>
      <c r="S23" s="895">
        <f>F23</f>
        <v>100</v>
      </c>
      <c r="T23" s="894" t="s">
        <v>1272</v>
      </c>
      <c r="U23" s="895">
        <f>H23</f>
        <v>100</v>
      </c>
      <c r="V23" s="894" t="s">
        <v>1272</v>
      </c>
      <c r="W23" s="895">
        <f>J23</f>
        <v>100</v>
      </c>
      <c r="X23" s="888"/>
      <c r="Y23" s="3003"/>
      <c r="Z23" s="823" t="str">
        <f>Q23</f>
        <v>自然及人文环境</v>
      </c>
      <c r="AA23" s="905">
        <f t="shared" si="3"/>
        <v>1</v>
      </c>
      <c r="AB23" s="905">
        <f t="shared" si="4"/>
        <v>1</v>
      </c>
      <c r="AC23" s="905">
        <f t="shared" si="5"/>
        <v>1</v>
      </c>
    </row>
    <row r="24" spans="1:29" ht="15">
      <c r="A24" s="734"/>
      <c r="B24" s="783"/>
      <c r="C24" s="754" t="s">
        <v>1970</v>
      </c>
      <c r="D24" s="755"/>
      <c r="E24" s="763" t="s">
        <v>1970</v>
      </c>
      <c r="F24" s="1088"/>
      <c r="G24" s="866" t="s">
        <v>1970</v>
      </c>
      <c r="H24" s="755"/>
      <c r="I24" s="763" t="s">
        <v>1970</v>
      </c>
      <c r="J24" s="755"/>
      <c r="K24" s="1290"/>
      <c r="L24" s="863"/>
      <c r="M24" s="851"/>
      <c r="N24" s="851"/>
      <c r="O24" s="851"/>
      <c r="P24" s="2998"/>
      <c r="Q24" s="486"/>
      <c r="R24" s="894"/>
      <c r="S24" s="895"/>
      <c r="T24" s="894"/>
      <c r="U24" s="895"/>
      <c r="V24" s="894"/>
      <c r="W24" s="895"/>
      <c r="X24" s="888"/>
      <c r="Y24" s="3003"/>
      <c r="Z24" s="823"/>
      <c r="AA24" s="905">
        <v>1</v>
      </c>
      <c r="AB24" s="905">
        <v>1</v>
      </c>
      <c r="AC24" s="905">
        <v>1</v>
      </c>
    </row>
    <row r="25" spans="1:29" ht="15">
      <c r="A25" s="734"/>
      <c r="B25" s="731" t="s">
        <v>1284</v>
      </c>
      <c r="C25" s="1103">
        <v>1</v>
      </c>
      <c r="D25" s="743">
        <v>100</v>
      </c>
      <c r="E25" s="1103">
        <v>4</v>
      </c>
      <c r="F25" s="1093">
        <f>SUMIF(86:86,E25,87:87)-SUMIF(86:86,C25,87:87)+100</f>
        <v>103</v>
      </c>
      <c r="G25" s="1103">
        <v>5</v>
      </c>
      <c r="H25" s="743">
        <f>SUMIF(86:86,G25,87:87)-SUMIF(86:86,C25,87:87)+100</f>
        <v>104</v>
      </c>
      <c r="I25" s="1103">
        <v>5</v>
      </c>
      <c r="J25" s="743">
        <f>SUMIF(86:86,I25,87:87)-SUMIF(86:86,C25,87:87)+100</f>
        <v>104</v>
      </c>
      <c r="K25" s="1287">
        <v>1</v>
      </c>
      <c r="L25" s="863"/>
      <c r="M25" s="851"/>
      <c r="N25" s="851"/>
      <c r="O25" s="851"/>
      <c r="P25" s="2998"/>
      <c r="Q25" s="486" t="str">
        <f t="shared" ref="Q25:Q46" si="11">B25</f>
        <v>楼层-1</v>
      </c>
      <c r="R25" s="894" t="s">
        <v>1272</v>
      </c>
      <c r="S25" s="895">
        <f>F25</f>
        <v>103</v>
      </c>
      <c r="T25" s="894" t="s">
        <v>1272</v>
      </c>
      <c r="U25" s="895">
        <f>H25</f>
        <v>104</v>
      </c>
      <c r="V25" s="894" t="s">
        <v>1272</v>
      </c>
      <c r="W25" s="895">
        <f>J25</f>
        <v>104</v>
      </c>
      <c r="X25" s="888"/>
      <c r="Y25" s="3003"/>
      <c r="Z25" s="823" t="str">
        <f>Q25</f>
        <v>楼层-1</v>
      </c>
      <c r="AA25" s="905">
        <f t="shared" si="3"/>
        <v>0.970873786407767</v>
      </c>
      <c r="AB25" s="905">
        <f t="shared" si="4"/>
        <v>0.96153846153846156</v>
      </c>
      <c r="AC25" s="905">
        <f t="shared" si="5"/>
        <v>0.96153846153846156</v>
      </c>
    </row>
    <row r="26" spans="1:29" ht="15">
      <c r="A26" s="734"/>
      <c r="B26" s="2745" t="s">
        <v>1285</v>
      </c>
      <c r="C26" s="2746"/>
      <c r="D26" s="2747">
        <v>100</v>
      </c>
      <c r="E26" s="2748"/>
      <c r="F26" s="2749">
        <f>SUMIF(88:88,E26,89:89)-SUMIF(88:88,C26,89:89)+100</f>
        <v>100</v>
      </c>
      <c r="G26" s="2750"/>
      <c r="H26" s="2747">
        <f>SUMIF(88:88,G26,89:89)-SUMIF(88:88,C26,89:89)+100</f>
        <v>100</v>
      </c>
      <c r="I26" s="2748"/>
      <c r="J26" s="2747">
        <f>SUMIF(88:88,I26,89:89)-SUMIF(88:88,C26,89:89)+100</f>
        <v>100</v>
      </c>
      <c r="K26" s="2751"/>
      <c r="L26" s="863"/>
      <c r="M26" s="851"/>
      <c r="N26" s="851"/>
      <c r="O26" s="851"/>
      <c r="P26" s="2998"/>
      <c r="Q26" s="486" t="str">
        <f t="shared" si="11"/>
        <v>朝向</v>
      </c>
      <c r="R26" s="894" t="s">
        <v>1272</v>
      </c>
      <c r="S26" s="895">
        <f>F26</f>
        <v>100</v>
      </c>
      <c r="T26" s="894" t="s">
        <v>1272</v>
      </c>
      <c r="U26" s="895">
        <f>H26</f>
        <v>100</v>
      </c>
      <c r="V26" s="894" t="s">
        <v>1272</v>
      </c>
      <c r="W26" s="895">
        <f>J26</f>
        <v>100</v>
      </c>
      <c r="X26" s="888"/>
      <c r="Y26" s="3003"/>
      <c r="Z26" s="823" t="str">
        <f>Q26</f>
        <v>朝向</v>
      </c>
      <c r="AA26" s="905">
        <f t="shared" si="3"/>
        <v>1</v>
      </c>
      <c r="AB26" s="905">
        <f t="shared" si="4"/>
        <v>1</v>
      </c>
      <c r="AC26" s="905">
        <f t="shared" si="5"/>
        <v>1</v>
      </c>
    </row>
    <row r="27" spans="1:29" s="693" customFormat="1" ht="15">
      <c r="A27" s="737"/>
      <c r="B27" s="738" t="s">
        <v>1286</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2998"/>
      <c r="Q27" s="893" t="str">
        <f t="shared" si="11"/>
        <v>道路级别</v>
      </c>
      <c r="R27" s="890" t="s">
        <v>1272</v>
      </c>
      <c r="S27" s="891">
        <f>F27</f>
        <v>100</v>
      </c>
      <c r="T27" s="890" t="s">
        <v>1272</v>
      </c>
      <c r="U27" s="891">
        <f>H27</f>
        <v>100</v>
      </c>
      <c r="V27" s="890" t="s">
        <v>1272</v>
      </c>
      <c r="W27" s="891">
        <f>J27</f>
        <v>100</v>
      </c>
      <c r="X27" s="892"/>
      <c r="Y27" s="3003"/>
      <c r="Z27" s="904" t="str">
        <f>Q27</f>
        <v>道路级别</v>
      </c>
      <c r="AA27" s="905">
        <f t="shared" si="3"/>
        <v>1</v>
      </c>
      <c r="AB27" s="905">
        <f t="shared" si="4"/>
        <v>1</v>
      </c>
      <c r="AC27" s="905">
        <f t="shared" si="5"/>
        <v>1</v>
      </c>
    </row>
    <row r="28" spans="1:29" ht="15">
      <c r="A28" s="734"/>
      <c r="B28" s="2732" t="s">
        <v>2321</v>
      </c>
      <c r="C28" s="2733"/>
      <c r="D28" s="743">
        <v>100</v>
      </c>
      <c r="E28" s="2733"/>
      <c r="F28" s="1093">
        <f>SUMIF(92:92,E28,93:93)-SUMIF(92:92,C28,93:93)+100</f>
        <v>100</v>
      </c>
      <c r="G28" s="2733"/>
      <c r="H28" s="743">
        <f>SUMIF(92:92,G28,93:93)-SUMIF(92:92,C28,93:93)+100</f>
        <v>100</v>
      </c>
      <c r="I28" s="2733"/>
      <c r="J28" s="743">
        <f>SUMIF(92:92,I28,93:93)-SUMIF(92:92,C28,93:93)+100</f>
        <v>100</v>
      </c>
      <c r="K28" s="1288"/>
      <c r="L28" s="863"/>
      <c r="M28" s="851"/>
      <c r="N28" s="851"/>
      <c r="O28" s="851"/>
      <c r="P28" s="2998"/>
      <c r="Q28" s="486" t="str">
        <f t="shared" si="11"/>
        <v>楼层</v>
      </c>
      <c r="R28" s="894" t="s">
        <v>1272</v>
      </c>
      <c r="S28" s="895">
        <f t="shared" ref="S28:S46" si="12">F28</f>
        <v>100</v>
      </c>
      <c r="T28" s="894" t="s">
        <v>1272</v>
      </c>
      <c r="U28" s="895">
        <f t="shared" ref="U28:U46" si="13">H28</f>
        <v>100</v>
      </c>
      <c r="V28" s="894" t="s">
        <v>1272</v>
      </c>
      <c r="W28" s="895">
        <f t="shared" ref="W28:W46" si="14">J28</f>
        <v>100</v>
      </c>
      <c r="X28" s="888"/>
      <c r="Y28" s="3003"/>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2998"/>
      <c r="Q29" s="486">
        <f t="shared" si="11"/>
        <v>111</v>
      </c>
      <c r="R29" s="894" t="s">
        <v>1272</v>
      </c>
      <c r="S29" s="895">
        <f t="shared" si="12"/>
        <v>100</v>
      </c>
      <c r="T29" s="894" t="s">
        <v>1272</v>
      </c>
      <c r="U29" s="895">
        <f t="shared" si="13"/>
        <v>100</v>
      </c>
      <c r="V29" s="894" t="s">
        <v>1272</v>
      </c>
      <c r="W29" s="895">
        <f t="shared" si="14"/>
        <v>100</v>
      </c>
      <c r="X29" s="888"/>
      <c r="Y29" s="300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2998"/>
      <c r="Q30" s="486">
        <f t="shared" si="11"/>
        <v>111</v>
      </c>
      <c r="R30" s="894" t="s">
        <v>1272</v>
      </c>
      <c r="S30" s="895">
        <f t="shared" si="12"/>
        <v>100</v>
      </c>
      <c r="T30" s="894" t="s">
        <v>1272</v>
      </c>
      <c r="U30" s="895">
        <f t="shared" si="13"/>
        <v>100</v>
      </c>
      <c r="V30" s="894" t="s">
        <v>1272</v>
      </c>
      <c r="W30" s="895">
        <f t="shared" si="14"/>
        <v>100</v>
      </c>
      <c r="X30" s="888"/>
      <c r="Y30" s="3003"/>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2998"/>
      <c r="Q31" s="486">
        <f t="shared" si="11"/>
        <v>111</v>
      </c>
      <c r="R31" s="894" t="s">
        <v>1272</v>
      </c>
      <c r="S31" s="895">
        <f t="shared" si="12"/>
        <v>100</v>
      </c>
      <c r="T31" s="894" t="s">
        <v>1272</v>
      </c>
      <c r="U31" s="895">
        <f t="shared" si="13"/>
        <v>100</v>
      </c>
      <c r="V31" s="894" t="s">
        <v>1272</v>
      </c>
      <c r="W31" s="895">
        <f t="shared" si="14"/>
        <v>100</v>
      </c>
      <c r="X31" s="888"/>
      <c r="Y31" s="3003"/>
      <c r="Z31" s="823">
        <f t="shared" si="15"/>
        <v>111</v>
      </c>
      <c r="AA31" s="905">
        <f t="shared" si="3"/>
        <v>1</v>
      </c>
      <c r="AB31" s="905">
        <f t="shared" si="4"/>
        <v>1</v>
      </c>
      <c r="AC31" s="905">
        <f t="shared" si="5"/>
        <v>1</v>
      </c>
    </row>
    <row r="32" spans="1:29" ht="15">
      <c r="A32" s="748" t="s">
        <v>1287</v>
      </c>
      <c r="B32" s="727" t="s">
        <v>1288</v>
      </c>
      <c r="C32" s="1253"/>
      <c r="D32" s="785">
        <v>100</v>
      </c>
      <c r="E32" s="1253"/>
      <c r="F32" s="1093">
        <f>SUMIF(100:100,E32,101:101)-SUMIF(100:100,C32,101:101)+100</f>
        <v>100</v>
      </c>
      <c r="G32" s="1253"/>
      <c r="H32" s="785">
        <f>SUMIF(100:100,G32,101:101)-SUMIF(100:100,C32,101:101)+100</f>
        <v>100</v>
      </c>
      <c r="I32" s="1253"/>
      <c r="J32" s="743">
        <f>SUMIF(100:100,I32,101:101)-SUMIF(100:100,C32,101:101)+100</f>
        <v>100</v>
      </c>
      <c r="K32" s="1287">
        <v>2</v>
      </c>
      <c r="L32" s="863"/>
      <c r="M32" s="851"/>
      <c r="N32" s="851"/>
      <c r="O32" s="851"/>
      <c r="P32" s="2999" t="s">
        <v>1289</v>
      </c>
      <c r="Q32" s="486" t="str">
        <f t="shared" si="11"/>
        <v>建筑类型</v>
      </c>
      <c r="R32" s="894" t="s">
        <v>1272</v>
      </c>
      <c r="S32" s="895">
        <f t="shared" si="12"/>
        <v>100</v>
      </c>
      <c r="T32" s="894" t="s">
        <v>1272</v>
      </c>
      <c r="U32" s="895">
        <f t="shared" si="13"/>
        <v>100</v>
      </c>
      <c r="V32" s="894" t="s">
        <v>1272</v>
      </c>
      <c r="W32" s="895">
        <f t="shared" si="14"/>
        <v>100</v>
      </c>
      <c r="X32" s="888"/>
      <c r="Y32" s="3004" t="s">
        <v>1289</v>
      </c>
      <c r="Z32" s="823" t="str">
        <f t="shared" si="15"/>
        <v>建筑类型</v>
      </c>
      <c r="AA32" s="905">
        <f t="shared" si="3"/>
        <v>1</v>
      </c>
      <c r="AB32" s="905">
        <f t="shared" si="4"/>
        <v>1</v>
      </c>
      <c r="AC32" s="905">
        <f t="shared" si="5"/>
        <v>1</v>
      </c>
    </row>
    <row r="33" spans="1:29" s="695" customFormat="1" ht="15">
      <c r="A33" s="790"/>
      <c r="B33" s="731" t="s">
        <v>1290</v>
      </c>
      <c r="C33" s="1084">
        <v>95.95</v>
      </c>
      <c r="D33" s="733">
        <v>100</v>
      </c>
      <c r="E33" s="736">
        <v>108</v>
      </c>
      <c r="F33" s="1230">
        <f>LOOKUP(E33,103:103,104:104)-LOOKUP(C33,103:103,104:104)+100</f>
        <v>100</v>
      </c>
      <c r="G33" s="735">
        <v>78</v>
      </c>
      <c r="H33" s="733">
        <f>LOOKUP(G33,103:103,104:104)-LOOKUP(C33,103:103,104:104)+100</f>
        <v>101</v>
      </c>
      <c r="I33" s="736">
        <v>96</v>
      </c>
      <c r="J33" s="733">
        <f>LOOKUP(I33,103:103,104:104)-LOOKUP(C33,103:103,104:104)+100</f>
        <v>100</v>
      </c>
      <c r="K33" s="1288"/>
      <c r="L33" s="861"/>
      <c r="M33" s="870"/>
      <c r="N33" s="870"/>
      <c r="O33" s="870"/>
      <c r="P33" s="3000"/>
      <c r="Q33" s="1137" t="str">
        <f t="shared" si="11"/>
        <v>项目建筑规模</v>
      </c>
      <c r="R33" s="896" t="s">
        <v>1272</v>
      </c>
      <c r="S33" s="897">
        <f t="shared" si="12"/>
        <v>100</v>
      </c>
      <c r="T33" s="896" t="s">
        <v>1272</v>
      </c>
      <c r="U33" s="897">
        <f t="shared" si="13"/>
        <v>101</v>
      </c>
      <c r="V33" s="896" t="s">
        <v>1272</v>
      </c>
      <c r="W33" s="897">
        <f t="shared" si="14"/>
        <v>100</v>
      </c>
      <c r="X33" s="898"/>
      <c r="Y33" s="3004"/>
      <c r="Z33" s="906" t="str">
        <f t="shared" si="15"/>
        <v>项目建筑规模</v>
      </c>
      <c r="AA33" s="905">
        <f t="shared" si="3"/>
        <v>1</v>
      </c>
      <c r="AB33" s="905">
        <f t="shared" si="4"/>
        <v>0.99009900990099009</v>
      </c>
      <c r="AC33" s="905">
        <f t="shared" si="5"/>
        <v>1</v>
      </c>
    </row>
    <row r="34" spans="1:29" ht="15">
      <c r="A34" s="782"/>
      <c r="B34" s="731" t="s">
        <v>1291</v>
      </c>
      <c r="C34" s="1254" t="s">
        <v>2351</v>
      </c>
      <c r="D34" s="743">
        <v>100</v>
      </c>
      <c r="E34" s="1254" t="s">
        <v>2351</v>
      </c>
      <c r="F34" s="1093">
        <f>SUMIF(105:105,E34,106:106)-SUMIF(105:105,C34,106:106)+100</f>
        <v>100</v>
      </c>
      <c r="G34" s="1254" t="s">
        <v>2351</v>
      </c>
      <c r="H34" s="743">
        <f>SUMIF(105:105,G34,106:106)-SUMIF(105:105,C34,106:106)+100</f>
        <v>100</v>
      </c>
      <c r="I34" s="1254" t="s">
        <v>2351</v>
      </c>
      <c r="J34" s="743">
        <f>SUMIF(105:105,I34,106:106)-SUMIF(105:105,C34,106:106)+100</f>
        <v>100</v>
      </c>
      <c r="K34" s="1287">
        <v>1</v>
      </c>
      <c r="L34" s="863"/>
      <c r="M34" s="851"/>
      <c r="N34" s="851"/>
      <c r="O34" s="851"/>
      <c r="P34" s="3000"/>
      <c r="Q34" s="486" t="str">
        <f t="shared" si="11"/>
        <v>建筑结构</v>
      </c>
      <c r="R34" s="894" t="s">
        <v>1272</v>
      </c>
      <c r="S34" s="895">
        <f t="shared" si="12"/>
        <v>100</v>
      </c>
      <c r="T34" s="894" t="s">
        <v>1272</v>
      </c>
      <c r="U34" s="895">
        <f t="shared" si="13"/>
        <v>100</v>
      </c>
      <c r="V34" s="894" t="s">
        <v>1272</v>
      </c>
      <c r="W34" s="895">
        <f t="shared" si="14"/>
        <v>100</v>
      </c>
      <c r="X34" s="888"/>
      <c r="Y34" s="3004"/>
      <c r="Z34" s="823" t="str">
        <f t="shared" si="15"/>
        <v>建筑结构</v>
      </c>
      <c r="AA34" s="905">
        <f t="shared" si="3"/>
        <v>1</v>
      </c>
      <c r="AB34" s="905">
        <f t="shared" si="4"/>
        <v>1</v>
      </c>
      <c r="AC34" s="905">
        <f t="shared" si="5"/>
        <v>1</v>
      </c>
    </row>
    <row r="35" spans="1:29" ht="15">
      <c r="A35" s="782"/>
      <c r="B35" s="731" t="s">
        <v>1292</v>
      </c>
      <c r="C35" s="786" t="s">
        <v>2326</v>
      </c>
      <c r="D35" s="743">
        <v>100</v>
      </c>
      <c r="E35" s="786" t="s">
        <v>2326</v>
      </c>
      <c r="F35" s="1093">
        <f>SUMIF(107:107,E35,108:108)-SUMIF(107:107,C35,108:108)+100</f>
        <v>100</v>
      </c>
      <c r="G35" s="786" t="s">
        <v>2326</v>
      </c>
      <c r="H35" s="743">
        <f>SUMIF(107:107,G35,108:108)-SUMIF(107:107,C35,108:108)+100</f>
        <v>100</v>
      </c>
      <c r="I35" s="786" t="s">
        <v>2326</v>
      </c>
      <c r="J35" s="743">
        <f>SUMIF(107:107,I35,108:108)-SUMIF(107:107,C35,108:108)+100</f>
        <v>100</v>
      </c>
      <c r="K35" s="1287">
        <v>2</v>
      </c>
      <c r="L35" s="863"/>
      <c r="M35" s="851"/>
      <c r="N35" s="851"/>
      <c r="O35" s="851"/>
      <c r="P35" s="3000"/>
      <c r="Q35" s="486" t="str">
        <f t="shared" si="11"/>
        <v>建筑品质</v>
      </c>
      <c r="R35" s="894" t="s">
        <v>1272</v>
      </c>
      <c r="S35" s="895">
        <f t="shared" si="12"/>
        <v>100</v>
      </c>
      <c r="T35" s="894" t="s">
        <v>1272</v>
      </c>
      <c r="U35" s="895">
        <f t="shared" si="13"/>
        <v>100</v>
      </c>
      <c r="V35" s="894" t="s">
        <v>1272</v>
      </c>
      <c r="W35" s="895">
        <f t="shared" si="14"/>
        <v>100</v>
      </c>
      <c r="X35" s="888"/>
      <c r="Y35" s="3004"/>
      <c r="Z35" s="823" t="str">
        <f t="shared" si="15"/>
        <v>建筑品质</v>
      </c>
      <c r="AA35" s="905">
        <f t="shared" si="3"/>
        <v>1</v>
      </c>
      <c r="AB35" s="905">
        <f t="shared" si="4"/>
        <v>1</v>
      </c>
      <c r="AC35" s="905">
        <f t="shared" si="5"/>
        <v>1</v>
      </c>
    </row>
    <row r="36" spans="1:29" ht="15">
      <c r="A36" s="782"/>
      <c r="B36" s="731" t="s">
        <v>1293</v>
      </c>
      <c r="C36" s="786" t="s">
        <v>2330</v>
      </c>
      <c r="D36" s="743">
        <v>100</v>
      </c>
      <c r="E36" s="786" t="s">
        <v>2330</v>
      </c>
      <c r="F36" s="1093">
        <f>SUMIF(109:109,E36,110:110)-SUMIF(109:109,C36,110:110)+100</f>
        <v>100</v>
      </c>
      <c r="G36" s="786" t="s">
        <v>2330</v>
      </c>
      <c r="H36" s="743">
        <f>SUMIF(109:109,G36,110:110)-SUMIF(109:109,C36,110:110)+100</f>
        <v>100</v>
      </c>
      <c r="I36" s="786" t="s">
        <v>2330</v>
      </c>
      <c r="J36" s="743">
        <f>SUMIF(109:109,I36,110:110)-SUMIF(109:109,C36,110:110)+100</f>
        <v>100</v>
      </c>
      <c r="K36" s="1287">
        <v>2</v>
      </c>
      <c r="L36" s="863"/>
      <c r="M36" s="851"/>
      <c r="N36" s="851"/>
      <c r="O36" s="851"/>
      <c r="P36" s="3000"/>
      <c r="Q36" s="486" t="str">
        <f t="shared" si="11"/>
        <v>公共部分装修</v>
      </c>
      <c r="R36" s="894" t="s">
        <v>1272</v>
      </c>
      <c r="S36" s="895">
        <f t="shared" si="12"/>
        <v>100</v>
      </c>
      <c r="T36" s="894" t="s">
        <v>1272</v>
      </c>
      <c r="U36" s="895">
        <f t="shared" si="13"/>
        <v>100</v>
      </c>
      <c r="V36" s="894" t="s">
        <v>1272</v>
      </c>
      <c r="W36" s="895">
        <f t="shared" si="14"/>
        <v>100</v>
      </c>
      <c r="X36" s="888"/>
      <c r="Y36" s="3004"/>
      <c r="Z36" s="823" t="str">
        <f t="shared" si="15"/>
        <v>公共部分装修</v>
      </c>
      <c r="AA36" s="905">
        <f t="shared" si="3"/>
        <v>1</v>
      </c>
      <c r="AB36" s="905">
        <f t="shared" si="4"/>
        <v>1</v>
      </c>
      <c r="AC36" s="905">
        <f t="shared" si="5"/>
        <v>1</v>
      </c>
    </row>
    <row r="37" spans="1:29" s="693" customFormat="1" ht="15">
      <c r="A37" s="787"/>
      <c r="B37" s="731" t="s">
        <v>1294</v>
      </c>
      <c r="C37" s="1100">
        <f>'数据-取费表'!E20</f>
        <v>0.83</v>
      </c>
      <c r="D37" s="733">
        <v>100</v>
      </c>
      <c r="E37" s="1101">
        <v>0.83</v>
      </c>
      <c r="F37" s="1230">
        <f>LOOKUP(E37,112:112,113:113)-LOOKUP(C37,112:112,113:113)+100</f>
        <v>100</v>
      </c>
      <c r="G37" s="1102">
        <v>0.83</v>
      </c>
      <c r="H37" s="733">
        <f>LOOKUP(G37,112:112,113:113)-LOOKUP(C37,112:112,113:113)+100</f>
        <v>100</v>
      </c>
      <c r="I37" s="1101">
        <v>0.83</v>
      </c>
      <c r="J37" s="733">
        <f>LOOKUP(I37,112:112,113:113)-LOOKUP(C37,112:112,113:113)+100</f>
        <v>100</v>
      </c>
      <c r="K37" s="1287">
        <v>1</v>
      </c>
      <c r="L37" s="853"/>
      <c r="M37" s="854"/>
      <c r="N37" s="854"/>
      <c r="O37" s="854"/>
      <c r="P37" s="3000"/>
      <c r="Q37" s="893" t="str">
        <f t="shared" si="11"/>
        <v>成新度</v>
      </c>
      <c r="R37" s="890" t="s">
        <v>1272</v>
      </c>
      <c r="S37" s="891">
        <f t="shared" si="12"/>
        <v>100</v>
      </c>
      <c r="T37" s="890" t="s">
        <v>1272</v>
      </c>
      <c r="U37" s="891">
        <f t="shared" si="13"/>
        <v>100</v>
      </c>
      <c r="V37" s="890" t="s">
        <v>1272</v>
      </c>
      <c r="W37" s="891">
        <f t="shared" si="14"/>
        <v>100</v>
      </c>
      <c r="X37" s="892"/>
      <c r="Y37" s="3004"/>
      <c r="Z37" s="904" t="str">
        <f t="shared" si="15"/>
        <v>成新度</v>
      </c>
      <c r="AA37" s="903">
        <f t="shared" si="3"/>
        <v>1</v>
      </c>
      <c r="AB37" s="903">
        <f t="shared" si="4"/>
        <v>1</v>
      </c>
      <c r="AC37" s="903">
        <f t="shared" si="5"/>
        <v>1</v>
      </c>
    </row>
    <row r="38" spans="1:29" ht="15">
      <c r="A38" s="782"/>
      <c r="B38" s="731" t="s">
        <v>1295</v>
      </c>
      <c r="C38" s="786" t="s">
        <v>2333</v>
      </c>
      <c r="D38" s="743">
        <v>100</v>
      </c>
      <c r="E38" s="786" t="s">
        <v>2333</v>
      </c>
      <c r="F38" s="1093">
        <f>SUMIF(114:114,E38,115:115)-SUMIF(114:114,C38,115:115)+100</f>
        <v>100</v>
      </c>
      <c r="G38" s="786" t="s">
        <v>2333</v>
      </c>
      <c r="H38" s="743">
        <f>SUMIF(114:114,G38,115:115)-SUMIF(114:114,C38,115:115)+100</f>
        <v>100</v>
      </c>
      <c r="I38" s="786" t="s">
        <v>2333</v>
      </c>
      <c r="J38" s="743">
        <f>SUMIF(114:114,I38,115:115)-SUMIF(114:114,C38,115:115)+100</f>
        <v>100</v>
      </c>
      <c r="K38" s="1287">
        <v>2</v>
      </c>
      <c r="L38" s="863"/>
      <c r="M38" s="851"/>
      <c r="N38" s="851"/>
      <c r="O38" s="851"/>
      <c r="P38" s="3000" t="s">
        <v>1289</v>
      </c>
      <c r="Q38" s="486" t="str">
        <f t="shared" si="11"/>
        <v>物业管理</v>
      </c>
      <c r="R38" s="894" t="s">
        <v>1272</v>
      </c>
      <c r="S38" s="895">
        <f t="shared" si="12"/>
        <v>100</v>
      </c>
      <c r="T38" s="894" t="s">
        <v>1272</v>
      </c>
      <c r="U38" s="895">
        <f t="shared" si="13"/>
        <v>100</v>
      </c>
      <c r="V38" s="894" t="s">
        <v>1272</v>
      </c>
      <c r="W38" s="895">
        <f t="shared" si="14"/>
        <v>100</v>
      </c>
      <c r="X38" s="888"/>
      <c r="Y38" s="3004" t="s">
        <v>1289</v>
      </c>
      <c r="Z38" s="823" t="str">
        <f t="shared" si="15"/>
        <v>物业管理</v>
      </c>
      <c r="AA38" s="905">
        <f t="shared" si="3"/>
        <v>1</v>
      </c>
      <c r="AB38" s="905">
        <f t="shared" si="4"/>
        <v>1</v>
      </c>
      <c r="AC38" s="905">
        <f t="shared" si="5"/>
        <v>1</v>
      </c>
    </row>
    <row r="39" spans="1:29" ht="15">
      <c r="A39" s="782"/>
      <c r="B39" s="731" t="s">
        <v>1296</v>
      </c>
      <c r="C39" s="786" t="s">
        <v>2336</v>
      </c>
      <c r="D39" s="743">
        <v>100</v>
      </c>
      <c r="E39" s="786" t="s">
        <v>2336</v>
      </c>
      <c r="F39" s="1093">
        <f>SUMIF(116:116,E39,117:117)-SUMIF(116:116,C39,117:117)+100</f>
        <v>100</v>
      </c>
      <c r="G39" s="786" t="s">
        <v>2336</v>
      </c>
      <c r="H39" s="743">
        <f>SUMIF(116:116,G39,117:117)-SUMIF(116:116,C39,117:117)+100</f>
        <v>100</v>
      </c>
      <c r="I39" s="786" t="s">
        <v>2336</v>
      </c>
      <c r="J39" s="743">
        <f>SUMIF(116:116,I39,117:117)-SUMIF(116:116,C39,117:117)+100</f>
        <v>100</v>
      </c>
      <c r="K39" s="1287">
        <v>1</v>
      </c>
      <c r="L39" s="863"/>
      <c r="M39" s="851"/>
      <c r="N39" s="851"/>
      <c r="O39" s="851"/>
      <c r="P39" s="3000"/>
      <c r="Q39" s="486" t="str">
        <f t="shared" si="11"/>
        <v>市政基础设施</v>
      </c>
      <c r="R39" s="894" t="s">
        <v>1272</v>
      </c>
      <c r="S39" s="895">
        <f t="shared" si="12"/>
        <v>100</v>
      </c>
      <c r="T39" s="894" t="s">
        <v>1272</v>
      </c>
      <c r="U39" s="895">
        <f t="shared" si="13"/>
        <v>100</v>
      </c>
      <c r="V39" s="894" t="s">
        <v>1272</v>
      </c>
      <c r="W39" s="895">
        <f t="shared" si="14"/>
        <v>100</v>
      </c>
      <c r="X39" s="888"/>
      <c r="Y39" s="3004"/>
      <c r="Z39" s="823" t="str">
        <f t="shared" si="15"/>
        <v>市政基础设施</v>
      </c>
      <c r="AA39" s="905">
        <f t="shared" si="3"/>
        <v>1</v>
      </c>
      <c r="AB39" s="905">
        <f t="shared" si="4"/>
        <v>1</v>
      </c>
      <c r="AC39" s="905">
        <f t="shared" si="5"/>
        <v>1</v>
      </c>
    </row>
    <row r="40" spans="1:29" ht="15">
      <c r="A40" s="782"/>
      <c r="B40" s="731" t="s">
        <v>1297</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c r="L40" s="863"/>
      <c r="M40" s="851"/>
      <c r="N40" s="851"/>
      <c r="O40" s="851"/>
      <c r="P40" s="3000"/>
      <c r="Q40" s="486" t="str">
        <f t="shared" si="11"/>
        <v>房型</v>
      </c>
      <c r="R40" s="894" t="s">
        <v>1272</v>
      </c>
      <c r="S40" s="895">
        <f t="shared" si="12"/>
        <v>100</v>
      </c>
      <c r="T40" s="894" t="s">
        <v>1272</v>
      </c>
      <c r="U40" s="895">
        <f t="shared" si="13"/>
        <v>100</v>
      </c>
      <c r="V40" s="894" t="s">
        <v>1272</v>
      </c>
      <c r="W40" s="895">
        <f t="shared" si="14"/>
        <v>100</v>
      </c>
      <c r="X40" s="888"/>
      <c r="Y40" s="3004"/>
      <c r="Z40" s="823" t="str">
        <f t="shared" si="15"/>
        <v>房型</v>
      </c>
      <c r="AA40" s="905">
        <f t="shared" si="3"/>
        <v>1</v>
      </c>
      <c r="AB40" s="905">
        <f t="shared" si="4"/>
        <v>1</v>
      </c>
      <c r="AC40" s="905">
        <f t="shared" si="5"/>
        <v>1</v>
      </c>
    </row>
    <row r="41" spans="1:29" s="695" customFormat="1" ht="28.5">
      <c r="A41" s="790"/>
      <c r="B41" s="731" t="s">
        <v>1298</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00"/>
      <c r="Q41" s="1137" t="str">
        <f t="shared" si="11"/>
        <v>单套/主力户型建筑面积</v>
      </c>
      <c r="R41" s="896" t="s">
        <v>1272</v>
      </c>
      <c r="S41" s="897">
        <f t="shared" si="12"/>
        <v>100</v>
      </c>
      <c r="T41" s="896" t="s">
        <v>1272</v>
      </c>
      <c r="U41" s="897">
        <f t="shared" si="13"/>
        <v>100</v>
      </c>
      <c r="V41" s="896" t="s">
        <v>1272</v>
      </c>
      <c r="W41" s="897">
        <f t="shared" si="14"/>
        <v>100</v>
      </c>
      <c r="X41" s="898"/>
      <c r="Y41" s="3004"/>
      <c r="Z41" s="906" t="str">
        <f t="shared" si="15"/>
        <v>单套/主力户型建筑面积</v>
      </c>
      <c r="AA41" s="905">
        <f t="shared" si="3"/>
        <v>1</v>
      </c>
      <c r="AB41" s="905">
        <f t="shared" si="4"/>
        <v>1</v>
      </c>
      <c r="AC41" s="905">
        <f t="shared" si="5"/>
        <v>1</v>
      </c>
    </row>
    <row r="42" spans="1:29" ht="15">
      <c r="A42" s="782"/>
      <c r="B42" s="731" t="s">
        <v>1299</v>
      </c>
      <c r="C42" s="786" t="s">
        <v>2330</v>
      </c>
      <c r="D42" s="743">
        <v>100</v>
      </c>
      <c r="E42" s="786" t="s">
        <v>2330</v>
      </c>
      <c r="F42" s="1093">
        <f>SUMIF(122:122,E42,123:123)-SUMIF(122:122,C42,123:123)+100</f>
        <v>100</v>
      </c>
      <c r="G42" s="786" t="s">
        <v>2330</v>
      </c>
      <c r="H42" s="743">
        <f>SUMIF(122:122,G42,123:123)-SUMIF(122:122,C42,123:123)+100</f>
        <v>100</v>
      </c>
      <c r="I42" s="786" t="s">
        <v>2330</v>
      </c>
      <c r="J42" s="743">
        <f>SUMIF(122:122,I42,123:123)-SUMIF(122:122,C42,123:123)+100</f>
        <v>100</v>
      </c>
      <c r="K42" s="1287">
        <v>2</v>
      </c>
      <c r="L42" s="863"/>
      <c r="M42" s="851"/>
      <c r="N42" s="851"/>
      <c r="O42" s="851"/>
      <c r="P42" s="3000"/>
      <c r="Q42" s="486" t="str">
        <f t="shared" si="11"/>
        <v>内部装修</v>
      </c>
      <c r="R42" s="894" t="s">
        <v>1272</v>
      </c>
      <c r="S42" s="895">
        <f t="shared" si="12"/>
        <v>100</v>
      </c>
      <c r="T42" s="894" t="s">
        <v>1272</v>
      </c>
      <c r="U42" s="895">
        <f t="shared" si="13"/>
        <v>100</v>
      </c>
      <c r="V42" s="894" t="s">
        <v>1272</v>
      </c>
      <c r="W42" s="895">
        <f t="shared" si="14"/>
        <v>100</v>
      </c>
      <c r="X42" s="888"/>
      <c r="Y42" s="3004"/>
      <c r="Z42" s="823" t="str">
        <f t="shared" si="15"/>
        <v>内部装修</v>
      </c>
      <c r="AA42" s="905">
        <f t="shared" si="3"/>
        <v>1</v>
      </c>
      <c r="AB42" s="905">
        <f t="shared" si="4"/>
        <v>1</v>
      </c>
      <c r="AC42" s="905">
        <f t="shared" si="5"/>
        <v>1</v>
      </c>
    </row>
    <row r="43" spans="1:29" ht="15">
      <c r="A43" s="782"/>
      <c r="B43" s="731" t="s">
        <v>217</v>
      </c>
      <c r="C43" s="786" t="s">
        <v>1981</v>
      </c>
      <c r="D43" s="743">
        <v>100</v>
      </c>
      <c r="E43" s="786" t="s">
        <v>1981</v>
      </c>
      <c r="F43" s="1093">
        <f>SUMIF(124:124,E43,125:125)-SUMIF(124:124,C43,125:125)+100</f>
        <v>100</v>
      </c>
      <c r="G43" s="786" t="s">
        <v>1981</v>
      </c>
      <c r="H43" s="743">
        <f>SUMIF(124:124,G43,125:125)-SUMIF(124:124,C43,125:125)+100</f>
        <v>100</v>
      </c>
      <c r="I43" s="786" t="s">
        <v>1981</v>
      </c>
      <c r="J43" s="743">
        <f>SUMIF(124:124,I43,125:125)-SUMIF(124:124,C43,125:125)+100</f>
        <v>100</v>
      </c>
      <c r="K43" s="1287">
        <v>2</v>
      </c>
      <c r="L43" s="863"/>
      <c r="M43" s="851"/>
      <c r="N43" s="851"/>
      <c r="O43" s="851"/>
      <c r="P43" s="3000"/>
      <c r="Q43" s="486" t="str">
        <f t="shared" si="11"/>
        <v>内部装修维护情况</v>
      </c>
      <c r="R43" s="894" t="s">
        <v>1272</v>
      </c>
      <c r="S43" s="895">
        <f t="shared" si="12"/>
        <v>100</v>
      </c>
      <c r="T43" s="894" t="s">
        <v>1272</v>
      </c>
      <c r="U43" s="895">
        <f t="shared" si="13"/>
        <v>100</v>
      </c>
      <c r="V43" s="894" t="s">
        <v>1272</v>
      </c>
      <c r="W43" s="895">
        <f t="shared" si="14"/>
        <v>100</v>
      </c>
      <c r="X43" s="888"/>
      <c r="Y43" s="300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00"/>
      <c r="Q44" s="893">
        <f t="shared" si="11"/>
        <v>111</v>
      </c>
      <c r="R44" s="890" t="s">
        <v>1272</v>
      </c>
      <c r="S44" s="891">
        <f t="shared" si="12"/>
        <v>100</v>
      </c>
      <c r="T44" s="890" t="s">
        <v>1272</v>
      </c>
      <c r="U44" s="891">
        <f t="shared" si="13"/>
        <v>100</v>
      </c>
      <c r="V44" s="890" t="s">
        <v>1272</v>
      </c>
      <c r="W44" s="891">
        <f t="shared" si="14"/>
        <v>100</v>
      </c>
      <c r="X44" s="892"/>
      <c r="Y44" s="300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00"/>
      <c r="Q45" s="486">
        <f t="shared" si="11"/>
        <v>111</v>
      </c>
      <c r="R45" s="894" t="s">
        <v>1272</v>
      </c>
      <c r="S45" s="895">
        <f t="shared" si="12"/>
        <v>100</v>
      </c>
      <c r="T45" s="894" t="s">
        <v>1272</v>
      </c>
      <c r="U45" s="895">
        <f t="shared" si="13"/>
        <v>100</v>
      </c>
      <c r="V45" s="894" t="s">
        <v>1272</v>
      </c>
      <c r="W45" s="895">
        <f t="shared" si="14"/>
        <v>100</v>
      </c>
      <c r="X45" s="888"/>
      <c r="Y45" s="3004"/>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01"/>
      <c r="Q46" s="486">
        <f t="shared" si="11"/>
        <v>111</v>
      </c>
      <c r="R46" s="894" t="s">
        <v>1272</v>
      </c>
      <c r="S46" s="895">
        <f t="shared" si="12"/>
        <v>100</v>
      </c>
      <c r="T46" s="894" t="s">
        <v>1272</v>
      </c>
      <c r="U46" s="895">
        <f t="shared" si="13"/>
        <v>100</v>
      </c>
      <c r="V46" s="894" t="s">
        <v>1272</v>
      </c>
      <c r="W46" s="895">
        <f t="shared" si="14"/>
        <v>100</v>
      </c>
      <c r="X46" s="888"/>
      <c r="Y46" s="3005"/>
      <c r="Z46" s="823">
        <f t="shared" si="15"/>
        <v>111</v>
      </c>
      <c r="AA46" s="905">
        <f t="shared" si="3"/>
        <v>1</v>
      </c>
      <c r="AB46" s="905">
        <f t="shared" si="4"/>
        <v>1</v>
      </c>
      <c r="AC46" s="905">
        <f t="shared" si="5"/>
        <v>1</v>
      </c>
    </row>
    <row r="47" spans="1:29" ht="15">
      <c r="A47" s="792" t="s">
        <v>1300</v>
      </c>
      <c r="B47" s="1108"/>
      <c r="C47" s="1109" t="s">
        <v>121</v>
      </c>
      <c r="D47" s="1110"/>
      <c r="E47" s="1111">
        <v>25926</v>
      </c>
      <c r="F47" s="1112"/>
      <c r="G47" s="1113">
        <v>26923</v>
      </c>
      <c r="H47" s="1114"/>
      <c r="I47" s="1111">
        <v>27083</v>
      </c>
      <c r="J47" s="1114"/>
      <c r="K47" s="1292"/>
      <c r="L47" s="875"/>
      <c r="M47" s="809"/>
      <c r="N47" s="851"/>
      <c r="O47" s="809"/>
      <c r="P47" s="2994" t="str">
        <f>A47</f>
        <v>成交单价（元/平方米）</v>
      </c>
      <c r="Q47" s="2994"/>
      <c r="R47" s="2995">
        <f>E47</f>
        <v>25926</v>
      </c>
      <c r="S47" s="2995"/>
      <c r="T47" s="2995">
        <f>G47</f>
        <v>26923</v>
      </c>
      <c r="U47" s="2995"/>
      <c r="V47" s="2995">
        <f>I47</f>
        <v>27083</v>
      </c>
      <c r="W47" s="2995"/>
      <c r="X47" s="839"/>
      <c r="Y47" s="907"/>
      <c r="Z47" s="839"/>
      <c r="AA47" s="839"/>
      <c r="AB47" s="839"/>
      <c r="AC47" s="839"/>
    </row>
    <row r="48" spans="1:29" ht="15">
      <c r="A48" s="800" t="s">
        <v>1301</v>
      </c>
      <c r="B48" s="1115"/>
      <c r="C48" s="1116">
        <f>R49</f>
        <v>25614</v>
      </c>
      <c r="D48" s="1117"/>
      <c r="E48" s="1118">
        <f>R48</f>
        <v>25171</v>
      </c>
      <c r="F48" s="1118"/>
      <c r="G48" s="1116">
        <f>T48</f>
        <v>25631</v>
      </c>
      <c r="H48" s="1117"/>
      <c r="I48" s="1118">
        <f>V48</f>
        <v>26041</v>
      </c>
      <c r="J48" s="1117"/>
      <c r="K48" s="1293"/>
      <c r="L48" s="875"/>
      <c r="M48" s="809"/>
      <c r="N48" s="809"/>
      <c r="O48" s="809"/>
      <c r="P48" s="2994" t="str">
        <f>A48</f>
        <v>比较价值（元/平方米）</v>
      </c>
      <c r="Q48" s="2994"/>
      <c r="R48" s="2995">
        <f>IF(E1="售价",ROUND(PRODUCT(R47,AA7:AA46),0),ROUND(PRODUCT(R47,AA7:AA46),1))</f>
        <v>25171</v>
      </c>
      <c r="S48" s="2995"/>
      <c r="T48" s="3006">
        <f>IF(E1="售价",ROUND(PRODUCT(T47,AB7:AB46),0),ROUND(PRODUCT(T47,AB7:AB46),1))</f>
        <v>25631</v>
      </c>
      <c r="U48" s="3007"/>
      <c r="V48" s="2995">
        <f>IF(E1="售价",ROUND(PRODUCT(V47,AC7:AC46),0),ROUND(PRODUCT(V47,AC7:AC46),1))</f>
        <v>26041</v>
      </c>
      <c r="W48" s="2995"/>
      <c r="X48" s="839"/>
      <c r="Y48" s="839"/>
      <c r="Z48" s="839"/>
      <c r="AA48" s="839"/>
      <c r="AB48" s="839"/>
      <c r="AC48" s="839"/>
    </row>
    <row r="49" spans="1:29" ht="15">
      <c r="A49" s="806" t="s">
        <v>1302</v>
      </c>
      <c r="B49" s="807"/>
      <c r="C49" s="1278">
        <f>R49</f>
        <v>25614</v>
      </c>
      <c r="D49" s="1119"/>
      <c r="E49" s="1119"/>
      <c r="F49" s="1119"/>
      <c r="G49" s="1119"/>
      <c r="H49" s="1119"/>
      <c r="I49" s="1119"/>
      <c r="J49" s="1119"/>
      <c r="K49" s="1294"/>
      <c r="L49" s="875"/>
      <c r="M49" s="809"/>
      <c r="N49" s="809"/>
      <c r="O49" s="809"/>
      <c r="P49" s="3008" t="str">
        <f>A49</f>
        <v>估价对象XX用房的比较价值（楼面单价，元/平方米）</v>
      </c>
      <c r="Q49" s="3009"/>
      <c r="R49" s="3010">
        <f>IF(E1="售价",ROUND(AVERAGE(R48:V48),0),ROUND(AVERAGE(R48:V48),1))</f>
        <v>25614</v>
      </c>
      <c r="S49" s="3010"/>
      <c r="T49" s="3010"/>
      <c r="U49" s="3010"/>
      <c r="V49" s="3010"/>
      <c r="W49" s="3010"/>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1303</v>
      </c>
      <c r="D52" s="527"/>
      <c r="E52" s="812">
        <f>IF(E47&lt;E48,E48/E47-1,E47/E48-1)</f>
        <v>2.9994835326367708E-2</v>
      </c>
      <c r="F52" s="813" t="str">
        <f>IF(OR(E52&gt;=0.3,E52&lt;=-0.3),"超过30%","")</f>
        <v/>
      </c>
      <c r="G52" s="812">
        <f>IF(G47&lt;G48,G48/G47-1,G47/G48-1)</f>
        <v>5.0407709414381108E-2</v>
      </c>
      <c r="H52" s="813" t="str">
        <f>IF(OR(G52&gt;=0.3,G52&lt;=-0.3),"超过30%","")</f>
        <v/>
      </c>
      <c r="I52" s="812">
        <f>IF(I47&lt;I48,I48/I47-1,I47/I48-1)</f>
        <v>4.0013824353903438E-2</v>
      </c>
      <c r="J52" s="813" t="str">
        <f>IF(OR(I52&gt;=0.3,I52&lt;=-0.3),"超过30%","")</f>
        <v/>
      </c>
      <c r="K52" s="879"/>
      <c r="L52" s="880"/>
      <c r="M52" s="809"/>
      <c r="N52" s="809"/>
      <c r="O52" s="809"/>
    </row>
    <row r="53" spans="1:29" ht="13.5" customHeight="1">
      <c r="A53" s="809"/>
      <c r="B53" s="809"/>
      <c r="C53" s="811" t="s">
        <v>1304</v>
      </c>
      <c r="D53" s="526"/>
      <c r="E53" s="812">
        <f>IF(E48&lt;G48,G48/E48-1,E48/G48-1)</f>
        <v>1.8274999006793635E-2</v>
      </c>
      <c r="F53" s="813" t="str">
        <f>IF(OR(E53&gt;=0.2,E53&lt;=-0.2),"超过20%","")</f>
        <v/>
      </c>
      <c r="G53" s="812">
        <f>IF(G48&lt;I48,I48/G48-1,G48/I48-1)</f>
        <v>1.5996254535523446E-2</v>
      </c>
      <c r="H53" s="813" t="str">
        <f>IF(OR(G53&gt;=0.2,G53&lt;=-0.2),"超过20%","")</f>
        <v/>
      </c>
      <c r="I53" s="812">
        <f>IF(I48&lt;E48,E48/I48-1,I48/E48-1)</f>
        <v>3.4563585078066117E-2</v>
      </c>
      <c r="J53" s="813" t="str">
        <f>IF(OR(I53&gt;=0.2,I53&lt;=-0.2),"超过20%","")</f>
        <v/>
      </c>
      <c r="K53" s="879"/>
      <c r="L53" s="880"/>
      <c r="M53" s="809"/>
      <c r="N53" s="809"/>
      <c r="O53" s="809"/>
    </row>
    <row r="54" spans="1:29" s="696" customFormat="1" ht="13.5" customHeight="1">
      <c r="A54" s="814"/>
      <c r="B54" s="814"/>
      <c r="C54" s="811" t="s">
        <v>1305</v>
      </c>
      <c r="D54" s="526"/>
      <c r="E54" s="812">
        <f>IF(E47&lt;G47,G47/E47-1,E47/G47-1)</f>
        <v>3.8455604412558797E-2</v>
      </c>
      <c r="F54" s="813" t="str">
        <f>IF(OR(E54&gt;=0.3,E54&lt;=-0.3),"超过30%","")</f>
        <v/>
      </c>
      <c r="G54" s="812">
        <f>IF(G47&lt;I47,I47/G47-1,G47/I47-1)</f>
        <v>5.942874122497388E-3</v>
      </c>
      <c r="H54" s="813" t="str">
        <f>IF(OR(G54&gt;=0.3,G54&lt;=-0.3),"超过30%","")</f>
        <v/>
      </c>
      <c r="I54" s="812">
        <f>IF(I47&lt;E47,E47/I47-1,I47/E47-1)</f>
        <v>4.4627015351384802E-2</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1306</v>
      </c>
      <c r="B57" s="839"/>
      <c r="C57" s="840"/>
      <c r="D57" s="840"/>
      <c r="E57" s="840"/>
      <c r="F57" s="841"/>
      <c r="G57" s="841"/>
      <c r="H57" s="840"/>
      <c r="I57" s="840"/>
      <c r="J57" s="840"/>
      <c r="K57" s="1133"/>
      <c r="L57" s="1134"/>
      <c r="M57" s="840"/>
      <c r="N57" s="840"/>
      <c r="O57" s="840"/>
      <c r="P57" s="1296"/>
      <c r="Q57" s="899"/>
    </row>
    <row r="58" spans="1:29" s="698" customFormat="1" ht="15">
      <c r="A58" s="1120" t="s">
        <v>1270</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c r="F59" s="923"/>
      <c r="G59" s="923"/>
      <c r="H59" s="923"/>
      <c r="I59" s="923"/>
      <c r="J59" s="923"/>
      <c r="K59" s="923"/>
      <c r="L59" s="923"/>
      <c r="M59" s="1135"/>
      <c r="N59" s="923"/>
      <c r="O59" s="1135"/>
      <c r="P59" s="1264"/>
    </row>
    <row r="60" spans="1:29" s="693" customFormat="1" ht="15">
      <c r="A60" s="914" t="s">
        <v>1307</v>
      </c>
      <c r="B60" s="915"/>
      <c r="C60" s="916"/>
      <c r="D60" s="917"/>
      <c r="E60" s="917"/>
      <c r="F60" s="917"/>
      <c r="G60" s="917"/>
      <c r="H60" s="917"/>
      <c r="I60" s="917"/>
      <c r="J60" s="917"/>
      <c r="K60" s="917"/>
      <c r="L60" s="917"/>
      <c r="M60" s="966"/>
      <c r="N60" s="917"/>
      <c r="O60" s="966"/>
      <c r="P60" s="1264"/>
      <c r="Q60" s="899"/>
    </row>
    <row r="61" spans="1:29" s="693" customFormat="1" ht="15">
      <c r="A61" s="918" t="s">
        <v>1273</v>
      </c>
      <c r="B61" s="919"/>
      <c r="C61" s="920" t="s">
        <v>1274</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1308</v>
      </c>
      <c r="B63" s="925" t="s">
        <v>1277</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1280</v>
      </c>
      <c r="C65" s="930" t="s">
        <v>1309</v>
      </c>
      <c r="D65" s="930" t="s">
        <v>1310</v>
      </c>
      <c r="E65" s="930" t="s">
        <v>1311</v>
      </c>
      <c r="F65" s="930" t="s">
        <v>1312</v>
      </c>
      <c r="G65" s="930" t="s">
        <v>1313</v>
      </c>
      <c r="H65" s="930" t="s">
        <v>1314</v>
      </c>
      <c r="I65" s="930" t="s">
        <v>1315</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1281</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1282</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1316</v>
      </c>
      <c r="D82" s="930" t="s">
        <v>1317</v>
      </c>
      <c r="E82" s="930" t="s">
        <v>1318</v>
      </c>
      <c r="F82" s="930" t="s">
        <v>1319</v>
      </c>
      <c r="G82" s="930" t="s">
        <v>1320</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567</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1284</v>
      </c>
      <c r="C86" s="1242">
        <v>6</v>
      </c>
      <c r="D86" s="1242">
        <v>5</v>
      </c>
      <c r="E86" s="1242">
        <v>4</v>
      </c>
      <c r="F86" s="937">
        <v>3</v>
      </c>
      <c r="G86" s="937">
        <v>2</v>
      </c>
      <c r="H86" s="937">
        <v>1</v>
      </c>
      <c r="I86" s="937"/>
      <c r="J86" s="937"/>
      <c r="K86" s="937"/>
      <c r="L86" s="1140"/>
      <c r="M86" s="1141"/>
      <c r="N86" s="970"/>
      <c r="O86" s="970"/>
      <c r="P86" s="1266"/>
      <c r="Q86" s="899"/>
    </row>
    <row r="87" spans="1:17" s="693" customFormat="1" ht="15">
      <c r="A87" s="949"/>
      <c r="B87" s="931"/>
      <c r="C87" s="950">
        <v>100</v>
      </c>
      <c r="D87" s="932">
        <f>$C$87-($C$86-D86)*$K$25</f>
        <v>99</v>
      </c>
      <c r="E87" s="932">
        <f t="shared" ref="E87:M87" si="20">$C$87-($C$86-E86)*$K$25</f>
        <v>98</v>
      </c>
      <c r="F87" s="932">
        <f t="shared" si="20"/>
        <v>97</v>
      </c>
      <c r="G87" s="932">
        <f t="shared" si="20"/>
        <v>96</v>
      </c>
      <c r="H87" s="932">
        <f t="shared" si="20"/>
        <v>95</v>
      </c>
      <c r="I87" s="932">
        <f t="shared" si="20"/>
        <v>94</v>
      </c>
      <c r="J87" s="932">
        <f t="shared" si="20"/>
        <v>94</v>
      </c>
      <c r="K87" s="932">
        <f t="shared" si="20"/>
        <v>94</v>
      </c>
      <c r="L87" s="932">
        <f t="shared" si="20"/>
        <v>94</v>
      </c>
      <c r="M87" s="932">
        <f t="shared" si="20"/>
        <v>94</v>
      </c>
      <c r="N87" s="979"/>
      <c r="O87" s="979"/>
      <c r="P87" s="1266"/>
      <c r="Q87" s="899"/>
    </row>
    <row r="88" spans="1:17" s="693" customFormat="1" ht="15">
      <c r="A88" s="949"/>
      <c r="B88" s="929" t="s">
        <v>1285</v>
      </c>
      <c r="C88" s="937"/>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100</v>
      </c>
      <c r="E89" s="932">
        <f t="shared" si="21"/>
        <v>100</v>
      </c>
      <c r="F89" s="932">
        <f t="shared" si="21"/>
        <v>100</v>
      </c>
      <c r="G89" s="932">
        <f t="shared" si="21"/>
        <v>100</v>
      </c>
      <c r="H89" s="932">
        <f t="shared" si="21"/>
        <v>100</v>
      </c>
      <c r="I89" s="932">
        <f t="shared" si="21"/>
        <v>100</v>
      </c>
      <c r="J89" s="932">
        <f t="shared" si="21"/>
        <v>100</v>
      </c>
      <c r="K89" s="932">
        <f t="shared" si="21"/>
        <v>100</v>
      </c>
      <c r="L89" s="932">
        <f t="shared" si="21"/>
        <v>100</v>
      </c>
      <c r="M89" s="932">
        <f t="shared" si="21"/>
        <v>100</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c r="D92" s="1242"/>
      <c r="E92" s="1242"/>
      <c r="F92" s="937"/>
      <c r="G92" s="953"/>
      <c r="H92" s="953"/>
      <c r="I92" s="953"/>
      <c r="J92" s="953"/>
      <c r="K92" s="1007"/>
      <c r="L92" s="1008"/>
      <c r="M92" s="1009"/>
      <c r="N92" s="976"/>
      <c r="O92" s="976"/>
      <c r="P92" s="1266"/>
      <c r="Q92" s="899"/>
    </row>
    <row r="93" spans="1:17" ht="15">
      <c r="A93" s="926"/>
      <c r="B93" s="931"/>
      <c r="C93" s="939"/>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1287</v>
      </c>
      <c r="B100" s="925" t="s">
        <v>1288</v>
      </c>
      <c r="C100" s="2737"/>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1290</v>
      </c>
      <c r="C102" s="948" t="str">
        <f>C103&amp;"(含)"&amp;"-"&amp;D103</f>
        <v>0(含)-30</v>
      </c>
      <c r="D102" s="948" t="str">
        <f t="shared" ref="D102:L102" si="23">D103&amp;"(含)"&amp;"-"&amp;E103</f>
        <v>30(含)-60</v>
      </c>
      <c r="E102" s="948" t="str">
        <f t="shared" si="23"/>
        <v>60(含)-90</v>
      </c>
      <c r="F102" s="948" t="str">
        <f t="shared" si="23"/>
        <v>90(含)-120</v>
      </c>
      <c r="G102" s="948" t="str">
        <f t="shared" si="23"/>
        <v>120(含)-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30</v>
      </c>
      <c r="E103" s="913">
        <v>60</v>
      </c>
      <c r="F103" s="913">
        <v>90</v>
      </c>
      <c r="G103" s="913">
        <v>120</v>
      </c>
      <c r="H103" s="913"/>
      <c r="I103" s="913"/>
      <c r="J103" s="1014"/>
      <c r="K103" s="1014"/>
      <c r="L103" s="1015"/>
      <c r="M103" s="1016"/>
      <c r="N103" s="989"/>
      <c r="O103" s="989"/>
      <c r="P103" s="1269"/>
      <c r="Q103" s="1020"/>
    </row>
    <row r="104" spans="1:17" s="695" customFormat="1" ht="15">
      <c r="A104" s="936"/>
      <c r="B104" s="931"/>
      <c r="C104" s="939">
        <v>98</v>
      </c>
      <c r="D104" s="928">
        <v>99</v>
      </c>
      <c r="E104" s="928">
        <v>100</v>
      </c>
      <c r="F104" s="928">
        <v>99</v>
      </c>
      <c r="G104" s="928">
        <v>98</v>
      </c>
      <c r="H104" s="928"/>
      <c r="I104" s="928"/>
      <c r="J104" s="928"/>
      <c r="K104" s="928"/>
      <c r="L104" s="928"/>
      <c r="M104" s="928"/>
      <c r="N104" s="979"/>
      <c r="O104" s="979"/>
      <c r="P104" s="1269"/>
      <c r="Q104" s="1020"/>
    </row>
    <row r="105" spans="1:17">
      <c r="A105" s="960"/>
      <c r="B105" s="929" t="s">
        <v>1291</v>
      </c>
      <c r="C105" s="1242" t="s">
        <v>2322</v>
      </c>
      <c r="D105" s="1242" t="s">
        <v>2323</v>
      </c>
      <c r="E105" s="2734" t="s">
        <v>2324</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1292</v>
      </c>
      <c r="C107" s="2734" t="s">
        <v>2327</v>
      </c>
      <c r="D107" s="2734" t="s">
        <v>2328</v>
      </c>
      <c r="E107" s="2734" t="s">
        <v>2329</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1293</v>
      </c>
      <c r="C109" s="2735" t="s">
        <v>2325</v>
      </c>
      <c r="D109" s="2735" t="s">
        <v>2330</v>
      </c>
      <c r="E109" s="2735" t="s">
        <v>2331</v>
      </c>
      <c r="F109" s="2736" t="s">
        <v>2332</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1294</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1295</v>
      </c>
      <c r="C114" s="1242" t="s">
        <v>2334</v>
      </c>
      <c r="D114" s="1242" t="s">
        <v>2335</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1296</v>
      </c>
      <c r="C116" s="2735" t="s">
        <v>2336</v>
      </c>
      <c r="D116" s="2735" t="s">
        <v>2337</v>
      </c>
      <c r="E116" s="2735" t="s">
        <v>2338</v>
      </c>
      <c r="F116" s="2735" t="s">
        <v>2339</v>
      </c>
      <c r="G116" s="2735" t="s">
        <v>2340</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1297</v>
      </c>
      <c r="C118" s="953"/>
      <c r="D118" s="953"/>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1298</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1299</v>
      </c>
      <c r="C122" s="2735" t="s">
        <v>2325</v>
      </c>
      <c r="D122" s="2735" t="s">
        <v>2330</v>
      </c>
      <c r="E122" s="2735" t="s">
        <v>2331</v>
      </c>
      <c r="F122" s="2736" t="s">
        <v>2332</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1321</v>
      </c>
    </row>
    <row r="137" spans="1:17" ht="15">
      <c r="B137" s="1304" t="s">
        <v>1322</v>
      </c>
      <c r="C137" s="1305"/>
      <c r="D137" s="1305"/>
      <c r="E137" s="1305"/>
      <c r="F137" s="1305"/>
      <c r="G137" s="1306"/>
      <c r="H137" s="1307"/>
      <c r="I137" s="1331" t="s">
        <v>1323</v>
      </c>
      <c r="J137" s="1305"/>
      <c r="K137" s="1332"/>
    </row>
    <row r="138" spans="1:17" ht="15">
      <c r="B138" s="1308"/>
      <c r="C138" s="1049" t="s">
        <v>1324</v>
      </c>
      <c r="D138" s="1049" t="s">
        <v>1325</v>
      </c>
      <c r="E138" s="1309" t="s">
        <v>1326</v>
      </c>
      <c r="F138" s="1310" t="s">
        <v>1327</v>
      </c>
      <c r="G138" s="1049" t="s">
        <v>1325</v>
      </c>
      <c r="H138" s="1311" t="s">
        <v>1326</v>
      </c>
      <c r="I138" s="1333"/>
      <c r="J138" s="1049" t="s">
        <v>1328</v>
      </c>
      <c r="K138" s="1311" t="s">
        <v>1329</v>
      </c>
    </row>
    <row r="139" spans="1:17" ht="15">
      <c r="B139" s="1312">
        <v>6</v>
      </c>
      <c r="C139" s="1313">
        <v>96</v>
      </c>
      <c r="D139" s="1314" t="s">
        <v>1330</v>
      </c>
      <c r="E139" s="1315">
        <v>100</v>
      </c>
      <c r="F139" s="1316">
        <v>102.5</v>
      </c>
      <c r="G139" s="1314" t="s">
        <v>1330</v>
      </c>
      <c r="H139" s="1317">
        <v>105</v>
      </c>
      <c r="I139" s="1334" t="s">
        <v>1331</v>
      </c>
      <c r="J139" s="1313">
        <v>20</v>
      </c>
      <c r="K139" s="1335">
        <f>C145/(J139-2)</f>
        <v>4.0555555555555553E-3</v>
      </c>
    </row>
    <row r="140" spans="1:17" ht="15">
      <c r="B140" s="1318">
        <v>5</v>
      </c>
      <c r="C140" s="1319">
        <v>100</v>
      </c>
      <c r="D140" s="1319"/>
      <c r="E140" s="1320"/>
      <c r="F140" s="1321">
        <v>102</v>
      </c>
      <c r="G140" s="1319"/>
      <c r="H140" s="1322"/>
      <c r="I140" s="1336" t="s">
        <v>1332</v>
      </c>
      <c r="J140" s="1337">
        <f>ROUNDUP((J139-1)/2,0)</f>
        <v>10</v>
      </c>
      <c r="K140" s="1338">
        <v>100</v>
      </c>
    </row>
    <row r="141" spans="1:17" ht="15">
      <c r="B141" s="1318">
        <v>4</v>
      </c>
      <c r="C141" s="1319">
        <v>102</v>
      </c>
      <c r="D141" s="1319"/>
      <c r="E141" s="1320"/>
      <c r="F141" s="1321">
        <v>101.5</v>
      </c>
      <c r="G141" s="1319"/>
      <c r="H141" s="1322"/>
      <c r="I141" s="1336" t="s">
        <v>1333</v>
      </c>
      <c r="J141" s="1337">
        <v>1</v>
      </c>
      <c r="K141" s="1339">
        <f>ROUND(100+(J141-J140)*K139*100,1)</f>
        <v>96.4</v>
      </c>
    </row>
    <row r="142" spans="1:17" ht="15">
      <c r="B142" s="1318">
        <v>3</v>
      </c>
      <c r="C142" s="1319">
        <v>103</v>
      </c>
      <c r="D142" s="1319"/>
      <c r="E142" s="1320"/>
      <c r="F142" s="1321">
        <v>101</v>
      </c>
      <c r="G142" s="1319"/>
      <c r="H142" s="1322"/>
      <c r="I142" s="1336" t="s">
        <v>1334</v>
      </c>
      <c r="J142" s="1337">
        <f>J139</f>
        <v>20</v>
      </c>
      <c r="K142" s="1340">
        <v>95</v>
      </c>
    </row>
    <row r="143" spans="1:17" ht="15">
      <c r="B143" s="1318">
        <v>2</v>
      </c>
      <c r="C143" s="1319">
        <v>100</v>
      </c>
      <c r="D143" s="1319"/>
      <c r="E143" s="1320"/>
      <c r="F143" s="1321">
        <v>100.5</v>
      </c>
      <c r="G143" s="1319"/>
      <c r="H143" s="1322"/>
      <c r="I143" s="1336" t="s">
        <v>1335</v>
      </c>
      <c r="J143" s="1319">
        <v>15</v>
      </c>
      <c r="K143" s="1339">
        <f>ROUND(100+(J143-J140)*K139*100,1)</f>
        <v>102</v>
      </c>
    </row>
    <row r="144" spans="1:17" ht="15">
      <c r="B144" s="1318">
        <v>1</v>
      </c>
      <c r="C144" s="1319">
        <v>98</v>
      </c>
      <c r="D144" s="1323" t="s">
        <v>1336</v>
      </c>
      <c r="E144" s="1320">
        <v>102</v>
      </c>
      <c r="F144" s="1324">
        <v>100</v>
      </c>
      <c r="G144" s="1323" t="s">
        <v>1336</v>
      </c>
      <c r="H144" s="1322">
        <v>105</v>
      </c>
      <c r="I144" s="1336" t="s">
        <v>1335</v>
      </c>
      <c r="J144" s="1319">
        <v>18</v>
      </c>
      <c r="K144" s="1339">
        <f>ROUND(100+(J144-J140)*K139*100,1)</f>
        <v>103.2</v>
      </c>
    </row>
    <row r="145" spans="2:11" ht="15">
      <c r="B145" s="1325" t="s">
        <v>1337</v>
      </c>
      <c r="C145" s="1326">
        <f>ROUND(MAX(C139:C144)/MIN(C139:C144)-1,3)</f>
        <v>7.2999999999999995E-2</v>
      </c>
      <c r="D145" s="1327"/>
      <c r="E145" s="1327"/>
      <c r="F145" s="1328" t="s">
        <v>1338</v>
      </c>
      <c r="G145" s="1329"/>
      <c r="H145" s="1330"/>
      <c r="I145" s="1341" t="s">
        <v>1335</v>
      </c>
      <c r="J145" s="1342">
        <v>8</v>
      </c>
      <c r="K145" s="1343">
        <f>ROUND(100+(J145-J140)*K139*100,1)</f>
        <v>99.2</v>
      </c>
    </row>
    <row r="147" spans="2:11">
      <c r="B147" s="1303" t="s">
        <v>1339</v>
      </c>
    </row>
    <row r="148" spans="2:11">
      <c r="B148" s="1303" t="s">
        <v>1340</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5"/>
      <c r="B1" s="2696"/>
    </row>
    <row r="2" spans="1:7">
      <c r="A2" s="2695"/>
      <c r="B2" s="2696"/>
    </row>
    <row r="3" spans="1:7">
      <c r="A3" s="2695"/>
      <c r="B3" s="2696"/>
    </row>
    <row r="4" spans="1:7">
      <c r="A4" s="2695"/>
      <c r="B4" s="2696"/>
    </row>
    <row r="5" spans="1:7">
      <c r="A5" s="2695"/>
      <c r="B5" s="2696"/>
    </row>
    <row r="6" spans="1:7">
      <c r="A6" s="2695"/>
      <c r="B6" s="2696"/>
    </row>
    <row r="7" spans="1:7">
      <c r="A7" s="2695"/>
      <c r="B7" s="2696"/>
    </row>
    <row r="8" spans="1:7">
      <c r="A8" s="2697" t="s">
        <v>71</v>
      </c>
      <c r="B8" s="2698" t="s">
        <v>72</v>
      </c>
      <c r="C8" s="2699"/>
    </row>
    <row r="9" spans="1:7">
      <c r="A9" s="2695"/>
      <c r="B9" s="2700" t="str">
        <f>项目基本情况!B1</f>
        <v>北京市房地产抵押价值预评估</v>
      </c>
      <c r="C9" s="2701"/>
      <c r="D9" s="2702"/>
      <c r="E9" s="2702"/>
      <c r="F9" s="2702"/>
      <c r="G9" s="2702"/>
    </row>
    <row r="10" spans="1:7">
      <c r="A10" s="2695"/>
      <c r="B10" s="2703"/>
      <c r="C10" s="2701"/>
      <c r="D10" s="2702"/>
      <c r="E10" s="2702"/>
      <c r="F10" s="2702"/>
      <c r="G10" s="2702"/>
    </row>
    <row r="11" spans="1:7">
      <c r="A11" s="2697" t="s">
        <v>71</v>
      </c>
      <c r="B11" s="2698" t="s">
        <v>73</v>
      </c>
      <c r="C11" s="2699"/>
    </row>
    <row r="12" spans="1:7">
      <c r="A12" s="2695"/>
      <c r="B12" s="2704">
        <f>项目基本情况!B4</f>
        <v>0</v>
      </c>
      <c r="C12" s="2699"/>
    </row>
    <row r="13" spans="1:7">
      <c r="A13" s="2695"/>
      <c r="B13" s="2698"/>
      <c r="C13" s="2699"/>
    </row>
    <row r="14" spans="1:7">
      <c r="A14" s="2697" t="s">
        <v>71</v>
      </c>
      <c r="B14" s="2698" t="s">
        <v>74</v>
      </c>
      <c r="C14" s="2699"/>
    </row>
    <row r="15" spans="1:7">
      <c r="A15" s="2695"/>
      <c r="B15" s="2704" t="s">
        <v>75</v>
      </c>
      <c r="C15" s="2699"/>
    </row>
    <row r="16" spans="1:7">
      <c r="A16" s="2695"/>
      <c r="B16" s="2698"/>
      <c r="C16" s="2699"/>
    </row>
    <row r="17" spans="1:5">
      <c r="A17" s="2697" t="s">
        <v>71</v>
      </c>
      <c r="B17" s="2698" t="s">
        <v>76</v>
      </c>
      <c r="C17" s="2699"/>
    </row>
    <row r="18" spans="1:5" s="2694" customFormat="1">
      <c r="A18" s="2705"/>
      <c r="B18" s="2704" t="str">
        <f ca="1">CONCATENATE(项目基本情况!B3,"（注册号:",项目基本情况!C3,"）、",项目基本情况!D3,"（注册号:",项目基本情况!E3,")")</f>
        <v>欧红伟（注册号:1120000080）、崔锴（注册号:1120100036)</v>
      </c>
      <c r="C18" s="2706"/>
      <c r="E18" s="2706"/>
    </row>
    <row r="19" spans="1:5">
      <c r="A19" s="2695"/>
      <c r="B19" s="2698"/>
      <c r="C19" s="2699"/>
    </row>
    <row r="20" spans="1:5">
      <c r="A20" s="2697" t="s">
        <v>71</v>
      </c>
      <c r="B20" s="2698" t="s">
        <v>77</v>
      </c>
      <c r="C20" s="2699"/>
    </row>
    <row r="21" spans="1:5">
      <c r="A21" s="2695"/>
      <c r="B21" s="2704" t="str">
        <f>"康正预评字"&amp;项目基本情况!G1&amp;"号"</f>
        <v>康正预评字号</v>
      </c>
    </row>
    <row r="22" spans="1:5">
      <c r="A22" s="2695"/>
      <c r="B22" s="2696"/>
    </row>
    <row r="23" spans="1:5">
      <c r="B23" s="2707"/>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workbookViewId="0">
      <selection activeCell="D2" sqref="D2"/>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983</v>
      </c>
      <c r="B1" s="1522"/>
      <c r="C1" s="1523"/>
      <c r="D1" s="1524" t="s">
        <v>984</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824</v>
      </c>
      <c r="B2" s="1529">
        <f ca="1">IF(C2="元",IF('数据-取费表'!B28="租赁期内按合同租金",C40+L47+J29,C40+L47),ROUND(IF('数据-取费表'!B28="租赁期内按合同租金",(C40+L47+J29)/10000,(C40+L47)/10000),0))</f>
        <v>57</v>
      </c>
      <c r="C2" s="1530" t="str">
        <f>'数据-取费表'!B3</f>
        <v>万元</v>
      </c>
      <c r="D2" s="1149"/>
      <c r="E2" s="1531"/>
      <c r="F2" s="1531"/>
      <c r="G2" s="1532"/>
      <c r="H2" s="1533"/>
      <c r="I2" s="1667"/>
      <c r="J2" s="1667"/>
      <c r="K2" s="1668"/>
      <c r="L2" s="1667"/>
      <c r="M2" s="1667"/>
    </row>
    <row r="3" spans="1:37" ht="18" customHeight="1">
      <c r="A3" s="1534" t="s">
        <v>825</v>
      </c>
      <c r="B3" s="1535">
        <f ca="1">ROUND(IF('数据-取费表'!B28="租赁期内按合同租金",(C40+L47+J29)/F43,(C40+L47)/F43),0)</f>
        <v>5903</v>
      </c>
      <c r="C3" s="1530" t="s">
        <v>985</v>
      </c>
      <c r="D3" s="1149"/>
      <c r="E3" s="1531"/>
      <c r="F3" s="1531"/>
      <c r="G3" s="1532"/>
      <c r="H3" s="1536" t="s">
        <v>986</v>
      </c>
      <c r="I3" s="1667"/>
      <c r="J3" s="1667"/>
      <c r="K3" s="1668"/>
      <c r="L3" s="1667"/>
      <c r="M3" s="1667"/>
    </row>
    <row r="4" spans="1:37" ht="18" customHeight="1">
      <c r="A4" s="1537" t="s">
        <v>987</v>
      </c>
      <c r="B4" s="1538" t="s">
        <v>988</v>
      </c>
      <c r="C4" s="1538" t="s">
        <v>989</v>
      </c>
      <c r="D4" s="1538" t="s">
        <v>990</v>
      </c>
      <c r="E4" s="1539" t="s">
        <v>991</v>
      </c>
      <c r="F4" s="1540"/>
      <c r="G4" s="1541"/>
      <c r="H4" s="1537" t="s">
        <v>987</v>
      </c>
      <c r="I4" s="1538" t="s">
        <v>988</v>
      </c>
      <c r="J4" s="1538" t="s">
        <v>989</v>
      </c>
      <c r="K4" s="1538" t="s">
        <v>990</v>
      </c>
      <c r="L4" s="1539" t="s">
        <v>991</v>
      </c>
      <c r="M4" s="1540"/>
    </row>
    <row r="5" spans="1:37" ht="18" customHeight="1">
      <c r="A5" s="1542">
        <v>1</v>
      </c>
      <c r="B5" s="1543" t="s">
        <v>992</v>
      </c>
      <c r="C5" s="1544">
        <f ca="1">C6+C10+C12</f>
        <v>29741</v>
      </c>
      <c r="D5" s="1545" t="s">
        <v>993</v>
      </c>
      <c r="E5" s="1149"/>
      <c r="F5" s="1546"/>
      <c r="G5" s="1541"/>
      <c r="H5" s="1542">
        <v>1</v>
      </c>
      <c r="I5" s="1543" t="s">
        <v>992</v>
      </c>
      <c r="J5" s="1544">
        <f ca="1">J6+J10+J12</f>
        <v>0</v>
      </c>
      <c r="K5" s="1545" t="s">
        <v>993</v>
      </c>
      <c r="L5" s="1149"/>
      <c r="M5" s="1546"/>
    </row>
    <row r="6" spans="1:37" ht="18" customHeight="1">
      <c r="A6" s="1547" t="s">
        <v>923</v>
      </c>
      <c r="B6" s="1548" t="s">
        <v>994</v>
      </c>
      <c r="C6" s="1544">
        <f>ROUND(F6*F8*F7*(1-F9),0)</f>
        <v>29700</v>
      </c>
      <c r="D6" s="1549" t="s">
        <v>995</v>
      </c>
      <c r="E6" s="1550" t="s">
        <v>996</v>
      </c>
      <c r="F6" s="1551">
        <f>'数据-取费表'!B29</f>
        <v>2750</v>
      </c>
      <c r="G6" s="1541"/>
      <c r="H6" s="1547" t="s">
        <v>923</v>
      </c>
      <c r="I6" s="1548" t="s">
        <v>994</v>
      </c>
      <c r="J6" s="1544">
        <f>ROUND(M6*M8*M7*(1-M9),0)</f>
        <v>0</v>
      </c>
      <c r="K6" s="1549" t="s">
        <v>995</v>
      </c>
      <c r="L6" s="1550" t="s">
        <v>996</v>
      </c>
      <c r="M6" s="1551">
        <f>'数据-取费表'!B36</f>
        <v>0</v>
      </c>
    </row>
    <row r="7" spans="1:37" ht="18" customHeight="1">
      <c r="A7" s="1552"/>
      <c r="B7" s="1553"/>
      <c r="C7" s="1554"/>
      <c r="D7" s="1555"/>
      <c r="E7" s="1550" t="s">
        <v>997</v>
      </c>
      <c r="F7" s="1551">
        <f>IF('数据-取费表'!B41="",IF(D1="仅计算典型户型",'数据-取费表'!E5,'数据-取费表'!B5),'数据-取费表'!B41)</f>
        <v>1</v>
      </c>
      <c r="G7" s="1541"/>
      <c r="H7" s="1556"/>
      <c r="I7" s="1553"/>
      <c r="J7" s="1554"/>
      <c r="K7" s="1555"/>
      <c r="L7" s="1550" t="s">
        <v>997</v>
      </c>
      <c r="M7" s="1551">
        <f>IF('数据-取费表'!B41="",IF(D1="仅计算典型户型",'数据-取费表'!E5,'数据-取费表'!B5),'数据-取费表'!B41)</f>
        <v>1</v>
      </c>
    </row>
    <row r="8" spans="1:37" ht="18" customHeight="1">
      <c r="A8" s="1552"/>
      <c r="B8" s="1553"/>
      <c r="C8" s="1554"/>
      <c r="D8" s="1555"/>
      <c r="E8" s="1550" t="s">
        <v>998</v>
      </c>
      <c r="F8" s="1551">
        <f>'数据-取费表'!B42</f>
        <v>12</v>
      </c>
      <c r="G8" s="1541"/>
      <c r="H8" s="1556"/>
      <c r="I8" s="1553"/>
      <c r="J8" s="1554"/>
      <c r="K8" s="1555"/>
      <c r="L8" s="1550" t="s">
        <v>999</v>
      </c>
      <c r="M8" s="1551">
        <f>'数据-取费表'!B42</f>
        <v>12</v>
      </c>
    </row>
    <row r="9" spans="1:37" ht="18" customHeight="1">
      <c r="A9" s="1552"/>
      <c r="B9" s="1553"/>
      <c r="C9" s="1554"/>
      <c r="D9" s="1557"/>
      <c r="E9" s="1550" t="s">
        <v>1000</v>
      </c>
      <c r="F9" s="1558">
        <f>'数据-取费表'!B32</f>
        <v>0.1</v>
      </c>
      <c r="G9" s="1541"/>
      <c r="H9" s="1556"/>
      <c r="I9" s="1553"/>
      <c r="J9" s="1669"/>
      <c r="K9" s="1670"/>
      <c r="L9" s="1562" t="s">
        <v>1000</v>
      </c>
      <c r="M9" s="1558">
        <f>'数据-取费表'!B38</f>
        <v>0</v>
      </c>
    </row>
    <row r="10" spans="1:37" ht="18" customHeight="1">
      <c r="A10" s="1547" t="s">
        <v>925</v>
      </c>
      <c r="B10" s="1559" t="s">
        <v>1001</v>
      </c>
      <c r="C10" s="1560">
        <f ca="1">ROUND(IF(F10="押一",F6*F7*F8/12*F11,IF(F10="押二",F6*F7*F8/12*2*F11,IF(F10="押三",F6*F7*F8/12*3*F11,C11*F11))),0)</f>
        <v>41</v>
      </c>
      <c r="D10" s="1561" t="s">
        <v>1002</v>
      </c>
      <c r="E10" s="1562" t="s">
        <v>1003</v>
      </c>
      <c r="F10" s="1563" t="s">
        <v>1004</v>
      </c>
      <c r="G10" s="1541"/>
      <c r="H10" s="1547" t="s">
        <v>925</v>
      </c>
      <c r="I10" s="1559" t="s">
        <v>1001</v>
      </c>
      <c r="J10" s="1560">
        <f ca="1">ROUND(IF(M10="押一",M6*M8*M7/12*M11,IF(M10="押二",M6*M8*M7/12*2*M11,IF(M10="押三",M6*M8*M7/12*3*M11,J11*M11))),0)</f>
        <v>0</v>
      </c>
      <c r="K10" s="1549" t="s">
        <v>1002</v>
      </c>
      <c r="L10" s="1562" t="s">
        <v>1003</v>
      </c>
      <c r="M10" s="1563"/>
    </row>
    <row r="11" spans="1:37" s="1516" customFormat="1" ht="18" customHeight="1">
      <c r="A11" s="1564"/>
      <c r="B11" s="1565" t="s">
        <v>1005</v>
      </c>
      <c r="C11" s="1566"/>
      <c r="D11" s="1555"/>
      <c r="E11" s="1562" t="s">
        <v>1006</v>
      </c>
      <c r="F11" s="1567">
        <f ca="1">'数据-取费表'!B30</f>
        <v>1.4999999999999999E-2</v>
      </c>
      <c r="G11" s="1568"/>
      <c r="H11" s="1569"/>
      <c r="I11" s="1565" t="s">
        <v>1007</v>
      </c>
      <c r="J11" s="1566"/>
      <c r="K11" s="1555"/>
      <c r="L11" s="1562" t="s">
        <v>1006</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926</v>
      </c>
      <c r="B12" s="1571" t="s">
        <v>1008</v>
      </c>
      <c r="C12" s="1572"/>
      <c r="D12" s="1573"/>
      <c r="E12" s="1574"/>
      <c r="F12" s="1575"/>
      <c r="G12" s="1541"/>
      <c r="H12" s="1570" t="s">
        <v>926</v>
      </c>
      <c r="I12" s="1571" t="s">
        <v>1008</v>
      </c>
      <c r="J12" s="1572"/>
      <c r="K12" s="1652"/>
      <c r="L12" s="1574"/>
      <c r="M12" s="1672"/>
    </row>
    <row r="13" spans="1:37" s="1516" customFormat="1" ht="18" customHeight="1">
      <c r="A13" s="1576">
        <v>2</v>
      </c>
      <c r="B13" s="1577" t="s">
        <v>1009</v>
      </c>
      <c r="C13" s="1578">
        <f ca="1">ROUND(C29*F13,0)</f>
        <v>407808</v>
      </c>
      <c r="D13" s="1579" t="s">
        <v>1010</v>
      </c>
      <c r="E13" s="1579" t="s">
        <v>1011</v>
      </c>
      <c r="F13" s="1580">
        <f>'数据-取费表'!E20</f>
        <v>0.83</v>
      </c>
      <c r="G13" s="1568"/>
      <c r="H13" s="1576">
        <v>2</v>
      </c>
      <c r="I13" s="1577" t="s">
        <v>1009</v>
      </c>
      <c r="J13" s="1669">
        <f ca="1">ROUND(J14*J15,0)</f>
        <v>0</v>
      </c>
      <c r="K13" s="1600" t="s">
        <v>1010</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947</v>
      </c>
      <c r="B14" s="1550" t="s">
        <v>1012</v>
      </c>
      <c r="C14" s="1582">
        <f>IF(D1="仅计算典型户型",'数据-取费表'!F18,'数据-取费表'!E18)</f>
        <v>287850</v>
      </c>
      <c r="D14" s="1583" t="s">
        <v>1013</v>
      </c>
      <c r="E14" s="1584"/>
      <c r="F14" s="1585"/>
      <c r="G14" s="1568"/>
      <c r="H14" s="1581" t="s">
        <v>923</v>
      </c>
      <c r="I14" s="1550" t="s">
        <v>1014</v>
      </c>
      <c r="J14" s="1401">
        <f ca="1">C29</f>
        <v>491335</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949</v>
      </c>
      <c r="B15" s="1550" t="s">
        <v>936</v>
      </c>
      <c r="C15" s="1401">
        <f>ROUND(C14*F15,0)</f>
        <v>14393</v>
      </c>
      <c r="D15" s="1586" t="s">
        <v>1015</v>
      </c>
      <c r="E15" s="1586" t="s">
        <v>1016</v>
      </c>
      <c r="F15" s="1587">
        <f>'数据-取费表'!E21</f>
        <v>0.05</v>
      </c>
      <c r="G15" s="1541"/>
      <c r="H15" s="1588" t="s">
        <v>925</v>
      </c>
      <c r="I15" s="1574" t="s">
        <v>1011</v>
      </c>
      <c r="J15" s="1677">
        <f>'数据-取费表'!B39</f>
        <v>0</v>
      </c>
      <c r="K15" s="1678"/>
      <c r="L15" s="1679"/>
      <c r="M15" s="1680"/>
    </row>
    <row r="16" spans="1:37" s="1516" customFormat="1" ht="18" customHeight="1">
      <c r="A16" s="1581" t="s">
        <v>952</v>
      </c>
      <c r="B16" s="1550" t="s">
        <v>939</v>
      </c>
      <c r="C16" s="1401">
        <f>ROUND(C14*F16,0)</f>
        <v>8636</v>
      </c>
      <c r="D16" s="1550" t="s">
        <v>1015</v>
      </c>
      <c r="E16" s="1550" t="s">
        <v>1016</v>
      </c>
      <c r="F16" s="1589">
        <f>IF('数据-取费表'!B10="住宅",'数据-取费表'!E22,0)</f>
        <v>0.03</v>
      </c>
      <c r="G16" s="1568"/>
      <c r="H16" s="1576" t="s">
        <v>728</v>
      </c>
      <c r="I16" s="1577" t="s">
        <v>1017</v>
      </c>
      <c r="J16" s="1578" t="e">
        <f ca="1">ROUND(J17+J22+J23+J24,0)</f>
        <v>#REF!</v>
      </c>
      <c r="K16" s="1600" t="s">
        <v>1018</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1019</v>
      </c>
      <c r="B17" s="1550" t="s">
        <v>1020</v>
      </c>
      <c r="C17" s="1401">
        <f>ROUND(F17*IF(D1="仅计算典型户型",'数据-取费表'!E5,'数据-取费表'!B5),0)</f>
        <v>19190</v>
      </c>
      <c r="D17" s="1550" t="s">
        <v>1021</v>
      </c>
      <c r="E17" s="1550" t="s">
        <v>1022</v>
      </c>
      <c r="F17" s="1590">
        <f>'数据-取费表'!E23</f>
        <v>200</v>
      </c>
      <c r="G17" s="1568"/>
      <c r="H17" s="1581" t="s">
        <v>923</v>
      </c>
      <c r="I17" s="1550" t="s">
        <v>1023</v>
      </c>
      <c r="J17" s="1401">
        <f ca="1">ROUND(IF(项目基本情况!B7="自然人",J5*M17,J18+J19+J20),0)</f>
        <v>0</v>
      </c>
      <c r="K17" s="1583" t="s">
        <v>1024</v>
      </c>
      <c r="L17" s="1604" t="s">
        <v>1025</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1026</v>
      </c>
      <c r="B18" s="1550" t="s">
        <v>945</v>
      </c>
      <c r="C18" s="1401">
        <f>ROUND(C14*F18,0)</f>
        <v>4318</v>
      </c>
      <c r="D18" s="1550" t="s">
        <v>1015</v>
      </c>
      <c r="E18" s="1550" t="s">
        <v>1016</v>
      </c>
      <c r="F18" s="1589">
        <f>'数据-取费表'!E24</f>
        <v>1.4999999999999999E-2</v>
      </c>
      <c r="G18" s="1541"/>
      <c r="H18" s="1581" t="s">
        <v>947</v>
      </c>
      <c r="I18" s="1550" t="s">
        <v>1027</v>
      </c>
      <c r="J18" s="1401" t="str">
        <f>IF(项目基本情况!B7="自然人","——",ROUND(J5*M18/(1+'数据-取费表'!F30),0))</f>
        <v>——</v>
      </c>
      <c r="K18" s="1604" t="s">
        <v>1028</v>
      </c>
      <c r="L18" s="1550" t="s">
        <v>1016</v>
      </c>
      <c r="M18" s="1589">
        <f>'数据-取费表'!E29</f>
        <v>7.8400000000000011E-2</v>
      </c>
    </row>
    <row r="19" spans="1:37" s="1516" customFormat="1" ht="18" customHeight="1">
      <c r="A19" s="1581" t="s">
        <v>923</v>
      </c>
      <c r="B19" s="1550" t="s">
        <v>1029</v>
      </c>
      <c r="C19" s="1401">
        <f>SUM(C14:C18)</f>
        <v>334387</v>
      </c>
      <c r="D19" s="1591" t="s">
        <v>1030</v>
      </c>
      <c r="E19" s="1403"/>
      <c r="F19" s="1590"/>
      <c r="G19" s="1568"/>
      <c r="H19" s="1581" t="s">
        <v>949</v>
      </c>
      <c r="I19" s="1550" t="s">
        <v>1031</v>
      </c>
      <c r="J19" s="1401" t="str">
        <f>IF(项目基本情况!B7="自然人","——",IF(K19="按租金收入计税",ROUND(J5*M19,1),ROUND(C29*M19*0.7,1)))</f>
        <v>——</v>
      </c>
      <c r="K19" s="1607" t="s">
        <v>1032</v>
      </c>
      <c r="L19" s="1550" t="s">
        <v>1016</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925</v>
      </c>
      <c r="B20" s="1550" t="s">
        <v>1033</v>
      </c>
      <c r="C20" s="1401">
        <f>ROUND(C19*F20,0)</f>
        <v>6688</v>
      </c>
      <c r="D20" s="1592" t="s">
        <v>1034</v>
      </c>
      <c r="E20" s="1550" t="s">
        <v>1016</v>
      </c>
      <c r="F20" s="1589">
        <f>'数据-取费表'!E25</f>
        <v>0.02</v>
      </c>
      <c r="G20" s="1568"/>
      <c r="H20" s="1581" t="s">
        <v>952</v>
      </c>
      <c r="I20" s="1549" t="s">
        <v>1035</v>
      </c>
      <c r="J20" s="1609" t="str">
        <f>IF(项目基本情况!B7="自然人","——",ROUND(M20*M21,0))</f>
        <v>——</v>
      </c>
      <c r="K20" s="1610" t="s">
        <v>1036</v>
      </c>
      <c r="L20" s="1550" t="s">
        <v>1037</v>
      </c>
      <c r="M20" s="1594">
        <f>'数据-取费表'!E40</f>
        <v>0</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926</v>
      </c>
      <c r="B21" s="1550" t="s">
        <v>1038</v>
      </c>
      <c r="C21" s="1470">
        <f>F21</f>
        <v>0.02</v>
      </c>
      <c r="D21" s="1592" t="s">
        <v>1039</v>
      </c>
      <c r="E21" s="1550" t="s">
        <v>1040</v>
      </c>
      <c r="F21" s="1589">
        <f>'数据-取费表'!E26</f>
        <v>0.02</v>
      </c>
      <c r="G21" s="1541"/>
      <c r="H21" s="1564"/>
      <c r="I21" s="1557"/>
      <c r="J21" s="1471"/>
      <c r="K21" s="1612"/>
      <c r="L21" s="1550" t="s">
        <v>1041</v>
      </c>
      <c r="M21" s="1551">
        <f>IF(D1="仅计算典型户型",'数据-取费表'!E6,'数据-取费表'!B6)</f>
        <v>0</v>
      </c>
    </row>
    <row r="22" spans="1:37" ht="18" customHeight="1">
      <c r="A22" s="1581" t="s">
        <v>963</v>
      </c>
      <c r="B22" s="1550" t="s">
        <v>1042</v>
      </c>
      <c r="C22" s="1401"/>
      <c r="D22" s="1591" t="str">
        <f>IF(F23&lt;=1,"单利计息。","复利计息。")&amp;"建造成本、管理费用、销售费用产生的利息。"</f>
        <v>复利计息。建造成本、管理费用、销售费用产生的利息。</v>
      </c>
      <c r="E22" s="1403"/>
      <c r="F22" s="1590"/>
      <c r="G22" s="1541"/>
      <c r="H22" s="1581" t="s">
        <v>925</v>
      </c>
      <c r="I22" s="1550" t="s">
        <v>1043</v>
      </c>
      <c r="J22" s="1401">
        <f ca="1">ROUND(J14*M22,0)</f>
        <v>737</v>
      </c>
      <c r="K22" s="1604" t="s">
        <v>1044</v>
      </c>
      <c r="L22" s="1550" t="s">
        <v>1016</v>
      </c>
      <c r="M22" s="1614">
        <f>'数据-取费表'!B45</f>
        <v>1.5E-3</v>
      </c>
    </row>
    <row r="23" spans="1:37" ht="18" customHeight="1">
      <c r="A23" s="1581" t="s">
        <v>947</v>
      </c>
      <c r="B23" s="1550" t="s">
        <v>1045</v>
      </c>
      <c r="C23" s="1401">
        <f ca="1">IF('数据-取费表'!B23&lt;=1,ROUND(C19*F24*F23/2,0)+ROUND(C20*F24*F23/2,0),ROUND(C19*(POWER((1+F24),F23/2)-1),0)+ROUND(C20*(POWER((1+F24),F23/2)-1),0))</f>
        <v>16201</v>
      </c>
      <c r="D23" s="1593" t="str">
        <f>IF(F23&lt;=1,"(建造成本+管理费用)×利率×(建设周期÷2)","(建造成本+管理费用)×((1+利率)^(建设周期÷2)-1)")</f>
        <v>(建造成本+管理费用)×((1+利率)^(建设周期÷2)-1)</v>
      </c>
      <c r="E23" s="1550" t="s">
        <v>1046</v>
      </c>
      <c r="F23" s="1594">
        <f>'数据-取费表'!B21</f>
        <v>2</v>
      </c>
      <c r="G23" s="1541"/>
      <c r="H23" s="1581" t="s">
        <v>926</v>
      </c>
      <c r="I23" s="1550" t="s">
        <v>1047</v>
      </c>
      <c r="J23" s="1401">
        <f ca="1">ROUND(J13*M23,0)</f>
        <v>0</v>
      </c>
      <c r="K23" s="1604" t="s">
        <v>1048</v>
      </c>
      <c r="L23" s="1550" t="s">
        <v>1016</v>
      </c>
      <c r="M23" s="1615">
        <f>'数据-取费表'!B46</f>
        <v>1.4999999999999999E-2</v>
      </c>
    </row>
    <row r="24" spans="1:37" s="1516" customFormat="1" ht="18" customHeight="1">
      <c r="A24" s="1581" t="s">
        <v>949</v>
      </c>
      <c r="B24" s="1550" t="s">
        <v>1049</v>
      </c>
      <c r="C24" s="1401">
        <f ca="1">ROUND(IF('数据-取费表'!B23&lt;=1,F21*F24*F23/2,F21*(POWER((1+F24),F23/2)-1)),4)</f>
        <v>1E-3</v>
      </c>
      <c r="D24" s="1593" t="str">
        <f>IF(F23&lt;=1,"销售费用×利率×(建设周期÷2)","销售费用×((1+利率)^(建设周期÷2)-1)")</f>
        <v>销售费用×((1+利率)^(建设周期÷2)-1)</v>
      </c>
      <c r="E24" s="1550" t="s">
        <v>1050</v>
      </c>
      <c r="F24" s="1595">
        <f ca="1">'数据-取费表'!E27</f>
        <v>4.7500000000000001E-2</v>
      </c>
      <c r="G24" s="1568"/>
      <c r="H24" s="1588" t="s">
        <v>963</v>
      </c>
      <c r="I24" s="1574" t="s">
        <v>1033</v>
      </c>
      <c r="J24" s="1596" t="e">
        <f ca="1">ROUND(J5*M24,0)</f>
        <v>#REF!</v>
      </c>
      <c r="K24" s="1597" t="s">
        <v>1051</v>
      </c>
      <c r="L24" s="1574" t="s">
        <v>1016</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967</v>
      </c>
      <c r="B25" s="1550" t="s">
        <v>1052</v>
      </c>
      <c r="C25" s="1401"/>
      <c r="D25" s="1591" t="s">
        <v>1053</v>
      </c>
      <c r="E25" s="1403"/>
      <c r="F25" s="1590"/>
      <c r="G25" s="1568"/>
      <c r="H25" s="1576" t="s">
        <v>731</v>
      </c>
      <c r="I25" s="1616" t="s">
        <v>1054</v>
      </c>
      <c r="J25" s="1578" t="e">
        <f ca="1">J5-J16</f>
        <v>#REF!</v>
      </c>
      <c r="K25" s="1617" t="s">
        <v>1055</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947</v>
      </c>
      <c r="B26" s="1550" t="s">
        <v>1056</v>
      </c>
      <c r="C26" s="1401">
        <f>ROUND((C19+C20)*F26,0)</f>
        <v>85269</v>
      </c>
      <c r="D26" s="1592" t="s">
        <v>1057</v>
      </c>
      <c r="E26" s="1562" t="s">
        <v>1058</v>
      </c>
      <c r="F26" s="1558">
        <f>'数据-取费表'!E28</f>
        <v>0.25</v>
      </c>
      <c r="G26" s="1517"/>
      <c r="H26" s="1542" t="s">
        <v>758</v>
      </c>
      <c r="I26" s="1543" t="s">
        <v>1059</v>
      </c>
      <c r="J26" s="1544">
        <f ca="1">IF(J5&lt;&gt;0,ROUND(J25*(1-((1+M28)/(1+M26))^M27)/(M26-M28),0),0)</f>
        <v>0</v>
      </c>
      <c r="K26" s="1610" t="s">
        <v>1060</v>
      </c>
      <c r="L26" s="1550" t="s">
        <v>1061</v>
      </c>
      <c r="M26" s="1558">
        <f>'数据-取费表'!B16</f>
        <v>0.06</v>
      </c>
    </row>
    <row r="27" spans="1:37" ht="18" customHeight="1">
      <c r="A27" s="1581" t="s">
        <v>949</v>
      </c>
      <c r="B27" s="1550" t="s">
        <v>1062</v>
      </c>
      <c r="C27" s="1401">
        <f>ROUND(F21*F26,4)</f>
        <v>5.0000000000000001E-3</v>
      </c>
      <c r="D27" s="1592" t="s">
        <v>1063</v>
      </c>
      <c r="E27" s="1586"/>
      <c r="F27" s="1587"/>
      <c r="G27" s="1517"/>
      <c r="H27" s="1556"/>
      <c r="I27" s="1553"/>
      <c r="J27" s="1554"/>
      <c r="K27" s="1621" t="s">
        <v>1064</v>
      </c>
      <c r="L27" s="1550" t="s">
        <v>1065</v>
      </c>
      <c r="M27" s="1622" t="str">
        <f>'数据-取费表'!B40</f>
        <v>——</v>
      </c>
    </row>
    <row r="28" spans="1:37" ht="18" customHeight="1">
      <c r="A28" s="1581" t="s">
        <v>973</v>
      </c>
      <c r="B28" s="1550" t="s">
        <v>1066</v>
      </c>
      <c r="C28" s="1401">
        <f>ROUND(F28/(1+'数据-取费表'!F30),4)</f>
        <v>7.3300000000000004E-2</v>
      </c>
      <c r="D28" s="1592" t="s">
        <v>1067</v>
      </c>
      <c r="E28" s="1550" t="s">
        <v>1016</v>
      </c>
      <c r="F28" s="1589">
        <f>'数据-取费表'!E29</f>
        <v>7.8400000000000011E-2</v>
      </c>
      <c r="G28" s="1517"/>
      <c r="H28" s="1569"/>
      <c r="I28" s="1624"/>
      <c r="J28" s="1578"/>
      <c r="K28" s="1612"/>
      <c r="L28" s="1550" t="s">
        <v>1068</v>
      </c>
      <c r="M28" s="1558">
        <f>'数据-取费表'!B37</f>
        <v>0</v>
      </c>
    </row>
    <row r="29" spans="1:37" ht="18" customHeight="1">
      <c r="A29" s="1588" t="s">
        <v>978</v>
      </c>
      <c r="B29" s="1574" t="s">
        <v>1069</v>
      </c>
      <c r="C29" s="1596">
        <f ca="1">ROUND((C19+C20+C23+C26)/(1-F21-C24-C27-C28),0)</f>
        <v>491335</v>
      </c>
      <c r="D29" s="1597"/>
      <c r="E29" s="1574"/>
      <c r="F29" s="1598"/>
      <c r="G29" s="1517"/>
      <c r="H29" s="1599" t="s">
        <v>1070</v>
      </c>
      <c r="I29" s="1625" t="s">
        <v>1071</v>
      </c>
      <c r="J29" s="1626">
        <f ca="1">ROUND(J26/(1+F40)^F41,0)</f>
        <v>0</v>
      </c>
      <c r="K29" s="1627" t="s">
        <v>1072</v>
      </c>
      <c r="L29" s="1628"/>
      <c r="M29" s="1629">
        <f>IF(D1="仅计算典型户型",'数据-取费表'!E5,'数据-取费表'!B5)</f>
        <v>95.95</v>
      </c>
    </row>
    <row r="30" spans="1:37" ht="18" customHeight="1">
      <c r="A30" s="1576" t="s">
        <v>728</v>
      </c>
      <c r="B30" s="1577" t="s">
        <v>1017</v>
      </c>
      <c r="C30" s="1578">
        <f ca="1">ROUND(C31+C36+C37+C38,0)</f>
        <v>8787</v>
      </c>
      <c r="D30" s="1600" t="s">
        <v>1018</v>
      </c>
      <c r="E30" s="1601"/>
      <c r="F30" s="1602"/>
      <c r="G30" s="1517"/>
      <c r="H30" s="1603"/>
      <c r="I30" s="1681"/>
      <c r="J30" s="1682"/>
      <c r="K30" s="1683"/>
      <c r="L30" s="1684"/>
      <c r="M30" s="1685"/>
    </row>
    <row r="31" spans="1:37" ht="18" customHeight="1">
      <c r="A31" s="1581" t="s">
        <v>923</v>
      </c>
      <c r="B31" s="1550" t="s">
        <v>1023</v>
      </c>
      <c r="C31" s="1401">
        <f ca="1">ROUND(IF(项目基本情况!B7="自然人",C5*F31,C32+C33+C34),1)</f>
        <v>1487.1</v>
      </c>
      <c r="D31" s="1583" t="s">
        <v>1024</v>
      </c>
      <c r="E31" s="1604" t="s">
        <v>1025</v>
      </c>
      <c r="F31" s="1605">
        <f>IF(项目基本情况!B7="企业","",IF('数据-取费表'!B10="住宅",5%,IF(F6*F7*F8/12/(1+'数据-取费表'!F30)&gt;20000,12%,7%)))</f>
        <v>0.05</v>
      </c>
      <c r="G31" s="1517"/>
      <c r="H31" s="1603"/>
      <c r="I31" s="1681"/>
      <c r="J31" s="1682"/>
      <c r="K31" s="1683"/>
      <c r="L31" s="1684"/>
      <c r="M31" s="1685"/>
    </row>
    <row r="32" spans="1:37" ht="18" customHeight="1">
      <c r="A32" s="1581" t="s">
        <v>947</v>
      </c>
      <c r="B32" s="1550" t="s">
        <v>1027</v>
      </c>
      <c r="C32" s="1401" t="str">
        <f>IF(项目基本情况!B7="自然人","——",ROUND(C5*F32/(1+'数据-取费表'!F30),0))</f>
        <v>——</v>
      </c>
      <c r="D32" s="1604" t="s">
        <v>1028</v>
      </c>
      <c r="E32" s="1550" t="s">
        <v>1016</v>
      </c>
      <c r="F32" s="1595">
        <f>'数据-取费表'!E29</f>
        <v>7.8400000000000011E-2</v>
      </c>
      <c r="G32" s="1517"/>
      <c r="H32" s="1606"/>
      <c r="I32" s="1686"/>
      <c r="J32" s="1687"/>
      <c r="K32" s="1688"/>
      <c r="L32" s="1689"/>
      <c r="M32" s="1690"/>
    </row>
    <row r="33" spans="1:18" ht="18" customHeight="1">
      <c r="A33" s="1581" t="s">
        <v>949</v>
      </c>
      <c r="B33" s="1550" t="s">
        <v>1031</v>
      </c>
      <c r="C33" s="1401" t="str">
        <f>IF(项目基本情况!B7="自然人","——",IF(D33="按租金收入计税",ROUND(C5*F33,1),IF(D33="按房产原值计税",ROUND(C29*F33*0.7,1),'数据-取费表'!B44)))</f>
        <v>——</v>
      </c>
      <c r="D33" s="1607" t="s">
        <v>1032</v>
      </c>
      <c r="E33" s="1550" t="s">
        <v>1016</v>
      </c>
      <c r="F33" s="1589">
        <f>IF(D33="按票据","——",IF(D33="按租金收入计税",'数据-取费表'!E39,'数据-取费表'!E38))</f>
        <v>1.2E-2</v>
      </c>
      <c r="G33" s="1517"/>
      <c r="H33" s="1608"/>
      <c r="I33" s="1691" t="s">
        <v>1073</v>
      </c>
      <c r="J33" s="1692"/>
      <c r="K33" s="1693"/>
      <c r="L33" s="1608"/>
      <c r="M33" s="1608"/>
    </row>
    <row r="34" spans="1:18" ht="18" customHeight="1">
      <c r="A34" s="1547" t="s">
        <v>952</v>
      </c>
      <c r="B34" s="1549" t="s">
        <v>1035</v>
      </c>
      <c r="C34" s="1609" t="str">
        <f>IF(项目基本情况!B7="自然人","——",ROUND(F34*F35,0))</f>
        <v>——</v>
      </c>
      <c r="D34" s="1610" t="s">
        <v>1036</v>
      </c>
      <c r="E34" s="1550" t="s">
        <v>1037</v>
      </c>
      <c r="F34" s="1594">
        <f>'数据-取费表'!E40</f>
        <v>0</v>
      </c>
      <c r="G34" s="1517"/>
      <c r="H34" s="1603"/>
      <c r="I34" s="1694" t="s">
        <v>1074</v>
      </c>
      <c r="J34" s="1695">
        <f ca="1">ROUND(C13*J35,0)</f>
        <v>32625</v>
      </c>
      <c r="K34" s="1696"/>
      <c r="L34" s="1697"/>
      <c r="M34" s="1697"/>
    </row>
    <row r="35" spans="1:18" ht="24.6" customHeight="1">
      <c r="A35" s="1611"/>
      <c r="B35" s="1557"/>
      <c r="C35" s="1471"/>
      <c r="D35" s="1612"/>
      <c r="E35" s="1550" t="s">
        <v>1041</v>
      </c>
      <c r="F35" s="1551">
        <f>IF(D1="仅计算典型户型",'数据-取费表'!E6,'数据-取费表'!B6)</f>
        <v>0</v>
      </c>
      <c r="G35" s="1517"/>
      <c r="H35" s="1603"/>
      <c r="I35" s="528" t="s">
        <v>1075</v>
      </c>
      <c r="J35" s="1698">
        <f>'数据-取费表'!B17</f>
        <v>0.08</v>
      </c>
      <c r="K35" s="1693"/>
      <c r="L35" s="1608"/>
      <c r="M35" s="1608"/>
    </row>
    <row r="36" spans="1:18" ht="18" customHeight="1">
      <c r="A36" s="1613" t="s">
        <v>925</v>
      </c>
      <c r="B36" s="1550" t="s">
        <v>1043</v>
      </c>
      <c r="C36" s="1401">
        <f ca="1">ROUND(C29*F36,0)</f>
        <v>737</v>
      </c>
      <c r="D36" s="1604" t="s">
        <v>1076</v>
      </c>
      <c r="E36" s="1550" t="s">
        <v>1016</v>
      </c>
      <c r="F36" s="1614">
        <f>'数据-取费表'!B45</f>
        <v>1.5E-3</v>
      </c>
      <c r="G36" s="1517"/>
      <c r="H36" s="1608"/>
      <c r="I36" s="1699" t="s">
        <v>1077</v>
      </c>
      <c r="J36" s="1700"/>
      <c r="K36" s="1701"/>
      <c r="L36" s="1608"/>
      <c r="M36" s="1608"/>
    </row>
    <row r="37" spans="1:18" ht="18" customHeight="1">
      <c r="A37" s="1581" t="s">
        <v>926</v>
      </c>
      <c r="B37" s="1550" t="s">
        <v>1047</v>
      </c>
      <c r="C37" s="1401">
        <f ca="1">ROUND(C13*F37,0)</f>
        <v>6117</v>
      </c>
      <c r="D37" s="1604" t="s">
        <v>1048</v>
      </c>
      <c r="E37" s="1550" t="s">
        <v>1016</v>
      </c>
      <c r="F37" s="1615">
        <f>'数据-取费表'!B46</f>
        <v>1.4999999999999999E-2</v>
      </c>
      <c r="G37" s="1517"/>
      <c r="H37" s="1608"/>
      <c r="I37" s="1702" t="s">
        <v>1078</v>
      </c>
      <c r="J37" s="1703"/>
      <c r="K37" s="1701"/>
      <c r="L37" s="1608"/>
      <c r="M37" s="1608"/>
    </row>
    <row r="38" spans="1:18" ht="18" customHeight="1">
      <c r="A38" s="1588" t="s">
        <v>963</v>
      </c>
      <c r="B38" s="1574" t="s">
        <v>1033</v>
      </c>
      <c r="C38" s="1596">
        <f ca="1">ROUND(C5*F38,0)</f>
        <v>446</v>
      </c>
      <c r="D38" s="1597" t="s">
        <v>1051</v>
      </c>
      <c r="E38" s="1574" t="s">
        <v>1016</v>
      </c>
      <c r="F38" s="1575">
        <f>'数据-取费表'!B46</f>
        <v>1.4999999999999999E-2</v>
      </c>
      <c r="G38" s="1517"/>
      <c r="H38" s="1608"/>
      <c r="I38" s="1694" t="s">
        <v>1079</v>
      </c>
      <c r="J38" s="1704">
        <f ca="1">ROUND(J34/C39,3)</f>
        <v>1.5569999999999999</v>
      </c>
      <c r="K38" s="1705"/>
      <c r="L38" s="1608"/>
      <c r="M38" s="1608"/>
    </row>
    <row r="39" spans="1:18" ht="18" customHeight="1">
      <c r="A39" s="1576" t="s">
        <v>731</v>
      </c>
      <c r="B39" s="1616" t="s">
        <v>1054</v>
      </c>
      <c r="C39" s="1578">
        <f ca="1">C5-C30</f>
        <v>20954</v>
      </c>
      <c r="D39" s="1617" t="s">
        <v>1055</v>
      </c>
      <c r="E39" s="1618"/>
      <c r="F39" s="1619"/>
      <c r="G39" s="1517"/>
      <c r="H39" s="1608"/>
      <c r="I39" s="1694" t="s">
        <v>1080</v>
      </c>
      <c r="J39" s="1704">
        <f ca="1">1-J38</f>
        <v>-0.55699999999999994</v>
      </c>
      <c r="K39" s="1705"/>
      <c r="L39" s="1608"/>
      <c r="M39" s="1608"/>
    </row>
    <row r="40" spans="1:18" s="1517" customFormat="1" ht="18" customHeight="1">
      <c r="A40" s="1542" t="s">
        <v>758</v>
      </c>
      <c r="B40" s="1543" t="s">
        <v>1081</v>
      </c>
      <c r="C40" s="1544">
        <f ca="1">ROUND(C39*(1-((1+F42)/(1+F40))^F41)/(F40-F42),0)</f>
        <v>566348</v>
      </c>
      <c r="D40" s="1610" t="s">
        <v>1060</v>
      </c>
      <c r="E40" s="1550" t="s">
        <v>1061</v>
      </c>
      <c r="F40" s="1558">
        <f>'数据-取费表'!B16</f>
        <v>0.06</v>
      </c>
      <c r="H40" s="1620"/>
      <c r="I40" s="1702" t="s">
        <v>1082</v>
      </c>
      <c r="J40" s="1337"/>
      <c r="K40" s="1705"/>
      <c r="L40" s="1620"/>
      <c r="M40" s="1620"/>
      <c r="Q40" s="1520"/>
    </row>
    <row r="41" spans="1:18" s="1517" customFormat="1" ht="18" customHeight="1">
      <c r="A41" s="1556"/>
      <c r="B41" s="1553"/>
      <c r="C41" s="1554"/>
      <c r="D41" s="1621" t="s">
        <v>1064</v>
      </c>
      <c r="E41" s="2752" t="s">
        <v>2344</v>
      </c>
      <c r="F41" s="1622">
        <f>IF('数据-取费表'!B28="租赁期内按合同租金",'数据-取费表'!B34,IF(E41="收益年期(n)",'数据-取费表'!B33,'数据-取费表'!B13))</f>
        <v>58</v>
      </c>
      <c r="H41" s="1623"/>
      <c r="I41" s="1706" t="s">
        <v>915</v>
      </c>
      <c r="J41" s="1704">
        <f ca="1">ROUND(C13/C40,3)</f>
        <v>0.72</v>
      </c>
      <c r="K41" s="1701"/>
      <c r="L41" s="1623"/>
      <c r="M41" s="1623"/>
      <c r="Q41" s="1520"/>
    </row>
    <row r="42" spans="1:18" s="1517" customFormat="1" ht="18" customHeight="1">
      <c r="A42" s="1569"/>
      <c r="B42" s="1624"/>
      <c r="C42" s="1578"/>
      <c r="D42" s="1612"/>
      <c r="E42" s="1550" t="s">
        <v>1068</v>
      </c>
      <c r="F42" s="1558">
        <f>'数据-取费表'!B31</f>
        <v>0.03</v>
      </c>
      <c r="H42" s="1623"/>
      <c r="I42" s="1706" t="s">
        <v>916</v>
      </c>
      <c r="J42" s="1707">
        <f ca="1">1-J41</f>
        <v>0.28000000000000003</v>
      </c>
      <c r="K42" s="1701"/>
      <c r="L42" s="1623"/>
      <c r="M42" s="1623"/>
      <c r="Q42" s="1520"/>
    </row>
    <row r="43" spans="1:18" s="1517" customFormat="1" ht="18" customHeight="1">
      <c r="A43" s="1599" t="s">
        <v>1070</v>
      </c>
      <c r="B43" s="1625" t="s">
        <v>1083</v>
      </c>
      <c r="C43" s="1626">
        <f ca="1">ROUND(C40/F43,0)</f>
        <v>5903</v>
      </c>
      <c r="D43" s="1627" t="s">
        <v>1084</v>
      </c>
      <c r="E43" s="1628" t="s">
        <v>1085</v>
      </c>
      <c r="F43" s="1629">
        <f>IF(D1="仅计算典型户型",'数据-取费表'!E5,'数据-取费表'!B5)</f>
        <v>95.95</v>
      </c>
      <c r="G43" s="1630"/>
      <c r="H43" s="1623"/>
      <c r="I43" s="1623"/>
      <c r="J43" s="1623"/>
      <c r="K43" s="1701"/>
      <c r="L43" s="1623"/>
      <c r="M43" s="1623"/>
      <c r="O43" s="1708" t="s">
        <v>1086</v>
      </c>
      <c r="P43" s="1709"/>
      <c r="Q43" s="1299"/>
      <c r="R43" s="1709"/>
    </row>
    <row r="44" spans="1:18" s="1517" customFormat="1" ht="18" customHeight="1">
      <c r="A44" s="1631"/>
      <c r="B44" s="1631"/>
      <c r="C44" s="1632"/>
      <c r="D44" s="1631"/>
      <c r="E44" s="1631"/>
      <c r="F44" s="1631"/>
      <c r="G44" s="1630"/>
      <c r="K44" s="1710"/>
      <c r="O44" s="1711" t="s">
        <v>1087</v>
      </c>
      <c r="P44" s="1712" t="s">
        <v>1088</v>
      </c>
      <c r="Q44" s="1757" t="s">
        <v>1089</v>
      </c>
      <c r="R44" s="1758" t="s">
        <v>1090</v>
      </c>
    </row>
    <row r="45" spans="1:18" s="1517" customFormat="1" ht="18" customHeight="1">
      <c r="A45" s="1631"/>
      <c r="B45" s="1631"/>
      <c r="C45" s="1632"/>
      <c r="D45" s="1631"/>
      <c r="E45" s="1631"/>
      <c r="F45" s="1631"/>
      <c r="G45" s="1633"/>
      <c r="K45" s="1710"/>
      <c r="O45" s="1713" t="s">
        <v>933</v>
      </c>
      <c r="P45" s="1714" t="s">
        <v>1091</v>
      </c>
      <c r="Q45" s="1759">
        <f ca="1">C40+J29</f>
        <v>566348</v>
      </c>
      <c r="R45" s="1760" t="s">
        <v>1092</v>
      </c>
    </row>
    <row r="46" spans="1:18" s="1517" customFormat="1" ht="18" customHeight="1">
      <c r="A46" s="1631"/>
      <c r="D46" s="1631"/>
      <c r="E46" s="1631"/>
      <c r="F46" s="1631"/>
      <c r="K46" s="1710"/>
      <c r="O46" s="1713" t="s">
        <v>935</v>
      </c>
      <c r="P46" s="1714" t="s">
        <v>1093</v>
      </c>
      <c r="Q46" s="1759" t="str">
        <f>J61</f>
        <v>0</v>
      </c>
      <c r="R46" s="1760" t="s">
        <v>1094</v>
      </c>
    </row>
    <row r="47" spans="1:18" s="1517" customFormat="1" ht="21">
      <c r="A47" s="1634" t="s">
        <v>1095</v>
      </c>
      <c r="C47" s="1635">
        <f ca="1">IF(C2="元",C69-C40,ROUND((C69-C40)/10000,0))</f>
        <v>-68</v>
      </c>
      <c r="D47" s="1636" t="str">
        <f>C2</f>
        <v>万元</v>
      </c>
      <c r="E47" s="1631"/>
      <c r="F47" s="1631"/>
      <c r="I47" s="1715" t="s">
        <v>1096</v>
      </c>
      <c r="J47" s="1716"/>
      <c r="K47" s="1717"/>
      <c r="L47" s="1718">
        <f>IF(M48="住宅",0,IF(L49&gt;J52,L61,J61))</f>
        <v>0</v>
      </c>
      <c r="O47" s="1719" t="s">
        <v>1097</v>
      </c>
      <c r="P47" s="1714" t="s">
        <v>1098</v>
      </c>
      <c r="Q47" s="1759">
        <f ca="1">C29</f>
        <v>491335</v>
      </c>
      <c r="R47" s="1760" t="s">
        <v>1092</v>
      </c>
    </row>
    <row r="48" spans="1:18" s="1517" customFormat="1">
      <c r="A48" s="1537" t="s">
        <v>987</v>
      </c>
      <c r="B48" s="1538" t="s">
        <v>988</v>
      </c>
      <c r="C48" s="1538" t="s">
        <v>989</v>
      </c>
      <c r="D48" s="1538" t="s">
        <v>990</v>
      </c>
      <c r="E48" s="1637" t="s">
        <v>991</v>
      </c>
      <c r="F48" s="1638"/>
      <c r="I48" s="1720" t="s">
        <v>1099</v>
      </c>
      <c r="J48" s="1721" t="s">
        <v>1100</v>
      </c>
      <c r="K48" s="1722" t="s">
        <v>1101</v>
      </c>
      <c r="L48" s="1723">
        <f>'数据-取费表'!B11</f>
        <v>70</v>
      </c>
      <c r="M48" s="1299" t="str">
        <f>IF('数据-取费表'!B10="住宅","住宅","非住宅")</f>
        <v>住宅</v>
      </c>
      <c r="O48" s="1719" t="s">
        <v>1102</v>
      </c>
      <c r="P48" s="1714" t="s">
        <v>1103</v>
      </c>
      <c r="Q48" s="1761" t="e">
        <f>J59</f>
        <v>#VALUE!</v>
      </c>
      <c r="R48" s="1760"/>
    </row>
    <row r="49" spans="1:18" s="1517" customFormat="1">
      <c r="A49" s="1639" t="s">
        <v>1104</v>
      </c>
      <c r="B49" s="1543" t="s">
        <v>992</v>
      </c>
      <c r="C49" s="1640">
        <f ca="1">C50+C54+C56</f>
        <v>0</v>
      </c>
      <c r="D49" s="1641"/>
      <c r="E49" s="1642"/>
      <c r="F49" s="1590"/>
      <c r="I49" s="1724" t="s">
        <v>1105</v>
      </c>
      <c r="J49" s="1725" t="s">
        <v>1106</v>
      </c>
      <c r="K49" s="1726" t="s">
        <v>1107</v>
      </c>
      <c r="L49" s="1338">
        <f>'数据-取费表'!B13</f>
        <v>58</v>
      </c>
      <c r="O49" s="1719" t="s">
        <v>1108</v>
      </c>
      <c r="P49" s="1714" t="s">
        <v>1109</v>
      </c>
      <c r="Q49" s="1761">
        <f>J53</f>
        <v>8.5000000000000006E-2</v>
      </c>
      <c r="R49" s="1760"/>
    </row>
    <row r="50" spans="1:18" s="1517" customFormat="1">
      <c r="A50" s="1643" t="s">
        <v>923</v>
      </c>
      <c r="B50" s="1548" t="s">
        <v>1110</v>
      </c>
      <c r="C50" s="1544">
        <f>ROUND(F50*F52*F51*(1-F53),0)</f>
        <v>0</v>
      </c>
      <c r="D50" s="1644" t="s">
        <v>1111</v>
      </c>
      <c r="E50" s="1645" t="s">
        <v>1112</v>
      </c>
      <c r="F50" s="1646"/>
      <c r="I50" s="1724" t="s">
        <v>1113</v>
      </c>
      <c r="J50" s="1338">
        <f>'数据-取费表'!B26</f>
        <v>2008</v>
      </c>
      <c r="K50" s="1727" t="s">
        <v>1114</v>
      </c>
      <c r="L50" s="1728"/>
      <c r="O50" s="1719" t="s">
        <v>1115</v>
      </c>
      <c r="P50" s="1714" t="s">
        <v>1116</v>
      </c>
      <c r="Q50" s="1759">
        <f>J54</f>
        <v>50</v>
      </c>
      <c r="R50" s="1760" t="s">
        <v>1117</v>
      </c>
    </row>
    <row r="51" spans="1:18" s="1517" customFormat="1">
      <c r="A51" s="1556"/>
      <c r="B51" s="1553"/>
      <c r="C51" s="1554"/>
      <c r="D51" s="1555"/>
      <c r="E51" s="1586" t="s">
        <v>997</v>
      </c>
      <c r="F51" s="1647">
        <f>F7</f>
        <v>1</v>
      </c>
      <c r="I51" s="1724" t="s">
        <v>1118</v>
      </c>
      <c r="J51" s="1729">
        <f>SUMPRODUCT((I64:I66=J48)*(J63:L63=J49)*(J64:L66))</f>
        <v>60</v>
      </c>
      <c r="K51" s="1727" t="s">
        <v>1119</v>
      </c>
      <c r="L51" s="1728"/>
      <c r="O51" s="1713" t="s">
        <v>938</v>
      </c>
      <c r="P51" s="1714" t="str">
        <f>IF(C2="元","收益价值(元)","收益价值(万元)")</f>
        <v>收益价值(万元)</v>
      </c>
      <c r="Q51" s="1759">
        <f ca="1">ROUND(IF(C2="元",Q45+Q46,(Q45+Q46)/10000),0)</f>
        <v>57</v>
      </c>
      <c r="R51" s="1760" t="s">
        <v>1120</v>
      </c>
    </row>
    <row r="52" spans="1:18" s="1517" customFormat="1" ht="15.75">
      <c r="A52" s="1556"/>
      <c r="B52" s="1553"/>
      <c r="C52" s="1554"/>
      <c r="D52" s="1555"/>
      <c r="E52" s="1550" t="s">
        <v>999</v>
      </c>
      <c r="F52" s="1551">
        <f>F8</f>
        <v>12</v>
      </c>
      <c r="I52" s="1730" t="s">
        <v>1121</v>
      </c>
      <c r="J52" s="1731">
        <f>IF(J50="",J51,J50+J51-YEAR('数据-取费表'!B2))</f>
        <v>50</v>
      </c>
      <c r="K52" s="1732" t="s">
        <v>1122</v>
      </c>
      <c r="L52" s="1733">
        <f ca="1">ROUND(-PV('数据-取费表'!B15,L49,(C40-C13*J35)),0)</f>
        <v>10044429</v>
      </c>
      <c r="O52" s="1708" t="s">
        <v>1123</v>
      </c>
      <c r="P52" s="1709"/>
      <c r="Q52" s="1299"/>
      <c r="R52" s="1709"/>
    </row>
    <row r="53" spans="1:18" s="1517" customFormat="1">
      <c r="A53" s="1569"/>
      <c r="B53" s="1624"/>
      <c r="C53" s="1578"/>
      <c r="D53" s="1557"/>
      <c r="E53" s="1550" t="s">
        <v>1000</v>
      </c>
      <c r="F53" s="1648"/>
      <c r="I53" s="1734" t="s">
        <v>1124</v>
      </c>
      <c r="J53" s="1735">
        <v>8.5000000000000006E-2</v>
      </c>
      <c r="K53" s="1734" t="s">
        <v>1125</v>
      </c>
      <c r="L53" s="1735"/>
      <c r="O53" s="1711" t="s">
        <v>1087</v>
      </c>
      <c r="P53" s="1712" t="s">
        <v>1088</v>
      </c>
      <c r="Q53" s="1757" t="s">
        <v>1089</v>
      </c>
      <c r="R53" s="1758" t="s">
        <v>1090</v>
      </c>
    </row>
    <row r="54" spans="1:18" s="1517" customFormat="1" ht="29.25" customHeight="1">
      <c r="A54" s="1547" t="s">
        <v>925</v>
      </c>
      <c r="B54" s="1559" t="s">
        <v>1001</v>
      </c>
      <c r="C54" s="1560">
        <f ca="1">ROUND(IF(F54="押一",F50*F51*F52/12*F11,IF(F54="押二",F50*F51*F52/12*2*F11,IF(F54="押三",F50*F51*F52/12*3*F11,C55*F11))),0)</f>
        <v>0</v>
      </c>
      <c r="D54" s="1561" t="s">
        <v>1002</v>
      </c>
      <c r="E54" s="1562" t="s">
        <v>1003</v>
      </c>
      <c r="F54" s="1563"/>
      <c r="I54" s="1736" t="s">
        <v>1126</v>
      </c>
      <c r="J54" s="1737">
        <f>IF(M48="住宅",J52,IF(E1="——",MIN(J52,L49),IF(E1="在建（套用方法）",MIN(J52,L49-'数据-取费表'!B25),IF(E1="土地（套用方法）",MIN(J52,L49-'数据-取费表'!B21)))))</f>
        <v>50</v>
      </c>
      <c r="K54" s="3027" t="s">
        <v>1127</v>
      </c>
      <c r="L54" s="3028"/>
      <c r="O54" s="1713" t="s">
        <v>933</v>
      </c>
      <c r="P54" s="1714" t="s">
        <v>1091</v>
      </c>
      <c r="Q54" s="1759">
        <f ca="1">C40+J29</f>
        <v>566348</v>
      </c>
      <c r="R54" s="1760" t="s">
        <v>1092</v>
      </c>
    </row>
    <row r="55" spans="1:18" s="1517" customFormat="1" ht="19.5">
      <c r="A55" s="1547"/>
      <c r="B55" s="1649" t="s">
        <v>1007</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935</v>
      </c>
      <c r="P55" s="1714" t="s">
        <v>1128</v>
      </c>
      <c r="Q55" s="1759">
        <f>L61</f>
        <v>0</v>
      </c>
      <c r="R55" s="1760" t="s">
        <v>1129</v>
      </c>
    </row>
    <row r="56" spans="1:18" s="1517" customFormat="1" ht="19.5">
      <c r="A56" s="1570" t="s">
        <v>926</v>
      </c>
      <c r="B56" s="1571" t="s">
        <v>1008</v>
      </c>
      <c r="C56" s="1572"/>
      <c r="D56" s="1652"/>
      <c r="E56" s="1653"/>
      <c r="F56" s="1654"/>
      <c r="I56" s="1739" t="s">
        <v>1130</v>
      </c>
      <c r="J56" s="1740" t="e">
        <f>ROUND(IF(J48="钢混",J58/J51,1-(1-2%)*(J51-J58)/J51),3)</f>
        <v>#VALUE!</v>
      </c>
      <c r="K56" s="1741" t="s">
        <v>1131</v>
      </c>
      <c r="L56" s="1742" t="s">
        <v>1132</v>
      </c>
      <c r="O56" s="1719" t="s">
        <v>1097</v>
      </c>
      <c r="P56" s="1714" t="s">
        <v>1133</v>
      </c>
      <c r="Q56" s="1759">
        <f>IF(L56="比较法",L50,IF(L56="基准地价",L51,0))</f>
        <v>0</v>
      </c>
      <c r="R56" s="1760" t="s">
        <v>1092</v>
      </c>
    </row>
    <row r="57" spans="1:18" s="1517" customFormat="1" ht="42.75">
      <c r="A57" s="1576">
        <v>2</v>
      </c>
      <c r="B57" s="1577" t="s">
        <v>1009</v>
      </c>
      <c r="C57" s="1655">
        <f ca="1">C13</f>
        <v>407808</v>
      </c>
      <c r="D57" s="1656"/>
      <c r="E57" s="1657"/>
      <c r="F57" s="1658"/>
      <c r="I57" s="1743" t="s">
        <v>1134</v>
      </c>
      <c r="J57" s="1744" t="s">
        <v>370</v>
      </c>
      <c r="K57" s="1724" t="s">
        <v>1135</v>
      </c>
      <c r="L57" s="1338">
        <f>IF(L49&lt;J52,"——",L49-J52)</f>
        <v>8</v>
      </c>
      <c r="O57" s="1719" t="s">
        <v>1102</v>
      </c>
      <c r="P57" s="1714" t="s">
        <v>1136</v>
      </c>
      <c r="Q57" s="1761">
        <f>L53</f>
        <v>0</v>
      </c>
      <c r="R57" s="1760"/>
    </row>
    <row r="58" spans="1:18" s="1517" customFormat="1" ht="28.5">
      <c r="A58" s="1659"/>
      <c r="B58" s="1550" t="s">
        <v>1069</v>
      </c>
      <c r="C58" s="1660">
        <f ca="1">C29</f>
        <v>491335</v>
      </c>
      <c r="D58" s="1656"/>
      <c r="E58" s="1657"/>
      <c r="F58" s="1658"/>
      <c r="I58" s="1745" t="s">
        <v>1137</v>
      </c>
      <c r="J58" s="1746" t="str">
        <f>IF(OR(M48="住宅",J52&lt;L49,J57="是"),"——",J52-L49)</f>
        <v>——</v>
      </c>
      <c r="K58" s="1724" t="s">
        <v>1138</v>
      </c>
      <c r="L58" s="1338">
        <f>IF(L49&lt;J52,"——",IF(L56="比较法",L50,IF(L56="基准地价",L51,L52)))</f>
        <v>0</v>
      </c>
      <c r="O58" s="1719" t="s">
        <v>1108</v>
      </c>
      <c r="P58" s="1714" t="s">
        <v>1139</v>
      </c>
      <c r="Q58" s="1759" t="e">
        <f>L59</f>
        <v>#DIV/0!</v>
      </c>
      <c r="R58" s="1760" t="s">
        <v>1140</v>
      </c>
    </row>
    <row r="59" spans="1:18" s="1517" customFormat="1" ht="28.5">
      <c r="A59" s="1661" t="s">
        <v>728</v>
      </c>
      <c r="B59" s="1662" t="s">
        <v>1017</v>
      </c>
      <c r="C59" s="1356">
        <f ca="1">ROUND(C60+C65+C66+C67,0)</f>
        <v>6854</v>
      </c>
      <c r="D59" s="1663" t="s">
        <v>1018</v>
      </c>
      <c r="E59" s="1403"/>
      <c r="F59" s="1590"/>
      <c r="I59" s="1745" t="s">
        <v>1141</v>
      </c>
      <c r="J59" s="1747" t="e">
        <f>IF(J56&lt;0.4,0.4,J56)</f>
        <v>#VALUE!</v>
      </c>
      <c r="K59" s="1732" t="s">
        <v>1142</v>
      </c>
      <c r="L59" s="1338" t="e">
        <f>ROUND(POWER(1+L53,L48-L49)*(POWER(1+L53,L49)-1)/(POWER(1+L53,L48)-1),4)</f>
        <v>#DIV/0!</v>
      </c>
      <c r="O59" s="1719" t="s">
        <v>1115</v>
      </c>
      <c r="P59" s="1714" t="str">
        <f>K60</f>
        <v>建筑物剩余耐用年限下的土地年期修正系数Kn</v>
      </c>
      <c r="Q59" s="1759" t="e">
        <f>L60</f>
        <v>#DIV/0!</v>
      </c>
      <c r="R59" s="1760" t="s">
        <v>1143</v>
      </c>
    </row>
    <row r="60" spans="1:18" s="1517" customFormat="1" ht="28.5">
      <c r="A60" s="1581" t="s">
        <v>1144</v>
      </c>
      <c r="B60" s="1550" t="s">
        <v>1023</v>
      </c>
      <c r="C60" s="1401">
        <f ca="1">ROUND(IF(项目基本情况!B7="自然人",C49*F60,C61+C62+C63),1)</f>
        <v>0</v>
      </c>
      <c r="D60" s="1583" t="s">
        <v>1024</v>
      </c>
      <c r="E60" s="1604" t="s">
        <v>1025</v>
      </c>
      <c r="F60" s="1605">
        <f>IF(项目基本情况!B7="企业","",IF('数据-取费表'!B10="住宅",5%,IF(F50*F51*F52/12/(1+'数据-取费表'!F30)&gt;20000,12%,7%)))</f>
        <v>0.05</v>
      </c>
      <c r="I60" s="1745" t="s">
        <v>1145</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938</v>
      </c>
      <c r="P60" s="1714" t="str">
        <f>IF(C2="元","收益价值(元)","收益价值(万元)")</f>
        <v>收益价值(万元)</v>
      </c>
      <c r="Q60" s="1759">
        <f ca="1">ROUND(IF(C2="元",Q54+Q55,(Q54+Q55)/10000),0)</f>
        <v>57</v>
      </c>
      <c r="R60" s="1760" t="s">
        <v>1120</v>
      </c>
    </row>
    <row r="61" spans="1:18" s="1517" customFormat="1" ht="15.75">
      <c r="A61" s="1581" t="s">
        <v>1146</v>
      </c>
      <c r="B61" s="1550" t="s">
        <v>1027</v>
      </c>
      <c r="C61" s="1401" t="str">
        <f>IF(项目基本情况!B7="自然人","——",ROUND(C49*F61/(1+'数据-取费表'!F30),0))</f>
        <v>——</v>
      </c>
      <c r="D61" s="1604" t="s">
        <v>1028</v>
      </c>
      <c r="E61" s="1550" t="s">
        <v>1016</v>
      </c>
      <c r="F61" s="1595">
        <f t="shared" ref="F61:F67" si="0">F32</f>
        <v>7.8400000000000011E-2</v>
      </c>
      <c r="I61" s="1748" t="s">
        <v>1147</v>
      </c>
      <c r="J61" s="1749" t="str">
        <f>IF(OR(M48="住宅",J52&lt;L49,J57="是"),"0",ROUND(J60/(1+J53)^J54,0))</f>
        <v>0</v>
      </c>
      <c r="K61" s="1750" t="s">
        <v>1148</v>
      </c>
      <c r="L61" s="1749">
        <f>IF(OR(M48="住宅",L49&lt;J52),0,ROUND(L58*(L59/L60-1),0))</f>
        <v>0</v>
      </c>
      <c r="O61" s="1708" t="s">
        <v>1149</v>
      </c>
      <c r="P61" s="1709"/>
      <c r="Q61" s="1299"/>
      <c r="R61" s="1709"/>
    </row>
    <row r="62" spans="1:18" s="1517" customFormat="1">
      <c r="A62" s="1581" t="s">
        <v>1150</v>
      </c>
      <c r="B62" s="1550" t="s">
        <v>1031</v>
      </c>
      <c r="C62" s="1401" t="str">
        <f>IF(项目基本情况!B7="自然人","——",IF(D62="按租金收入计税",ROUND(C49*F62,1),IF(D62="按房产原值计税",ROUND(C58*F62*0.7,1),'数据-取费表'!B44)))</f>
        <v>——</v>
      </c>
      <c r="D62" s="1607" t="s">
        <v>1032</v>
      </c>
      <c r="E62" s="1550" t="s">
        <v>1016</v>
      </c>
      <c r="F62" s="1589">
        <f t="shared" si="0"/>
        <v>1.2E-2</v>
      </c>
      <c r="O62" s="1711" t="s">
        <v>1087</v>
      </c>
      <c r="P62" s="1712" t="s">
        <v>1088</v>
      </c>
      <c r="Q62" s="1757" t="s">
        <v>1089</v>
      </c>
      <c r="R62" s="1758" t="s">
        <v>1090</v>
      </c>
    </row>
    <row r="63" spans="1:18" s="1517" customFormat="1">
      <c r="A63" s="1643" t="s">
        <v>1151</v>
      </c>
      <c r="B63" s="1549" t="s">
        <v>1035</v>
      </c>
      <c r="C63" s="1609" t="str">
        <f>IF(项目基本情况!B7="自然人","——",ROUND(F63*F64,0))</f>
        <v>——</v>
      </c>
      <c r="D63" s="1610" t="s">
        <v>1036</v>
      </c>
      <c r="E63" s="1550" t="s">
        <v>1037</v>
      </c>
      <c r="F63" s="1594">
        <f t="shared" si="0"/>
        <v>0</v>
      </c>
      <c r="I63" s="1751" t="s">
        <v>1152</v>
      </c>
      <c r="J63" s="1752" t="s">
        <v>1153</v>
      </c>
      <c r="K63" s="1752" t="s">
        <v>1154</v>
      </c>
      <c r="L63" s="1752" t="s">
        <v>1155</v>
      </c>
      <c r="M63" s="1753" t="s">
        <v>1156</v>
      </c>
      <c r="O63" s="1713" t="s">
        <v>933</v>
      </c>
      <c r="P63" s="1714" t="s">
        <v>1091</v>
      </c>
      <c r="Q63" s="1759">
        <f ca="1">C40+J29</f>
        <v>566348</v>
      </c>
      <c r="R63" s="1760" t="s">
        <v>1092</v>
      </c>
    </row>
    <row r="64" spans="1:18" s="1517" customFormat="1" ht="19.5">
      <c r="A64" s="1564"/>
      <c r="B64" s="1557"/>
      <c r="C64" s="1471"/>
      <c r="D64" s="1612"/>
      <c r="E64" s="1550" t="s">
        <v>1041</v>
      </c>
      <c r="F64" s="1551">
        <f t="shared" si="0"/>
        <v>0</v>
      </c>
      <c r="I64" s="1751" t="s">
        <v>1157</v>
      </c>
      <c r="J64" s="1752">
        <v>70</v>
      </c>
      <c r="K64" s="1752">
        <v>50</v>
      </c>
      <c r="L64" s="1752">
        <v>80</v>
      </c>
      <c r="M64" s="1754">
        <v>0.02</v>
      </c>
      <c r="O64" s="1713" t="s">
        <v>935</v>
      </c>
      <c r="P64" s="1714" t="s">
        <v>1128</v>
      </c>
      <c r="Q64" s="1759">
        <f>L61</f>
        <v>0</v>
      </c>
      <c r="R64" s="1760" t="s">
        <v>1129</v>
      </c>
    </row>
    <row r="65" spans="1:18" s="1517" customFormat="1" ht="22.5">
      <c r="A65" s="1581" t="s">
        <v>1158</v>
      </c>
      <c r="B65" s="1550" t="s">
        <v>1043</v>
      </c>
      <c r="C65" s="1401">
        <f ca="1">ROUND(C58*F65,0)</f>
        <v>737</v>
      </c>
      <c r="D65" s="1604" t="s">
        <v>1076</v>
      </c>
      <c r="E65" s="1550" t="s">
        <v>1016</v>
      </c>
      <c r="F65" s="1614">
        <f t="shared" si="0"/>
        <v>1.5E-3</v>
      </c>
      <c r="I65" s="1751" t="s">
        <v>1159</v>
      </c>
      <c r="J65" s="1752">
        <v>50</v>
      </c>
      <c r="K65" s="1752">
        <v>35</v>
      </c>
      <c r="L65" s="1752">
        <v>60</v>
      </c>
      <c r="M65" s="1753">
        <v>0</v>
      </c>
      <c r="O65" s="1719" t="s">
        <v>1097</v>
      </c>
      <c r="P65" s="1714" t="s">
        <v>1133</v>
      </c>
      <c r="Q65" s="1766">
        <f ca="1">L52</f>
        <v>10044429</v>
      </c>
      <c r="R65" s="1767" t="s">
        <v>1160</v>
      </c>
    </row>
    <row r="66" spans="1:18" s="1517" customFormat="1" ht="19.5">
      <c r="A66" s="1581" t="s">
        <v>1161</v>
      </c>
      <c r="B66" s="1550" t="s">
        <v>1047</v>
      </c>
      <c r="C66" s="1401">
        <f ca="1">ROUND(C57*F66,0)</f>
        <v>6117</v>
      </c>
      <c r="D66" s="1604" t="s">
        <v>1048</v>
      </c>
      <c r="E66" s="1550" t="s">
        <v>1016</v>
      </c>
      <c r="F66" s="1615">
        <f t="shared" si="0"/>
        <v>1.4999999999999999E-2</v>
      </c>
      <c r="I66" s="1751" t="s">
        <v>1162</v>
      </c>
      <c r="J66" s="1752">
        <v>40</v>
      </c>
      <c r="K66" s="1752">
        <v>30</v>
      </c>
      <c r="L66" s="1752">
        <v>50</v>
      </c>
      <c r="M66" s="1754">
        <v>0.02</v>
      </c>
      <c r="O66" s="1719" t="s">
        <v>1102</v>
      </c>
      <c r="P66" s="1765" t="s">
        <v>1163</v>
      </c>
      <c r="Q66" s="1759">
        <f ca="1">ROUND(Q67-Q68*Q69,0)</f>
        <v>-11671</v>
      </c>
      <c r="R66" s="1760"/>
    </row>
    <row r="67" spans="1:18" s="1517" customFormat="1">
      <c r="A67" s="1581" t="s">
        <v>1164</v>
      </c>
      <c r="B67" s="1550" t="s">
        <v>1033</v>
      </c>
      <c r="C67" s="1401">
        <f ca="1">ROUND(C49*F67,0)</f>
        <v>0</v>
      </c>
      <c r="D67" s="1604" t="s">
        <v>1051</v>
      </c>
      <c r="E67" s="1550" t="s">
        <v>1016</v>
      </c>
      <c r="F67" s="1558">
        <f t="shared" si="0"/>
        <v>1.4999999999999999E-2</v>
      </c>
      <c r="O67" s="1719" t="s">
        <v>1165</v>
      </c>
      <c r="P67" s="1765" t="s">
        <v>1166</v>
      </c>
      <c r="Q67" s="1759">
        <f ca="1">C39</f>
        <v>20954</v>
      </c>
      <c r="R67" s="1760" t="s">
        <v>1092</v>
      </c>
    </row>
    <row r="68" spans="1:18">
      <c r="A68" s="1661" t="s">
        <v>731</v>
      </c>
      <c r="B68" s="1762" t="s">
        <v>1054</v>
      </c>
      <c r="C68" s="1356">
        <f ca="1">C49-C59</f>
        <v>-6854</v>
      </c>
      <c r="D68" s="1583" t="s">
        <v>1055</v>
      </c>
      <c r="E68" s="1763"/>
      <c r="F68" s="1764"/>
      <c r="H68" s="1517"/>
      <c r="I68" s="1517"/>
      <c r="J68" s="1517"/>
      <c r="K68" s="1517"/>
      <c r="L68" s="1517"/>
      <c r="M68" s="1517"/>
      <c r="O68" s="1719" t="s">
        <v>1167</v>
      </c>
      <c r="P68" s="1765" t="s">
        <v>1168</v>
      </c>
      <c r="Q68" s="1759">
        <f ca="1">C13</f>
        <v>407808</v>
      </c>
      <c r="R68" s="1760" t="s">
        <v>1092</v>
      </c>
    </row>
    <row r="69" spans="1:18">
      <c r="A69" s="1542" t="s">
        <v>758</v>
      </c>
      <c r="B69" s="1543" t="s">
        <v>1081</v>
      </c>
      <c r="C69" s="1544">
        <f ca="1">ROUND(C68*(1-((1+F71)/(1+F69))^F70)/(F69-F71),0)</f>
        <v>-110342</v>
      </c>
      <c r="D69" s="1610" t="s">
        <v>1060</v>
      </c>
      <c r="E69" s="1550" t="s">
        <v>1061</v>
      </c>
      <c r="F69" s="1558">
        <f>F40</f>
        <v>0.06</v>
      </c>
      <c r="H69" s="1517"/>
      <c r="I69" s="1517"/>
      <c r="J69" s="1517"/>
      <c r="K69" s="1517"/>
      <c r="L69" s="1517"/>
      <c r="M69" s="1517"/>
      <c r="O69" s="1719" t="s">
        <v>1169</v>
      </c>
      <c r="P69" s="1765" t="s">
        <v>1170</v>
      </c>
      <c r="Q69" s="1761">
        <f>J35</f>
        <v>0.08</v>
      </c>
      <c r="R69" s="1760"/>
    </row>
    <row r="70" spans="1:18">
      <c r="A70" s="1556"/>
      <c r="B70" s="1553"/>
      <c r="C70" s="1554"/>
      <c r="D70" s="1621" t="s">
        <v>1064</v>
      </c>
      <c r="E70" s="1550" t="s">
        <v>1065</v>
      </c>
      <c r="F70" s="1622">
        <f>F41</f>
        <v>58</v>
      </c>
      <c r="H70" s="1517"/>
      <c r="I70" s="1517"/>
      <c r="J70" s="1517"/>
      <c r="K70" s="1517"/>
      <c r="L70" s="1517"/>
      <c r="M70" s="1517"/>
      <c r="O70" s="1719" t="s">
        <v>1108</v>
      </c>
      <c r="P70" s="1714" t="s">
        <v>1136</v>
      </c>
      <c r="Q70" s="1761">
        <f>L53</f>
        <v>0</v>
      </c>
      <c r="R70" s="1760"/>
    </row>
    <row r="71" spans="1:18" ht="19.5">
      <c r="A71" s="1569"/>
      <c r="B71" s="1624"/>
      <c r="C71" s="1578"/>
      <c r="D71" s="1612"/>
      <c r="E71" s="1550" t="s">
        <v>1068</v>
      </c>
      <c r="F71" s="1648"/>
      <c r="H71" s="1517"/>
      <c r="M71" s="1517"/>
      <c r="O71" s="1719" t="s">
        <v>1115</v>
      </c>
      <c r="P71" s="1714" t="s">
        <v>1139</v>
      </c>
      <c r="Q71" s="1759" t="e">
        <f>L59</f>
        <v>#DIV/0!</v>
      </c>
      <c r="R71" s="1760" t="s">
        <v>1140</v>
      </c>
    </row>
    <row r="72" spans="1:18">
      <c r="A72" s="1599" t="s">
        <v>1070</v>
      </c>
      <c r="B72" s="1625" t="s">
        <v>1083</v>
      </c>
      <c r="C72" s="1626">
        <f ca="1">ROUND(C69/F72,0)</f>
        <v>-1150</v>
      </c>
      <c r="D72" s="1627" t="s">
        <v>1084</v>
      </c>
      <c r="E72" s="1628" t="s">
        <v>1085</v>
      </c>
      <c r="F72" s="1629">
        <f>F43</f>
        <v>95.95</v>
      </c>
      <c r="O72" s="1719" t="s">
        <v>1171</v>
      </c>
      <c r="P72" s="1714" t="str">
        <f>K60</f>
        <v>建筑物剩余耐用年限下的土地年期修正系数Kn</v>
      </c>
      <c r="Q72" s="1759" t="e">
        <f>L60</f>
        <v>#DIV/0!</v>
      </c>
      <c r="R72" s="1760" t="s">
        <v>1143</v>
      </c>
    </row>
    <row r="73" spans="1:18">
      <c r="A73" s="1517"/>
      <c r="B73" s="1520"/>
      <c r="C73" s="1520"/>
      <c r="D73" s="1517"/>
      <c r="E73" s="1517"/>
      <c r="F73" s="1517"/>
      <c r="O73" s="1713" t="s">
        <v>938</v>
      </c>
      <c r="P73" s="1714" t="str">
        <f>IF(C2="元","收益价值(元)","收益价值(万元)")</f>
        <v>收益价值(万元)</v>
      </c>
      <c r="Q73" s="1759">
        <f ca="1">ROUND(IF(C2="元",Q63+Q64,(Q63+Q64)/10000),0)</f>
        <v>57</v>
      </c>
      <c r="R73" s="1760" t="s">
        <v>1120</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29" t="s">
        <v>1172</v>
      </c>
      <c r="B1" s="3030"/>
      <c r="C1" s="3031"/>
      <c r="D1" s="3032">
        <f>SUM(I10,I15,I20,I21,I23)</f>
        <v>0</v>
      </c>
      <c r="E1" s="3032"/>
      <c r="F1" s="3032"/>
      <c r="G1" s="3032"/>
      <c r="H1" s="3032"/>
      <c r="I1" s="3033"/>
    </row>
    <row r="2" spans="1:9">
      <c r="A2" s="3041" t="s">
        <v>1173</v>
      </c>
      <c r="B2" s="3034" t="s">
        <v>1174</v>
      </c>
      <c r="C2" s="3034"/>
      <c r="D2" s="1485" t="s">
        <v>1175</v>
      </c>
      <c r="E2" s="1485" t="s">
        <v>1176</v>
      </c>
      <c r="F2" s="1485" t="s">
        <v>1177</v>
      </c>
      <c r="G2" s="1485" t="s">
        <v>1178</v>
      </c>
      <c r="H2" s="1485" t="s">
        <v>1179</v>
      </c>
      <c r="I2" s="1509" t="s">
        <v>1180</v>
      </c>
    </row>
    <row r="3" spans="1:9">
      <c r="A3" s="3041"/>
      <c r="B3" s="3034" t="s">
        <v>1181</v>
      </c>
      <c r="C3" s="3034"/>
      <c r="D3" s="1486"/>
      <c r="E3" s="1485"/>
      <c r="F3" s="1487"/>
      <c r="G3" s="1487"/>
      <c r="H3" s="1488"/>
      <c r="I3" s="1510">
        <f>ROUND(D3*E3*F3*G3*H3/10000,0)</f>
        <v>0</v>
      </c>
    </row>
    <row r="4" spans="1:9">
      <c r="A4" s="3041"/>
      <c r="B4" s="3034" t="s">
        <v>1182</v>
      </c>
      <c r="C4" s="3034"/>
      <c r="D4" s="1486"/>
      <c r="E4" s="1485"/>
      <c r="F4" s="1487"/>
      <c r="G4" s="1487"/>
      <c r="H4" s="1488"/>
      <c r="I4" s="1510">
        <f t="shared" ref="I4:I9" si="0">ROUND(D4*E4*F4*G4*H4/10000,0)</f>
        <v>0</v>
      </c>
    </row>
    <row r="5" spans="1:9">
      <c r="A5" s="3041"/>
      <c r="B5" s="3034" t="s">
        <v>1183</v>
      </c>
      <c r="C5" s="3034"/>
      <c r="D5" s="1486"/>
      <c r="E5" s="1485"/>
      <c r="F5" s="1487"/>
      <c r="G5" s="1487"/>
      <c r="H5" s="1488"/>
      <c r="I5" s="1510">
        <f t="shared" si="0"/>
        <v>0</v>
      </c>
    </row>
    <row r="6" spans="1:9">
      <c r="A6" s="3041"/>
      <c r="B6" s="3034" t="s">
        <v>1184</v>
      </c>
      <c r="C6" s="3034"/>
      <c r="D6" s="1486"/>
      <c r="E6" s="1485"/>
      <c r="F6" s="1487"/>
      <c r="G6" s="1487"/>
      <c r="H6" s="1488"/>
      <c r="I6" s="1510">
        <f t="shared" si="0"/>
        <v>0</v>
      </c>
    </row>
    <row r="7" spans="1:9">
      <c r="A7" s="3041"/>
      <c r="B7" s="3034" t="s">
        <v>1185</v>
      </c>
      <c r="C7" s="3034"/>
      <c r="D7" s="1486"/>
      <c r="E7" s="1485"/>
      <c r="F7" s="1487"/>
      <c r="G7" s="1487"/>
      <c r="H7" s="1488"/>
      <c r="I7" s="1510">
        <f t="shared" si="0"/>
        <v>0</v>
      </c>
    </row>
    <row r="8" spans="1:9">
      <c r="A8" s="3041"/>
      <c r="B8" s="3034" t="s">
        <v>1186</v>
      </c>
      <c r="C8" s="3034"/>
      <c r="D8" s="1486"/>
      <c r="E8" s="1485"/>
      <c r="F8" s="1487"/>
      <c r="G8" s="1487"/>
      <c r="H8" s="1488"/>
      <c r="I8" s="1510">
        <f t="shared" si="0"/>
        <v>0</v>
      </c>
    </row>
    <row r="9" spans="1:9">
      <c r="A9" s="3041"/>
      <c r="B9" s="3034" t="s">
        <v>1187</v>
      </c>
      <c r="C9" s="3034"/>
      <c r="D9" s="1486"/>
      <c r="E9" s="1485"/>
      <c r="F9" s="1487"/>
      <c r="G9" s="1487"/>
      <c r="H9" s="1488"/>
      <c r="I9" s="1510">
        <f t="shared" si="0"/>
        <v>0</v>
      </c>
    </row>
    <row r="10" spans="1:9">
      <c r="A10" s="3041"/>
      <c r="B10" s="3035" t="s">
        <v>445</v>
      </c>
      <c r="C10" s="3035"/>
      <c r="D10" s="1489">
        <v>527</v>
      </c>
      <c r="E10" s="1489" t="e">
        <f>ROUND(D1*10000/D10/H9,0)</f>
        <v>#DIV/0!</v>
      </c>
      <c r="F10" s="1490"/>
      <c r="G10" s="1490"/>
      <c r="H10" s="1491"/>
      <c r="I10" s="1511">
        <f>SUM(I3:I9)</f>
        <v>0</v>
      </c>
    </row>
    <row r="11" spans="1:9" ht="14.25">
      <c r="A11" s="3041" t="s">
        <v>1188</v>
      </c>
      <c r="B11" s="3034" t="s">
        <v>1189</v>
      </c>
      <c r="C11" s="3034"/>
      <c r="D11" s="1486" t="s">
        <v>1190</v>
      </c>
      <c r="E11" s="1486" t="s">
        <v>1191</v>
      </c>
      <c r="F11" s="1487" t="s">
        <v>1192</v>
      </c>
      <c r="G11" s="1487" t="s">
        <v>1179</v>
      </c>
      <c r="H11" s="1492" t="s">
        <v>121</v>
      </c>
      <c r="I11" s="1509" t="s">
        <v>1180</v>
      </c>
    </row>
    <row r="12" spans="1:9">
      <c r="A12" s="3041"/>
      <c r="B12" s="3034" t="s">
        <v>1193</v>
      </c>
      <c r="C12" s="3034"/>
      <c r="D12" s="1486"/>
      <c r="E12" s="1486"/>
      <c r="F12" s="1487"/>
      <c r="G12" s="1488"/>
      <c r="H12" s="1493"/>
      <c r="I12" s="1509">
        <f>ROUND(D12*E12*F12*G12/10000,0)</f>
        <v>0</v>
      </c>
    </row>
    <row r="13" spans="1:9">
      <c r="A13" s="3041"/>
      <c r="B13" s="3034" t="s">
        <v>1194</v>
      </c>
      <c r="C13" s="3034"/>
      <c r="D13" s="1486"/>
      <c r="E13" s="1486"/>
      <c r="F13" s="1487"/>
      <c r="G13" s="1488"/>
      <c r="H13" s="1493"/>
      <c r="I13" s="1509">
        <f>ROUND(D13*E13*F13*G13/10000,0)</f>
        <v>0</v>
      </c>
    </row>
    <row r="14" spans="1:9">
      <c r="A14" s="3041"/>
      <c r="B14" s="3034" t="s">
        <v>1195</v>
      </c>
      <c r="C14" s="3034"/>
      <c r="D14" s="1486"/>
      <c r="E14" s="1486"/>
      <c r="F14" s="1487"/>
      <c r="G14" s="1488"/>
      <c r="H14" s="1493"/>
      <c r="I14" s="1509">
        <f>ROUND(D14*E14*F14*G14/10000,0)</f>
        <v>0</v>
      </c>
    </row>
    <row r="15" spans="1:9">
      <c r="A15" s="3041"/>
      <c r="B15" s="3035" t="s">
        <v>445</v>
      </c>
      <c r="C15" s="3035"/>
      <c r="D15" s="1489"/>
      <c r="E15" s="1489">
        <f>SUM(E12:E14)</f>
        <v>0</v>
      </c>
      <c r="F15" s="1490"/>
      <c r="G15" s="1488"/>
      <c r="H15" s="1493"/>
      <c r="I15" s="1512">
        <f>SUM(I12:I14)</f>
        <v>0</v>
      </c>
    </row>
    <row r="16" spans="1:9" ht="24">
      <c r="A16" s="3041" t="s">
        <v>1196</v>
      </c>
      <c r="B16" s="3034" t="s">
        <v>1197</v>
      </c>
      <c r="C16" s="3034"/>
      <c r="D16" s="1486" t="s">
        <v>1175</v>
      </c>
      <c r="E16" s="1494" t="s">
        <v>1198</v>
      </c>
      <c r="F16" s="1487" t="s">
        <v>1199</v>
      </c>
      <c r="G16" s="1488" t="s">
        <v>1179</v>
      </c>
      <c r="H16" s="1492" t="s">
        <v>121</v>
      </c>
      <c r="I16" s="1509" t="s">
        <v>1180</v>
      </c>
    </row>
    <row r="17" spans="1:9" ht="14.25">
      <c r="A17" s="3041"/>
      <c r="B17" s="3034" t="s">
        <v>1200</v>
      </c>
      <c r="C17" s="3034"/>
      <c r="D17" s="1486"/>
      <c r="E17" s="1486"/>
      <c r="F17" s="1487"/>
      <c r="G17" s="1488"/>
      <c r="H17" s="1495"/>
      <c r="I17" s="1513">
        <f>ROUND(D17*E17*F17*G17/10000,0)</f>
        <v>0</v>
      </c>
    </row>
    <row r="18" spans="1:9" ht="14.25">
      <c r="A18" s="3041"/>
      <c r="B18" s="3034" t="s">
        <v>1201</v>
      </c>
      <c r="C18" s="3034"/>
      <c r="D18" s="1486"/>
      <c r="E18" s="1486"/>
      <c r="F18" s="1487"/>
      <c r="G18" s="1488"/>
      <c r="H18" s="1495"/>
      <c r="I18" s="1513">
        <f>ROUND(D18*E18*F18*G18/10000,0)</f>
        <v>0</v>
      </c>
    </row>
    <row r="19" spans="1:9" ht="14.25">
      <c r="A19" s="3041"/>
      <c r="B19" s="3034" t="s">
        <v>1202</v>
      </c>
      <c r="C19" s="3034"/>
      <c r="D19" s="1486"/>
      <c r="E19" s="1486"/>
      <c r="F19" s="1487"/>
      <c r="G19" s="1488"/>
      <c r="H19" s="1495"/>
      <c r="I19" s="1513">
        <f>ROUND(D19*E19*F19*G19/10000,0)</f>
        <v>0</v>
      </c>
    </row>
    <row r="20" spans="1:9">
      <c r="A20" s="3041"/>
      <c r="B20" s="3035" t="s">
        <v>445</v>
      </c>
      <c r="C20" s="3035"/>
      <c r="D20" s="1489">
        <f>SUM(D17:D19)</f>
        <v>0</v>
      </c>
      <c r="E20" s="1489"/>
      <c r="F20" s="1490"/>
      <c r="G20" s="1488"/>
      <c r="H20" s="1493"/>
      <c r="I20" s="1512">
        <f>SUM(I17:I19)</f>
        <v>0</v>
      </c>
    </row>
    <row r="21" spans="1:9">
      <c r="A21" s="3041" t="s">
        <v>1203</v>
      </c>
      <c r="B21" s="3049"/>
      <c r="C21" s="3049"/>
      <c r="D21" s="3049"/>
      <c r="E21" s="3049"/>
      <c r="F21" s="3049"/>
      <c r="G21" s="3049"/>
      <c r="H21" s="1496">
        <v>0.1</v>
      </c>
      <c r="I21" s="1511">
        <f>ROUND(I10*H21,0)</f>
        <v>0</v>
      </c>
    </row>
    <row r="22" spans="1:9" ht="14.25">
      <c r="A22" s="3042" t="s">
        <v>1204</v>
      </c>
      <c r="B22" s="3043"/>
      <c r="C22" s="3044"/>
      <c r="D22" s="1497" t="s">
        <v>441</v>
      </c>
      <c r="E22" s="1497" t="s">
        <v>1205</v>
      </c>
      <c r="F22" s="1498" t="s">
        <v>1179</v>
      </c>
      <c r="G22" s="1498" t="s">
        <v>1206</v>
      </c>
      <c r="H22" s="1492" t="s">
        <v>121</v>
      </c>
      <c r="I22" s="1509" t="s">
        <v>1180</v>
      </c>
    </row>
    <row r="23" spans="1:9">
      <c r="A23" s="3045"/>
      <c r="B23" s="3046"/>
      <c r="C23" s="3047"/>
      <c r="D23" s="1499"/>
      <c r="E23" s="1499"/>
      <c r="F23" s="1499"/>
      <c r="G23" s="1500"/>
      <c r="H23" s="1501"/>
      <c r="I23" s="1514">
        <f>ROUND(E23*D23*F23*(1-G23)/10000,0)</f>
        <v>0</v>
      </c>
    </row>
    <row r="26" spans="1:9">
      <c r="A26" s="1502" t="s">
        <v>1207</v>
      </c>
      <c r="B26" s="1502"/>
      <c r="C26" s="1502"/>
      <c r="D26" s="1502"/>
      <c r="E26" s="3040">
        <f>C27-C30-C31-C32</f>
        <v>0</v>
      </c>
      <c r="F26" s="3040"/>
      <c r="G26" s="3040"/>
      <c r="H26" s="1503" t="s">
        <v>1208</v>
      </c>
    </row>
    <row r="27" spans="1:9">
      <c r="A27" s="1504">
        <v>1</v>
      </c>
      <c r="B27" s="1505" t="s">
        <v>1209</v>
      </c>
      <c r="C27" s="1505">
        <f>C28+C29</f>
        <v>0</v>
      </c>
      <c r="D27" s="1505"/>
      <c r="E27" s="3036"/>
      <c r="F27" s="3036"/>
      <c r="G27" s="3036"/>
    </row>
    <row r="28" spans="1:9">
      <c r="A28" s="1506" t="s">
        <v>1210</v>
      </c>
      <c r="B28" s="1505" t="s">
        <v>1211</v>
      </c>
      <c r="C28" s="1505"/>
      <c r="D28" s="1505"/>
      <c r="E28" s="3036"/>
      <c r="F28" s="3036"/>
      <c r="G28" s="3036"/>
    </row>
    <row r="29" spans="1:9">
      <c r="A29" s="1506" t="s">
        <v>1212</v>
      </c>
      <c r="B29" s="1505" t="s">
        <v>1213</v>
      </c>
      <c r="C29" s="1505"/>
      <c r="D29" s="1505"/>
      <c r="E29" s="1505" t="s">
        <v>1214</v>
      </c>
      <c r="F29" s="1505"/>
      <c r="G29" s="1505"/>
    </row>
    <row r="30" spans="1:9">
      <c r="A30" s="1504">
        <v>2</v>
      </c>
      <c r="B30" s="1505" t="s">
        <v>1215</v>
      </c>
      <c r="C30" s="1505">
        <f>C27*D30</f>
        <v>0</v>
      </c>
      <c r="D30" s="1507">
        <v>0.2</v>
      </c>
      <c r="E30" s="1505" t="s">
        <v>1216</v>
      </c>
      <c r="F30" s="1505"/>
      <c r="G30" s="1505"/>
    </row>
    <row r="31" spans="1:9">
      <c r="A31" s="1504">
        <v>3</v>
      </c>
      <c r="B31" s="1505" t="s">
        <v>1217</v>
      </c>
      <c r="C31" s="1505">
        <f>C25*D31</f>
        <v>0</v>
      </c>
      <c r="D31" s="1507">
        <v>0.15</v>
      </c>
      <c r="E31" s="1505" t="s">
        <v>1218</v>
      </c>
      <c r="F31" s="1505"/>
      <c r="G31" s="1505"/>
    </row>
    <row r="32" spans="1:9">
      <c r="A32" s="1504">
        <v>4</v>
      </c>
      <c r="B32" s="1505" t="s">
        <v>1219</v>
      </c>
      <c r="C32" s="1505">
        <f>C27*D32</f>
        <v>0</v>
      </c>
      <c r="D32" s="1507">
        <v>0.05</v>
      </c>
      <c r="E32" s="3048"/>
      <c r="F32" s="3048"/>
      <c r="G32" s="3048"/>
    </row>
    <row r="33" spans="1:7" hidden="1">
      <c r="A33" s="3037" t="s">
        <v>1220</v>
      </c>
      <c r="B33" s="3038"/>
      <c r="C33" s="3038"/>
      <c r="D33" s="3039"/>
      <c r="E33" s="3040"/>
      <c r="F33" s="3040"/>
      <c r="G33" s="3040"/>
    </row>
    <row r="34" spans="1:7" hidden="1">
      <c r="A34" s="1508">
        <v>1</v>
      </c>
      <c r="B34" s="1505" t="s">
        <v>1221</v>
      </c>
      <c r="C34" s="1505"/>
      <c r="D34" s="1505"/>
      <c r="E34" s="3036"/>
      <c r="F34" s="3036"/>
      <c r="G34" s="3036"/>
    </row>
    <row r="35" spans="1:7" hidden="1">
      <c r="A35" s="1508">
        <v>2</v>
      </c>
      <c r="B35" s="1505" t="s">
        <v>1222</v>
      </c>
      <c r="C35" s="1505"/>
      <c r="D35" s="1505"/>
      <c r="E35" s="3036"/>
      <c r="F35" s="3036"/>
      <c r="G35" s="3036"/>
    </row>
    <row r="36" spans="1:7" hidden="1">
      <c r="A36" s="1508">
        <v>3</v>
      </c>
      <c r="B36" s="1505" t="s">
        <v>1223</v>
      </c>
      <c r="C36" s="1505"/>
      <c r="D36" s="1505"/>
      <c r="E36" s="3036"/>
      <c r="F36" s="3036"/>
      <c r="G36" s="3036"/>
    </row>
    <row r="37" spans="1:7" hidden="1">
      <c r="A37" s="1508">
        <v>4</v>
      </c>
      <c r="B37" s="1505" t="s">
        <v>1224</v>
      </c>
      <c r="C37" s="1505"/>
      <c r="D37" s="1505"/>
      <c r="E37" s="3036"/>
      <c r="F37" s="3036"/>
      <c r="G37" s="3036"/>
    </row>
    <row r="38" spans="1:7" hidden="1">
      <c r="A38" s="3037" t="s">
        <v>1225</v>
      </c>
      <c r="B38" s="3038"/>
      <c r="C38" s="3038"/>
      <c r="D38" s="3039"/>
      <c r="E38" s="3040"/>
      <c r="F38" s="3040"/>
      <c r="G38" s="3040"/>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S32" sqref="S32"/>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1226</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824</v>
      </c>
      <c r="B2" s="1356">
        <f ca="1">B23</f>
        <v>392</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825</v>
      </c>
      <c r="B3" s="1356">
        <f ca="1">B24</f>
        <v>22173</v>
      </c>
      <c r="C3" s="1357" t="s">
        <v>1227</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1228</v>
      </c>
      <c r="C4" s="3050" t="s">
        <v>1229</v>
      </c>
      <c r="D4" s="3051"/>
      <c r="E4" s="3051"/>
      <c r="F4" s="3051"/>
      <c r="G4" s="3051"/>
      <c r="H4" s="3051"/>
      <c r="I4" s="3051"/>
      <c r="J4" s="3051"/>
      <c r="K4" s="3051"/>
      <c r="L4" s="3051"/>
      <c r="M4" s="3051"/>
      <c r="N4" s="3051"/>
      <c r="O4" s="3051"/>
      <c r="P4" s="3051"/>
      <c r="Q4" s="3051"/>
      <c r="R4" s="3051"/>
      <c r="S4" s="3052"/>
      <c r="T4" s="1359" t="s">
        <v>1230</v>
      </c>
      <c r="U4" s="1438"/>
      <c r="V4" s="1438"/>
      <c r="X4" s="1438"/>
      <c r="Y4" s="1438"/>
    </row>
    <row r="5" spans="1:44" s="1344" customFormat="1" ht="25.5">
      <c r="A5" s="1360"/>
      <c r="B5" s="1361" t="s">
        <v>360</v>
      </c>
      <c r="C5" s="1362" t="str">
        <f t="shared" ref="C5:L5" si="0">C6&amp;"(含)"&amp;"-"&amp;D6</f>
        <v>0(含)-30</v>
      </c>
      <c r="D5" s="1363" t="str">
        <f t="shared" si="0"/>
        <v>30(含)-60</v>
      </c>
      <c r="E5" s="1363" t="str">
        <f t="shared" si="0"/>
        <v>60(含)-90</v>
      </c>
      <c r="F5" s="1363" t="str">
        <f t="shared" si="0"/>
        <v>90(含)-120</v>
      </c>
      <c r="G5" s="1363" t="str">
        <f t="shared" si="0"/>
        <v>120(含)-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ht="14.25">
      <c r="A6" s="1364"/>
      <c r="B6" s="1365"/>
      <c r="C6" s="913">
        <v>0</v>
      </c>
      <c r="D6" s="913">
        <v>30</v>
      </c>
      <c r="E6" s="913">
        <v>60</v>
      </c>
      <c r="F6" s="913">
        <v>90</v>
      </c>
      <c r="G6" s="913">
        <v>120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ht="15" thickBot="1">
      <c r="A7" s="1368"/>
      <c r="B7" s="1369"/>
      <c r="C7" s="939">
        <v>98</v>
      </c>
      <c r="D7" s="928">
        <v>99</v>
      </c>
      <c r="E7" s="928">
        <v>100</v>
      </c>
      <c r="F7" s="928">
        <v>99</v>
      </c>
      <c r="G7" s="928">
        <v>98</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ht="13.5" thickTop="1">
      <c r="A8" s="1372"/>
      <c r="B8" s="2742" t="s">
        <v>2342</v>
      </c>
      <c r="C8" s="1374">
        <v>6</v>
      </c>
      <c r="D8" s="1374">
        <v>5</v>
      </c>
      <c r="E8" s="1374">
        <v>4</v>
      </c>
      <c r="F8" s="1375">
        <v>3</v>
      </c>
      <c r="G8" s="1375">
        <v>2</v>
      </c>
      <c r="H8" s="1375">
        <v>1</v>
      </c>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3" t="s">
        <v>2343</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1231</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1232</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1233</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1234</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1235</v>
      </c>
      <c r="B20" s="1387" t="s">
        <v>1236</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1237</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1238</v>
      </c>
      <c r="B23" s="1397">
        <f ca="1">IF(F23="——",IF(C23="万元",T25,S25),IF(C23="万元",T25-H23,S25-H23))</f>
        <v>392</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1239</v>
      </c>
      <c r="B24" s="1397">
        <f ca="1">R25</f>
        <v>22173</v>
      </c>
      <c r="C24" s="1354"/>
      <c r="D24" s="1355"/>
      <c r="E24" s="1355"/>
      <c r="F24" s="1355"/>
      <c r="G24" s="1355"/>
      <c r="H24" s="1355"/>
      <c r="I24" s="1355"/>
      <c r="J24" s="1355"/>
      <c r="K24" s="1355"/>
      <c r="L24" s="1355"/>
      <c r="M24" s="1355"/>
      <c r="N24" s="1355"/>
      <c r="O24" s="1355"/>
      <c r="P24" s="1355"/>
      <c r="Q24" s="1355"/>
      <c r="R24" s="1437"/>
      <c r="S24" s="1401" t="s">
        <v>1240</v>
      </c>
      <c r="T24" s="1402" t="s">
        <v>1241</v>
      </c>
      <c r="U24" s="1467" t="s">
        <v>1242</v>
      </c>
      <c r="V24" s="1468"/>
      <c r="W24" s="1469" t="s">
        <v>1243</v>
      </c>
      <c r="X24" s="1467" t="s">
        <v>1244</v>
      </c>
      <c r="Y24" s="1468"/>
      <c r="Z24" s="1481" t="s">
        <v>1243</v>
      </c>
    </row>
    <row r="25" spans="1:45">
      <c r="A25" s="1356" t="s">
        <v>1245</v>
      </c>
      <c r="B25" s="1401">
        <f>SUM(B27:B10000)</f>
        <v>176.79000000000002</v>
      </c>
      <c r="C25" s="3053" t="s">
        <v>121</v>
      </c>
      <c r="D25" s="3054"/>
      <c r="E25" s="3054"/>
      <c r="F25" s="3054"/>
      <c r="G25" s="3054"/>
      <c r="H25" s="3054"/>
      <c r="I25" s="3054"/>
      <c r="J25" s="3054"/>
      <c r="K25" s="3054"/>
      <c r="L25" s="3054"/>
      <c r="M25" s="3054"/>
      <c r="N25" s="3054"/>
      <c r="O25" s="3054"/>
      <c r="P25" s="3054"/>
      <c r="Q25" s="3055"/>
      <c r="R25" s="1470">
        <f ca="1">IF(C23="万元",ROUND(T25*10000/B25,0),ROUND(S25/B25,0))</f>
        <v>22173</v>
      </c>
      <c r="S25" s="1401">
        <f ca="1">SUM(S27:S10000)</f>
        <v>3919670</v>
      </c>
      <c r="T25" s="1401">
        <f ca="1">SUM(T27:T10000)</f>
        <v>392</v>
      </c>
      <c r="U25" s="1471">
        <f>SUM(U27:U10000)</f>
        <v>0</v>
      </c>
      <c r="V25" s="1471">
        <f>SUM(V27:V10000)</f>
        <v>0</v>
      </c>
      <c r="W25" s="1401"/>
      <c r="X25" s="1471">
        <f>SUM(X27:X10000)</f>
        <v>0</v>
      </c>
      <c r="Y25" s="1471">
        <f>SUM(Y27:Y10000)</f>
        <v>0</v>
      </c>
      <c r="Z25" s="1482"/>
    </row>
    <row r="26" spans="1:45" s="1347" customFormat="1" ht="24">
      <c r="A26" s="1404" t="s">
        <v>1246</v>
      </c>
      <c r="B26" s="1404" t="s">
        <v>360</v>
      </c>
      <c r="C26" s="1404" t="s">
        <v>1230</v>
      </c>
      <c r="D26" s="1404" t="str">
        <f>B8</f>
        <v>楼层</v>
      </c>
      <c r="E26" s="1404" t="s">
        <v>1230</v>
      </c>
      <c r="F26" s="1404" t="str">
        <f>B10</f>
        <v>装修</v>
      </c>
      <c r="G26" s="1404" t="s">
        <v>1230</v>
      </c>
      <c r="H26" s="1404" t="str">
        <f>B12</f>
        <v>修正项4</v>
      </c>
      <c r="I26" s="1404" t="s">
        <v>1230</v>
      </c>
      <c r="J26" s="1404" t="str">
        <f>B14</f>
        <v>修正项5</v>
      </c>
      <c r="K26" s="1404" t="s">
        <v>1230</v>
      </c>
      <c r="L26" s="1404" t="str">
        <f>B16</f>
        <v>修正项6</v>
      </c>
      <c r="M26" s="1404" t="s">
        <v>1230</v>
      </c>
      <c r="N26" s="1404" t="str">
        <f>B18</f>
        <v>修正项7</v>
      </c>
      <c r="O26" s="1404" t="s">
        <v>1230</v>
      </c>
      <c r="P26" s="1404" t="str">
        <f>B20</f>
        <v>楼层</v>
      </c>
      <c r="Q26" s="1404" t="s">
        <v>1230</v>
      </c>
      <c r="R26" s="1472" t="s">
        <v>1247</v>
      </c>
      <c r="S26" s="1404" t="s">
        <v>1248</v>
      </c>
      <c r="T26" s="1404" t="s">
        <v>1248</v>
      </c>
      <c r="U26" s="1473" t="s">
        <v>1249</v>
      </c>
      <c r="V26" s="1474" t="s">
        <v>1250</v>
      </c>
      <c r="W26" s="1475" t="s">
        <v>1251</v>
      </c>
      <c r="X26" s="1473" t="s">
        <v>1249</v>
      </c>
      <c r="Y26" s="1474" t="s">
        <v>1250</v>
      </c>
      <c r="Z26" s="1475" t="s">
        <v>1251</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1252</v>
      </c>
      <c r="B27" s="1406">
        <f>'数据-取费表'!E5</f>
        <v>95.95</v>
      </c>
      <c r="C27" s="1406">
        <v>1</v>
      </c>
      <c r="D27" s="1407">
        <v>1</v>
      </c>
      <c r="E27" s="1406">
        <v>1</v>
      </c>
      <c r="F27" s="1407" t="s">
        <v>2330</v>
      </c>
      <c r="G27" s="1406">
        <v>1</v>
      </c>
      <c r="H27" s="1407"/>
      <c r="I27" s="1406">
        <v>1</v>
      </c>
      <c r="J27" s="1407"/>
      <c r="K27" s="1406">
        <v>1</v>
      </c>
      <c r="L27" s="1407"/>
      <c r="M27" s="1406">
        <v>1</v>
      </c>
      <c r="N27" s="1407"/>
      <c r="O27" s="1406">
        <v>1</v>
      </c>
      <c r="P27" s="1407"/>
      <c r="Q27" s="1406">
        <v>1</v>
      </c>
      <c r="R27" s="1476">
        <f ca="1">结果表!G20</f>
        <v>21672</v>
      </c>
      <c r="S27" s="1406">
        <f ca="1">ROUND(R27*B27,0)</f>
        <v>2079428</v>
      </c>
      <c r="T27" s="1406">
        <f ca="1">ROUND(R27*B27/10000,0)</f>
        <v>208</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t="s">
        <v>2353</v>
      </c>
      <c r="B28" s="1409">
        <v>80.84</v>
      </c>
      <c r="C28" s="1401">
        <f t="shared" ref="C28:C91" si="14">IF(B28="",1,(LOOKUP(B28,$6:$6,$7:$7)-LOOKUP($B$27,$6:$6,$7:$7)+100)/100)</f>
        <v>1.01</v>
      </c>
      <c r="D28" s="1407">
        <v>3</v>
      </c>
      <c r="E28" s="1401">
        <f t="shared" ref="E28:E91" si="15">(SUMIF($8:$8,D28,$9:$9)-SUMIF($8:$8,$D$27,$9:$9)+100)/100</f>
        <v>1.04</v>
      </c>
      <c r="F28" s="1407" t="s">
        <v>2330</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22764</v>
      </c>
      <c r="S28" s="1356">
        <f ca="1">ROUND(R28*B28,0)</f>
        <v>1840242</v>
      </c>
      <c r="T28" s="1479">
        <f ca="1">ROUND(R28*B28/10000,0)</f>
        <v>184</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0.1</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0.1</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0.1</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0.1</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0.1</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0.1</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0.1</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0.1</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0.1</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0.1</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0.1</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0.1</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0.1</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0.1</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0.1</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0.1</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0.1</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0.1</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0.1</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0.1</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0.1</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0.1</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0.1</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0.1</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0.1</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0.1</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0.1</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0.1</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0.1</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0.1</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0.1</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0.1</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0.1</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0.1</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0.1</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0.1</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0.1</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0.1</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0.1</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0.1</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0.1</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0.1</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0.1</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0.1</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0.1</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0.1</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0.1</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0.1</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0.1</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0.1</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0.1</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0.1</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0.1</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0.1</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0.1</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0.1</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0.1</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0.1</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0.1</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0.1</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0.1</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0.1</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0.1</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0.1</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0.1</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0.1</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0.1</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0.1</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0.1</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0.1</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0.1</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0.1</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0.1</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0.1</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0.1</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0.1</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0.1</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0.1</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0.1</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0.1</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0.1</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0.1</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0.1</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0.1</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0.1</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0.1</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0.1</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0.1</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0.1</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0.1</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0.1</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0.1</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0.1</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0.1</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0.1</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0.1</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0.1</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0.1</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0.1</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0.1</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0.1</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0.1</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0.1</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0.1</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0.1</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0.1</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0.1</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0.1</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0.1</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0.1</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0.1</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0.1</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0.1</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0.1</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0.1</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0.1</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0.1</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0.1</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0.1</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0.1</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0.1</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0.1</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0.1</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0.1</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0.1</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0.1</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0.1</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0.1</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0.1</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0.1</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0.1</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0.1</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0.1</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0.1</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0.1</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0.1</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0.1</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0.1</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0.1</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0.1</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0.1</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0.1</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0.1</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0.1</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0.1</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0.1</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0.1</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0.1</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0.1</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0.1</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0.1</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0.1</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0.1</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0.1</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0.1</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0.1</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0.1</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0.1</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0.1</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0.1</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0.1</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0.1</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0.1</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0.1</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0.1</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0.1</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0.1</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0.1</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0.1</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0.1</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0.1</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0.1</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0.1</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0.1</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0.1</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0.1</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0.1</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0.1</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0.1</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0.1</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0.1</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0.1</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0.1</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0.1</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0.1</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0.1</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0.1</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0.1</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0.1</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0.1</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0.1</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0.1</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0.1</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0.1</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0.1</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0.1</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0.1</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0.1</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0.1</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0.1</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0.1</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0.1</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0.1</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0.1</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0.1</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0.1</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0.1</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0.1</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0.1</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0.1</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0.1</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0.1</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0.1</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0.1</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0.1</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0.1</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0.1</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0.1</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0.1</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0.1</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0.1</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0.1</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0.1</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0.1</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0.1</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0.1</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0.1</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0.1</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0.1</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0.1</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0.1</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0.1</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0.1</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0.1</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0.1</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0.1</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0.1</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0.1</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0.1</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0.1</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0.1</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0.1</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0.1</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0.1</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0.1</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0.1</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0.1</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0.1</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0.1</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0.1</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0.1</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0.1</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0.1</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0.1</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0.1</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0.1</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0.1</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0.1</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0.1</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0.1</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0.1</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0.1</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0.1</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0.1</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0.1</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0.1</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0.1</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0.1</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0.1</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0.1</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0.1</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0.1</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0.1</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0.1</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0.1</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0.1</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0.1</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0.1</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0.1</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0.1</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0.1</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0.1</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0.1</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0.1</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0.1</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0.1</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0.1</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0.1</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0.1</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0.1</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0.1</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0.1</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0.1</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0.1</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0.1</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0.1</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0.1</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0.1</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0.1</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0.1</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0.1</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0.1</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0.1</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0.1</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0.1</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0.1</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0.1</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0.1</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0.1</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0.1</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0.1</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0.1</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0.1</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0.1</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0.1</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0.1</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0.1</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0.1</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0.1</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0.1</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0.1</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0.1</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0.1</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0.1</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0.1</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0.1</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0.1</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0.1</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0.1</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0.1</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0.1</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0.1</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0.1</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0.1</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0.1</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0.1</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0.1</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0.1</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0.1</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0.1</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0.1</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0.1</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0.1</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0.1</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0.1</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0.1</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0.1</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0.1</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0.1</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0.1</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0.1</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0.1</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0.1</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0.1</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0.1</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0.1</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0.1</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0.1</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0.1</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0.1</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0.1</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0.1</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0.1</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0.1</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0.1</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0.1</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0.1</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0.1</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0.1</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0.1</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0.1</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0.1</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0.1</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0.1</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0.1</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0.1</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0.1</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0.1</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0.1</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0.1</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0.1</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0.1</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0.1</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0.1</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0.1</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0.1</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0.1</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0.1</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0.1</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0.1</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0.1</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0.1</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0.1</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0.1</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0.1</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0.1</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0.1</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0.1</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0.1</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0.1</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0.1</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0.1</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0.1</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0.1</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0.1</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0.1</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0.1</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0.1</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0.1</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0.1</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0.1</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0.1</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0.1</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0.1</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0.1</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0.1</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0.1</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0.1</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0.1</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0.1</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0.1</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0.1</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0.1</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0.1</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0.1</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0.1</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0.1</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0.1</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0.1</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0.1</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0.1</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0.1</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0.1</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0.1</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0.1</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0.1</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0.1</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0.1</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0.1</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0.1</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0.1</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0.1</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0.1</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0.1</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0.1</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0.1</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0.1</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0.1</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0.1</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0.1</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0.1</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0.1</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0.1</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0.1</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0.1</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0.1</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0.1</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0.1</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0.1</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0.1</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0.1</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0.1</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0.1</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0.1</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0.1</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0.1</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0.1</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0.1</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0.1</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0.1</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0.1</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0.1</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0.1</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0.1</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0.1</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0.1</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0.1</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0.1</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0.1</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0.1</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0.1</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0.1</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0.1</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0.1</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0.1</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0.1</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0.1</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0.1</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0.1</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0.1</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0.1</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0.1</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0.1</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0.1</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0.1</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0.1</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0.1</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0.1</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0.1</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1253</v>
      </c>
      <c r="B1" s="1128" t="s">
        <v>1341</v>
      </c>
      <c r="C1" s="1223"/>
      <c r="D1" s="1248"/>
      <c r="E1" s="1069"/>
      <c r="F1" s="1070" t="s">
        <v>1255</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824</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825</v>
      </c>
      <c r="B3" s="711" t="e">
        <f ca="1">ROUND(IF(D2="——",C49,IF(C2="万元",B2*10000/D3,B2/D3)),0)</f>
        <v>#DIV/0!</v>
      </c>
      <c r="C3" s="1078" t="s">
        <v>1256</v>
      </c>
      <c r="D3" s="1079">
        <f>IF(C1="仅计算典型户型",'数据-取费表'!E5,'数据-取费表'!B5)</f>
        <v>95.95</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1257</v>
      </c>
      <c r="B4" s="713"/>
      <c r="C4" s="2983" t="s">
        <v>1258</v>
      </c>
      <c r="D4" s="2984"/>
      <c r="E4" s="2985" t="s">
        <v>1259</v>
      </c>
      <c r="F4" s="2986"/>
      <c r="G4" s="2983" t="s">
        <v>1260</v>
      </c>
      <c r="H4" s="2984"/>
      <c r="I4" s="2983" t="s">
        <v>1261</v>
      </c>
      <c r="J4" s="2984"/>
      <c r="K4" s="849" t="s">
        <v>1262</v>
      </c>
      <c r="L4" s="850"/>
      <c r="M4" s="851"/>
      <c r="N4" s="851"/>
      <c r="O4" s="851"/>
      <c r="P4" s="3014" t="s">
        <v>1263</v>
      </c>
      <c r="Q4" s="3015"/>
      <c r="R4" s="3020" t="s">
        <v>1259</v>
      </c>
      <c r="S4" s="3021"/>
      <c r="T4" s="3020" t="s">
        <v>1260</v>
      </c>
      <c r="U4" s="3021"/>
      <c r="V4" s="3026" t="s">
        <v>1261</v>
      </c>
      <c r="W4" s="3026"/>
      <c r="X4" s="888"/>
      <c r="Y4" s="3020" t="s">
        <v>1263</v>
      </c>
      <c r="Z4" s="3021"/>
      <c r="AA4" s="3011" t="s">
        <v>1259</v>
      </c>
      <c r="AB4" s="3026" t="s">
        <v>1260</v>
      </c>
      <c r="AC4" s="3011" t="s">
        <v>1261</v>
      </c>
    </row>
    <row r="5" spans="1:29" ht="15">
      <c r="A5" s="714"/>
      <c r="B5" s="715"/>
      <c r="C5" s="3056" t="s">
        <v>1264</v>
      </c>
      <c r="D5" s="2988"/>
      <c r="E5" s="3057" t="s">
        <v>1265</v>
      </c>
      <c r="F5" s="3058"/>
      <c r="G5" s="3056" t="s">
        <v>1266</v>
      </c>
      <c r="H5" s="2988"/>
      <c r="I5" s="3056" t="s">
        <v>1267</v>
      </c>
      <c r="J5" s="2988"/>
      <c r="K5" s="849"/>
      <c r="L5" s="850"/>
      <c r="M5" s="851"/>
      <c r="N5" s="851"/>
      <c r="O5" s="851"/>
      <c r="P5" s="3016"/>
      <c r="Q5" s="3017"/>
      <c r="R5" s="3022"/>
      <c r="S5" s="3023"/>
      <c r="T5" s="3022"/>
      <c r="U5" s="3023"/>
      <c r="V5" s="3026"/>
      <c r="W5" s="3026"/>
      <c r="X5" s="888"/>
      <c r="Y5" s="3022"/>
      <c r="Z5" s="3023"/>
      <c r="AA5" s="3012"/>
      <c r="AB5" s="3026"/>
      <c r="AC5" s="3012"/>
    </row>
    <row r="6" spans="1:29" ht="15">
      <c r="A6" s="716"/>
      <c r="B6" s="717"/>
      <c r="C6" s="3059" t="s">
        <v>1268</v>
      </c>
      <c r="D6" s="2990"/>
      <c r="E6" s="3060" t="s">
        <v>1268</v>
      </c>
      <c r="F6" s="3061"/>
      <c r="G6" s="3059" t="s">
        <v>1268</v>
      </c>
      <c r="H6" s="2990"/>
      <c r="I6" s="3059" t="s">
        <v>1268</v>
      </c>
      <c r="J6" s="2990"/>
      <c r="K6" s="849" t="s">
        <v>1269</v>
      </c>
      <c r="L6" s="850"/>
      <c r="M6" s="851"/>
      <c r="N6" s="851"/>
      <c r="O6" s="851"/>
      <c r="P6" s="3018"/>
      <c r="Q6" s="3019"/>
      <c r="R6" s="3022"/>
      <c r="S6" s="3023"/>
      <c r="T6" s="3024"/>
      <c r="U6" s="3025"/>
      <c r="V6" s="3026"/>
      <c r="W6" s="3026"/>
      <c r="X6" s="888"/>
      <c r="Y6" s="3024"/>
      <c r="Z6" s="3025"/>
      <c r="AA6" s="3013"/>
      <c r="AB6" s="3026"/>
      <c r="AC6" s="3013"/>
    </row>
    <row r="7" spans="1:29" s="693" customFormat="1" ht="15">
      <c r="A7" s="718" t="s">
        <v>1270</v>
      </c>
      <c r="B7" s="719"/>
      <c r="C7" s="720">
        <f>'数据-取费表'!B2</f>
        <v>43199</v>
      </c>
      <c r="D7" s="721">
        <v>100</v>
      </c>
      <c r="E7" s="722"/>
      <c r="F7" s="723">
        <f>SUMIF(58:58,YEAR(E7)&amp;"-"&amp;MONTH(E7),59:59)</f>
        <v>0</v>
      </c>
      <c r="G7" s="722"/>
      <c r="H7" s="721">
        <f>SUMIF(58:58,YEAR(G7)&amp;"-"&amp;MONTH(G7),59:59)</f>
        <v>0</v>
      </c>
      <c r="I7" s="722"/>
      <c r="J7" s="721">
        <f>SUMIF(58:58,YEAR(I7)&amp;"-"&amp;MONTH(I7),59:59)</f>
        <v>0</v>
      </c>
      <c r="K7" s="852"/>
      <c r="L7" s="853"/>
      <c r="M7" s="854"/>
      <c r="N7" s="854"/>
      <c r="O7" s="854"/>
      <c r="P7" s="2991" t="s">
        <v>1271</v>
      </c>
      <c r="Q7" s="2992"/>
      <c r="R7" s="890" t="s">
        <v>1272</v>
      </c>
      <c r="S7" s="891">
        <f t="shared" ref="S7:S15" si="0">F7</f>
        <v>0</v>
      </c>
      <c r="T7" s="890" t="s">
        <v>1272</v>
      </c>
      <c r="U7" s="891">
        <f t="shared" ref="U7:U15" si="1">H7</f>
        <v>0</v>
      </c>
      <c r="V7" s="890" t="s">
        <v>1272</v>
      </c>
      <c r="W7" s="891">
        <f t="shared" ref="W7:W15" si="2">J7</f>
        <v>0</v>
      </c>
      <c r="X7" s="892"/>
      <c r="Y7" s="2991" t="s">
        <v>1271</v>
      </c>
      <c r="Z7" s="2993"/>
      <c r="AA7" s="903" t="e">
        <f>D7/F7</f>
        <v>#DIV/0!</v>
      </c>
      <c r="AB7" s="903" t="e">
        <f>D7/H7</f>
        <v>#DIV/0!</v>
      </c>
      <c r="AC7" s="903" t="e">
        <f>D7/J7</f>
        <v>#DIV/0!</v>
      </c>
    </row>
    <row r="8" spans="1:29" s="693" customFormat="1" ht="15">
      <c r="A8" s="718" t="s">
        <v>1273</v>
      </c>
      <c r="B8" s="719"/>
      <c r="C8" s="725" t="s">
        <v>1274</v>
      </c>
      <c r="D8" s="721">
        <v>100</v>
      </c>
      <c r="E8" s="725"/>
      <c r="F8" s="723">
        <f>SUMIF(61:61,E8,62:62)-SUMIF(61:61,C8,62:62)+100</f>
        <v>0</v>
      </c>
      <c r="G8" s="725"/>
      <c r="H8" s="721">
        <f>SUMIF(61:61,G8,62:62)-SUMIF(61:61,C8,62:62)+100</f>
        <v>0</v>
      </c>
      <c r="I8" s="725"/>
      <c r="J8" s="721">
        <f>SUMIF(61:61,I8,62:62)-SUMIF(61:61,C8,62:62)+100</f>
        <v>0</v>
      </c>
      <c r="K8" s="852"/>
      <c r="L8" s="853"/>
      <c r="M8" s="854"/>
      <c r="N8" s="854"/>
      <c r="O8" s="854"/>
      <c r="P8" s="2991" t="s">
        <v>1275</v>
      </c>
      <c r="Q8" s="2993"/>
      <c r="R8" s="890" t="s">
        <v>1272</v>
      </c>
      <c r="S8" s="891">
        <f t="shared" si="0"/>
        <v>0</v>
      </c>
      <c r="T8" s="890" t="s">
        <v>1272</v>
      </c>
      <c r="U8" s="891">
        <f t="shared" si="1"/>
        <v>0</v>
      </c>
      <c r="V8" s="890" t="s">
        <v>1272</v>
      </c>
      <c r="W8" s="891">
        <f t="shared" si="2"/>
        <v>0</v>
      </c>
      <c r="X8" s="892"/>
      <c r="Y8" s="2991" t="s">
        <v>1275</v>
      </c>
      <c r="Z8" s="2993"/>
      <c r="AA8" s="903" t="e">
        <f t="shared" ref="AA8:AA46" si="3">D8/F8</f>
        <v>#DIV/0!</v>
      </c>
      <c r="AB8" s="903" t="e">
        <f t="shared" ref="AB8:AB46" si="4">D8/H8</f>
        <v>#DIV/0!</v>
      </c>
      <c r="AC8" s="903" t="e">
        <f t="shared" ref="AC8:AC46" si="5">D8/J8</f>
        <v>#DIV/0!</v>
      </c>
    </row>
    <row r="9" spans="1:29" s="693" customFormat="1">
      <c r="A9" s="726" t="s">
        <v>1276</v>
      </c>
      <c r="B9" s="727" t="s">
        <v>1277</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2996" t="s">
        <v>1278</v>
      </c>
      <c r="Q9" s="893" t="str">
        <f t="shared" ref="Q9:Q15" si="6">B9</f>
        <v>用途</v>
      </c>
      <c r="R9" s="890" t="s">
        <v>1272</v>
      </c>
      <c r="S9" s="891">
        <f t="shared" si="0"/>
        <v>100</v>
      </c>
      <c r="T9" s="890" t="s">
        <v>1272</v>
      </c>
      <c r="U9" s="891">
        <f t="shared" si="1"/>
        <v>100</v>
      </c>
      <c r="V9" s="890" t="s">
        <v>1272</v>
      </c>
      <c r="W9" s="891">
        <f t="shared" si="2"/>
        <v>100</v>
      </c>
      <c r="X9" s="892"/>
      <c r="Y9" s="2942" t="s">
        <v>1279</v>
      </c>
      <c r="Z9" s="904" t="str">
        <f t="shared" ref="Z9:Z15" si="7">Q9</f>
        <v>用途</v>
      </c>
      <c r="AA9" s="903">
        <f t="shared" si="3"/>
        <v>1</v>
      </c>
      <c r="AB9" s="903">
        <f t="shared" si="4"/>
        <v>1</v>
      </c>
      <c r="AC9" s="903">
        <f t="shared" si="5"/>
        <v>1</v>
      </c>
    </row>
    <row r="10" spans="1:29" s="694" customFormat="1" ht="27">
      <c r="A10" s="730"/>
      <c r="B10" s="731" t="s">
        <v>1280</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2996"/>
      <c r="Q10" s="893" t="str">
        <f t="shared" si="6"/>
        <v>土地使用年限（年）</v>
      </c>
      <c r="R10" s="890" t="s">
        <v>1272</v>
      </c>
      <c r="S10" s="891">
        <f t="shared" si="0"/>
        <v>100</v>
      </c>
      <c r="T10" s="890" t="s">
        <v>1272</v>
      </c>
      <c r="U10" s="891">
        <f t="shared" si="1"/>
        <v>100</v>
      </c>
      <c r="V10" s="890" t="s">
        <v>1272</v>
      </c>
      <c r="W10" s="891">
        <f t="shared" si="2"/>
        <v>100</v>
      </c>
      <c r="X10" s="892"/>
      <c r="Y10" s="2942"/>
      <c r="Z10" s="904" t="str">
        <f t="shared" si="7"/>
        <v>土地使用年限（年）</v>
      </c>
      <c r="AA10" s="903">
        <f t="shared" si="3"/>
        <v>1</v>
      </c>
      <c r="AB10" s="903">
        <f t="shared" si="4"/>
        <v>1</v>
      </c>
      <c r="AC10" s="903">
        <f t="shared" si="5"/>
        <v>1</v>
      </c>
    </row>
    <row r="11" spans="1:29" ht="15">
      <c r="A11" s="734"/>
      <c r="B11" s="731" t="s">
        <v>1281</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2996"/>
      <c r="Q11" s="893" t="str">
        <f t="shared" si="6"/>
        <v>容积率</v>
      </c>
      <c r="R11" s="890" t="s">
        <v>1272</v>
      </c>
      <c r="S11" s="891" t="e">
        <f t="shared" si="0"/>
        <v>#N/A</v>
      </c>
      <c r="T11" s="890" t="s">
        <v>1272</v>
      </c>
      <c r="U11" s="891" t="e">
        <f t="shared" si="1"/>
        <v>#N/A</v>
      </c>
      <c r="V11" s="890" t="s">
        <v>1272</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2996"/>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2996"/>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2996"/>
      <c r="Q14" s="893">
        <f t="shared" si="6"/>
        <v>111</v>
      </c>
      <c r="R14" s="890" t="s">
        <v>1272</v>
      </c>
      <c r="S14" s="891">
        <f t="shared" si="0"/>
        <v>100</v>
      </c>
      <c r="T14" s="890" t="s">
        <v>1272</v>
      </c>
      <c r="U14" s="891">
        <f t="shared" si="1"/>
        <v>100</v>
      </c>
      <c r="V14" s="890" t="s">
        <v>1272</v>
      </c>
      <c r="W14" s="891">
        <f t="shared" si="2"/>
        <v>100</v>
      </c>
      <c r="X14" s="892"/>
      <c r="Y14" s="2942"/>
      <c r="Z14" s="904">
        <f t="shared" si="7"/>
        <v>111</v>
      </c>
      <c r="AA14" s="903">
        <f t="shared" si="3"/>
        <v>1</v>
      </c>
      <c r="AB14" s="903">
        <f t="shared" si="4"/>
        <v>1</v>
      </c>
      <c r="AC14" s="903">
        <f t="shared" si="5"/>
        <v>1</v>
      </c>
    </row>
    <row r="15" spans="1:29" ht="15">
      <c r="A15" s="748" t="s">
        <v>1282</v>
      </c>
      <c r="B15" s="1085" t="s">
        <v>208</v>
      </c>
      <c r="C15" s="1251">
        <f>估价对象房地状况!C4</f>
        <v>0</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2997" t="s">
        <v>1283</v>
      </c>
      <c r="Q15" s="486" t="str">
        <f t="shared" si="6"/>
        <v>商业繁华度</v>
      </c>
      <c r="R15" s="894" t="s">
        <v>1272</v>
      </c>
      <c r="S15" s="895">
        <f t="shared" si="0"/>
        <v>100</v>
      </c>
      <c r="T15" s="894" t="s">
        <v>1272</v>
      </c>
      <c r="U15" s="895">
        <f t="shared" si="1"/>
        <v>100</v>
      </c>
      <c r="V15" s="894" t="s">
        <v>1272</v>
      </c>
      <c r="W15" s="895">
        <f t="shared" si="2"/>
        <v>100</v>
      </c>
      <c r="X15" s="888"/>
      <c r="Y15" s="3002" t="s">
        <v>1283</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2998"/>
      <c r="Q16" s="486"/>
      <c r="R16" s="894"/>
      <c r="S16" s="895"/>
      <c r="T16" s="894"/>
      <c r="U16" s="895"/>
      <c r="V16" s="894"/>
      <c r="W16" s="895"/>
      <c r="X16" s="888"/>
      <c r="Y16" s="3003"/>
      <c r="Z16" s="823"/>
      <c r="AA16" s="905">
        <v>1</v>
      </c>
      <c r="AB16" s="905">
        <v>1</v>
      </c>
      <c r="AC16" s="905">
        <v>1</v>
      </c>
    </row>
    <row r="17" spans="1:29" ht="15">
      <c r="A17" s="734"/>
      <c r="B17" s="1091" t="s">
        <v>211</v>
      </c>
      <c r="C17" s="759">
        <f>估价对象房地状况!C6</f>
        <v>0</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2998"/>
      <c r="Q17" s="486" t="str">
        <f>B17</f>
        <v>交通便捷度</v>
      </c>
      <c r="R17" s="894" t="s">
        <v>1272</v>
      </c>
      <c r="S17" s="895">
        <f>F17</f>
        <v>100</v>
      </c>
      <c r="T17" s="894" t="s">
        <v>1272</v>
      </c>
      <c r="U17" s="895">
        <f>H17</f>
        <v>100</v>
      </c>
      <c r="V17" s="894" t="s">
        <v>1272</v>
      </c>
      <c r="W17" s="895">
        <f>J17</f>
        <v>100</v>
      </c>
      <c r="X17" s="888"/>
      <c r="Y17" s="300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2998"/>
      <c r="Q18" s="486"/>
      <c r="R18" s="894"/>
      <c r="S18" s="895"/>
      <c r="T18" s="894"/>
      <c r="U18" s="895"/>
      <c r="V18" s="894"/>
      <c r="W18" s="895"/>
      <c r="X18" s="888"/>
      <c r="Y18" s="3003"/>
      <c r="Z18" s="823"/>
      <c r="AA18" s="905">
        <v>1</v>
      </c>
      <c r="AB18" s="905">
        <v>1</v>
      </c>
      <c r="AC18" s="905">
        <v>1</v>
      </c>
    </row>
    <row r="19" spans="1:29" ht="15">
      <c r="A19" s="734"/>
      <c r="B19" s="1091" t="s">
        <v>213</v>
      </c>
      <c r="C19" s="759">
        <f>估价对象房地状况!C7</f>
        <v>0</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2998"/>
      <c r="Q19" s="486" t="str">
        <f>B19</f>
        <v>公共配套设施</v>
      </c>
      <c r="R19" s="894" t="s">
        <v>1272</v>
      </c>
      <c r="S19" s="895">
        <f>F19</f>
        <v>100</v>
      </c>
      <c r="T19" s="894" t="s">
        <v>1272</v>
      </c>
      <c r="U19" s="895">
        <f>H19</f>
        <v>100</v>
      </c>
      <c r="V19" s="894" t="s">
        <v>1272</v>
      </c>
      <c r="W19" s="895">
        <f>J19</f>
        <v>100</v>
      </c>
      <c r="X19" s="888"/>
      <c r="Y19" s="3003"/>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2998"/>
      <c r="Q20" s="486"/>
      <c r="R20" s="894"/>
      <c r="S20" s="895"/>
      <c r="T20" s="894"/>
      <c r="U20" s="895"/>
      <c r="V20" s="894"/>
      <c r="W20" s="895"/>
      <c r="X20" s="888"/>
      <c r="Y20" s="3003"/>
      <c r="Z20" s="823"/>
      <c r="AA20" s="905">
        <v>1</v>
      </c>
      <c r="AB20" s="905">
        <v>1</v>
      </c>
      <c r="AC20" s="905">
        <v>1</v>
      </c>
    </row>
    <row r="21" spans="1:29" ht="15">
      <c r="A21" s="734"/>
      <c r="B21" s="1226" t="s">
        <v>214</v>
      </c>
      <c r="C21" s="759">
        <f>估价对象房地状况!C8</f>
        <v>0</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2998"/>
      <c r="Q21" s="486" t="str">
        <f>B21</f>
        <v>基础设施水平</v>
      </c>
      <c r="R21" s="894" t="s">
        <v>1272</v>
      </c>
      <c r="S21" s="895">
        <f>F21</f>
        <v>100</v>
      </c>
      <c r="T21" s="894" t="s">
        <v>1272</v>
      </c>
      <c r="U21" s="895">
        <f>H21</f>
        <v>100</v>
      </c>
      <c r="V21" s="894" t="s">
        <v>1272</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2998"/>
      <c r="Q22" s="486"/>
      <c r="R22" s="894"/>
      <c r="S22" s="895"/>
      <c r="T22" s="894"/>
      <c r="U22" s="895"/>
      <c r="V22" s="894"/>
      <c r="W22" s="895"/>
      <c r="X22" s="888"/>
      <c r="Y22" s="3003"/>
      <c r="Z22" s="823"/>
      <c r="AA22" s="905">
        <v>1</v>
      </c>
      <c r="AB22" s="905">
        <v>1</v>
      </c>
      <c r="AC22" s="905">
        <v>1</v>
      </c>
    </row>
    <row r="23" spans="1:29" ht="15">
      <c r="A23" s="734"/>
      <c r="B23" s="1091" t="s">
        <v>567</v>
      </c>
      <c r="C23" s="1252">
        <f>估价对象房地状况!C9</f>
        <v>0</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2998"/>
      <c r="Q23" s="486" t="str">
        <f>B23</f>
        <v>自然及人文环境</v>
      </c>
      <c r="R23" s="894" t="s">
        <v>1272</v>
      </c>
      <c r="S23" s="895">
        <f>F23</f>
        <v>100</v>
      </c>
      <c r="T23" s="894" t="s">
        <v>1272</v>
      </c>
      <c r="U23" s="895">
        <f>H23</f>
        <v>100</v>
      </c>
      <c r="V23" s="894" t="s">
        <v>1272</v>
      </c>
      <c r="W23" s="895">
        <f>J23</f>
        <v>100</v>
      </c>
      <c r="X23" s="888"/>
      <c r="Y23" s="3003"/>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2998"/>
      <c r="Q24" s="486"/>
      <c r="R24" s="894"/>
      <c r="S24" s="895"/>
      <c r="T24" s="894"/>
      <c r="U24" s="895"/>
      <c r="V24" s="894"/>
      <c r="W24" s="895"/>
      <c r="X24" s="888"/>
      <c r="Y24" s="3003"/>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2998"/>
      <c r="Q25" s="486" t="str">
        <f t="shared" ref="Q25:Q46" si="11">B25</f>
        <v>临街状况</v>
      </c>
      <c r="R25" s="894" t="s">
        <v>1272</v>
      </c>
      <c r="S25" s="895">
        <f>F25</f>
        <v>100</v>
      </c>
      <c r="T25" s="894" t="s">
        <v>1272</v>
      </c>
      <c r="U25" s="895">
        <f>H25</f>
        <v>100</v>
      </c>
      <c r="V25" s="894" t="s">
        <v>1272</v>
      </c>
      <c r="W25" s="895">
        <f>J25</f>
        <v>100</v>
      </c>
      <c r="X25" s="888"/>
      <c r="Y25" s="3003"/>
      <c r="Z25" s="823" t="str">
        <f>Q25</f>
        <v>临街状况</v>
      </c>
      <c r="AA25" s="905">
        <f t="shared" si="3"/>
        <v>1</v>
      </c>
      <c r="AB25" s="905">
        <f t="shared" si="4"/>
        <v>1</v>
      </c>
      <c r="AC25" s="905">
        <f t="shared" si="5"/>
        <v>1</v>
      </c>
    </row>
    <row r="26" spans="1:29" ht="15">
      <c r="A26" s="734"/>
      <c r="B26" s="1227" t="s">
        <v>1342</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2998"/>
      <c r="Q26" s="486" t="str">
        <f t="shared" si="11"/>
        <v>平面位置/可视性</v>
      </c>
      <c r="R26" s="894" t="s">
        <v>1272</v>
      </c>
      <c r="S26" s="895">
        <f>F26</f>
        <v>100</v>
      </c>
      <c r="T26" s="894" t="s">
        <v>1272</v>
      </c>
      <c r="U26" s="895">
        <f>H26</f>
        <v>100</v>
      </c>
      <c r="V26" s="894" t="s">
        <v>1272</v>
      </c>
      <c r="W26" s="895">
        <f>J26</f>
        <v>100</v>
      </c>
      <c r="X26" s="888"/>
      <c r="Y26" s="3003"/>
      <c r="Z26" s="823" t="str">
        <f>Q26</f>
        <v>平面位置/可视性</v>
      </c>
      <c r="AA26" s="905">
        <f t="shared" si="3"/>
        <v>1</v>
      </c>
      <c r="AB26" s="905">
        <f t="shared" si="4"/>
        <v>1</v>
      </c>
      <c r="AC26" s="905">
        <f t="shared" si="5"/>
        <v>1</v>
      </c>
    </row>
    <row r="27" spans="1:29" s="693" customFormat="1" ht="15">
      <c r="A27" s="737"/>
      <c r="B27" s="1091" t="s">
        <v>1343</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2998"/>
      <c r="Q27" s="893" t="str">
        <f t="shared" si="11"/>
        <v>人流量</v>
      </c>
      <c r="R27" s="890" t="s">
        <v>1272</v>
      </c>
      <c r="S27" s="891">
        <f>F27</f>
        <v>100</v>
      </c>
      <c r="T27" s="890" t="s">
        <v>1272</v>
      </c>
      <c r="U27" s="891">
        <f>H27</f>
        <v>100</v>
      </c>
      <c r="V27" s="890" t="s">
        <v>1272</v>
      </c>
      <c r="W27" s="891">
        <f>J27</f>
        <v>100</v>
      </c>
      <c r="X27" s="892"/>
      <c r="Y27" s="3003"/>
      <c r="Z27" s="904" t="str">
        <f>Q27</f>
        <v>人流量</v>
      </c>
      <c r="AA27" s="905">
        <f t="shared" si="3"/>
        <v>1</v>
      </c>
      <c r="AB27" s="905">
        <f t="shared" si="4"/>
        <v>1</v>
      </c>
      <c r="AC27" s="905">
        <f t="shared" si="5"/>
        <v>1</v>
      </c>
    </row>
    <row r="28" spans="1:29" ht="15">
      <c r="A28" s="734"/>
      <c r="B28" s="731" t="s">
        <v>1344</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2998"/>
      <c r="Q28" s="486" t="str">
        <f t="shared" si="11"/>
        <v>楼层</v>
      </c>
      <c r="R28" s="894" t="s">
        <v>1272</v>
      </c>
      <c r="S28" s="895">
        <f t="shared" ref="S28:S46" si="12">F28</f>
        <v>100</v>
      </c>
      <c r="T28" s="894" t="s">
        <v>1272</v>
      </c>
      <c r="U28" s="895">
        <f t="shared" ref="U28:U46" si="13">H28</f>
        <v>100</v>
      </c>
      <c r="V28" s="894" t="s">
        <v>1272</v>
      </c>
      <c r="W28" s="895">
        <f t="shared" ref="W28:W46" si="14">J28</f>
        <v>100</v>
      </c>
      <c r="X28" s="888"/>
      <c r="Y28" s="3003"/>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2998"/>
      <c r="Q29" s="486">
        <f t="shared" si="11"/>
        <v>111</v>
      </c>
      <c r="R29" s="894" t="s">
        <v>1272</v>
      </c>
      <c r="S29" s="895">
        <f t="shared" si="12"/>
        <v>100</v>
      </c>
      <c r="T29" s="894" t="s">
        <v>1272</v>
      </c>
      <c r="U29" s="895">
        <f t="shared" si="13"/>
        <v>100</v>
      </c>
      <c r="V29" s="894" t="s">
        <v>1272</v>
      </c>
      <c r="W29" s="895">
        <f t="shared" si="14"/>
        <v>100</v>
      </c>
      <c r="X29" s="888"/>
      <c r="Y29" s="300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2998"/>
      <c r="Q30" s="486">
        <f t="shared" si="11"/>
        <v>111</v>
      </c>
      <c r="R30" s="894" t="s">
        <v>1272</v>
      </c>
      <c r="S30" s="895">
        <f t="shared" si="12"/>
        <v>100</v>
      </c>
      <c r="T30" s="894" t="s">
        <v>1272</v>
      </c>
      <c r="U30" s="895">
        <f t="shared" si="13"/>
        <v>100</v>
      </c>
      <c r="V30" s="894" t="s">
        <v>1272</v>
      </c>
      <c r="W30" s="895">
        <f t="shared" si="14"/>
        <v>100</v>
      </c>
      <c r="X30" s="888"/>
      <c r="Y30" s="3003"/>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2998"/>
      <c r="Q31" s="486">
        <f t="shared" si="11"/>
        <v>111</v>
      </c>
      <c r="R31" s="894" t="s">
        <v>1272</v>
      </c>
      <c r="S31" s="895">
        <f t="shared" si="12"/>
        <v>100</v>
      </c>
      <c r="T31" s="894" t="s">
        <v>1272</v>
      </c>
      <c r="U31" s="895">
        <f t="shared" si="13"/>
        <v>100</v>
      </c>
      <c r="V31" s="894" t="s">
        <v>1272</v>
      </c>
      <c r="W31" s="895">
        <f t="shared" si="14"/>
        <v>100</v>
      </c>
      <c r="X31" s="888"/>
      <c r="Y31" s="3003"/>
      <c r="Z31" s="823">
        <f t="shared" si="15"/>
        <v>111</v>
      </c>
      <c r="AA31" s="905">
        <f t="shared" si="3"/>
        <v>1</v>
      </c>
      <c r="AB31" s="905">
        <f t="shared" si="4"/>
        <v>1</v>
      </c>
      <c r="AC31" s="905">
        <f t="shared" si="5"/>
        <v>1</v>
      </c>
    </row>
    <row r="32" spans="1:29" ht="15">
      <c r="A32" s="748" t="s">
        <v>1287</v>
      </c>
      <c r="B32" s="727" t="s">
        <v>1345</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2999" t="s">
        <v>1289</v>
      </c>
      <c r="Q32" s="486" t="str">
        <f t="shared" si="11"/>
        <v>商业类型</v>
      </c>
      <c r="R32" s="894" t="s">
        <v>1272</v>
      </c>
      <c r="S32" s="895">
        <f t="shared" si="12"/>
        <v>100</v>
      </c>
      <c r="T32" s="894" t="s">
        <v>1272</v>
      </c>
      <c r="U32" s="895">
        <f t="shared" si="13"/>
        <v>100</v>
      </c>
      <c r="V32" s="894" t="s">
        <v>1272</v>
      </c>
      <c r="W32" s="895">
        <f t="shared" si="14"/>
        <v>100</v>
      </c>
      <c r="X32" s="888"/>
      <c r="Y32" s="3004" t="s">
        <v>1289</v>
      </c>
      <c r="Z32" s="823" t="str">
        <f t="shared" si="15"/>
        <v>商业类型</v>
      </c>
      <c r="AA32" s="905">
        <f t="shared" si="3"/>
        <v>1</v>
      </c>
      <c r="AB32" s="905">
        <f t="shared" si="4"/>
        <v>1</v>
      </c>
      <c r="AC32" s="905">
        <f t="shared" si="5"/>
        <v>1</v>
      </c>
    </row>
    <row r="33" spans="1:29" s="695" customFormat="1" ht="15">
      <c r="A33" s="790"/>
      <c r="B33" s="731" t="s">
        <v>1290</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00"/>
      <c r="Q33" s="1137" t="str">
        <f t="shared" si="11"/>
        <v>项目建筑规模</v>
      </c>
      <c r="R33" s="896" t="s">
        <v>1272</v>
      </c>
      <c r="S33" s="897" t="e">
        <f t="shared" si="12"/>
        <v>#N/A</v>
      </c>
      <c r="T33" s="896" t="s">
        <v>1272</v>
      </c>
      <c r="U33" s="897" t="e">
        <f t="shared" si="13"/>
        <v>#N/A</v>
      </c>
      <c r="V33" s="896" t="s">
        <v>1272</v>
      </c>
      <c r="W33" s="897" t="e">
        <f t="shared" si="14"/>
        <v>#N/A</v>
      </c>
      <c r="X33" s="898"/>
      <c r="Y33" s="3004"/>
      <c r="Z33" s="906" t="str">
        <f t="shared" si="15"/>
        <v>项目建筑规模</v>
      </c>
      <c r="AA33" s="905" t="e">
        <f t="shared" si="3"/>
        <v>#N/A</v>
      </c>
      <c r="AB33" s="905" t="e">
        <f t="shared" si="4"/>
        <v>#N/A</v>
      </c>
      <c r="AC33" s="905" t="e">
        <f t="shared" si="5"/>
        <v>#N/A</v>
      </c>
    </row>
    <row r="34" spans="1:29" ht="15">
      <c r="A34" s="782"/>
      <c r="B34" s="731" t="s">
        <v>1291</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00"/>
      <c r="Q34" s="486" t="str">
        <f t="shared" si="11"/>
        <v>建筑结构</v>
      </c>
      <c r="R34" s="894" t="s">
        <v>1272</v>
      </c>
      <c r="S34" s="895">
        <f t="shared" si="12"/>
        <v>100</v>
      </c>
      <c r="T34" s="894" t="s">
        <v>1272</v>
      </c>
      <c r="U34" s="895">
        <f t="shared" si="13"/>
        <v>100</v>
      </c>
      <c r="V34" s="894" t="s">
        <v>1272</v>
      </c>
      <c r="W34" s="895">
        <f t="shared" si="14"/>
        <v>100</v>
      </c>
      <c r="X34" s="888"/>
      <c r="Y34" s="3004"/>
      <c r="Z34" s="823" t="str">
        <f t="shared" si="15"/>
        <v>建筑结构</v>
      </c>
      <c r="AA34" s="905">
        <f t="shared" si="3"/>
        <v>1</v>
      </c>
      <c r="AB34" s="905">
        <f t="shared" si="4"/>
        <v>1</v>
      </c>
      <c r="AC34" s="905">
        <f t="shared" si="5"/>
        <v>1</v>
      </c>
    </row>
    <row r="35" spans="1:29" ht="15">
      <c r="A35" s="782"/>
      <c r="B35" s="731" t="s">
        <v>1293</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00"/>
      <c r="Q35" s="486" t="str">
        <f t="shared" si="11"/>
        <v>公共部分装修</v>
      </c>
      <c r="R35" s="894" t="s">
        <v>1272</v>
      </c>
      <c r="S35" s="895">
        <f t="shared" si="12"/>
        <v>100</v>
      </c>
      <c r="T35" s="894" t="s">
        <v>1272</v>
      </c>
      <c r="U35" s="895">
        <f t="shared" si="13"/>
        <v>100</v>
      </c>
      <c r="V35" s="894" t="s">
        <v>1272</v>
      </c>
      <c r="W35" s="895">
        <f t="shared" si="14"/>
        <v>100</v>
      </c>
      <c r="X35" s="888"/>
      <c r="Y35" s="3004"/>
      <c r="Z35" s="823" t="str">
        <f t="shared" si="15"/>
        <v>公共部分装修</v>
      </c>
      <c r="AA35" s="905">
        <f t="shared" si="3"/>
        <v>1</v>
      </c>
      <c r="AB35" s="905">
        <f t="shared" si="4"/>
        <v>1</v>
      </c>
      <c r="AC35" s="905">
        <f t="shared" si="5"/>
        <v>1</v>
      </c>
    </row>
    <row r="36" spans="1:29" ht="15">
      <c r="A36" s="782"/>
      <c r="B36" s="731" t="s">
        <v>1294</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00"/>
      <c r="Q36" s="486" t="str">
        <f t="shared" si="11"/>
        <v>成新度</v>
      </c>
      <c r="R36" s="894" t="s">
        <v>1272</v>
      </c>
      <c r="S36" s="895" t="e">
        <f t="shared" si="12"/>
        <v>#N/A</v>
      </c>
      <c r="T36" s="894" t="s">
        <v>1272</v>
      </c>
      <c r="U36" s="895" t="e">
        <f t="shared" si="13"/>
        <v>#N/A</v>
      </c>
      <c r="V36" s="894" t="s">
        <v>1272</v>
      </c>
      <c r="W36" s="895" t="e">
        <f t="shared" si="14"/>
        <v>#N/A</v>
      </c>
      <c r="X36" s="888"/>
      <c r="Y36" s="3004"/>
      <c r="Z36" s="823" t="str">
        <f t="shared" si="15"/>
        <v>成新度</v>
      </c>
      <c r="AA36" s="905" t="e">
        <f t="shared" si="3"/>
        <v>#N/A</v>
      </c>
      <c r="AB36" s="905" t="e">
        <f t="shared" si="4"/>
        <v>#N/A</v>
      </c>
      <c r="AC36" s="905" t="e">
        <f t="shared" si="5"/>
        <v>#N/A</v>
      </c>
    </row>
    <row r="37" spans="1:29" s="693" customFormat="1" ht="15">
      <c r="A37" s="787"/>
      <c r="B37" s="731" t="s">
        <v>1296</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00"/>
      <c r="Q37" s="893" t="str">
        <f t="shared" si="11"/>
        <v>市政基础设施</v>
      </c>
      <c r="R37" s="890" t="s">
        <v>1272</v>
      </c>
      <c r="S37" s="891">
        <f t="shared" si="12"/>
        <v>100</v>
      </c>
      <c r="T37" s="890" t="s">
        <v>1272</v>
      </c>
      <c r="U37" s="891">
        <f t="shared" si="13"/>
        <v>100</v>
      </c>
      <c r="V37" s="890" t="s">
        <v>1272</v>
      </c>
      <c r="W37" s="891">
        <f t="shared" si="14"/>
        <v>100</v>
      </c>
      <c r="X37" s="892"/>
      <c r="Y37" s="3004"/>
      <c r="Z37" s="904" t="str">
        <f t="shared" si="15"/>
        <v>市政基础设施</v>
      </c>
      <c r="AA37" s="903">
        <f t="shared" si="3"/>
        <v>1</v>
      </c>
      <c r="AB37" s="903">
        <f t="shared" si="4"/>
        <v>1</v>
      </c>
      <c r="AC37" s="903">
        <f t="shared" si="5"/>
        <v>1</v>
      </c>
    </row>
    <row r="38" spans="1:29" ht="15">
      <c r="A38" s="782"/>
      <c r="B38" s="731" t="s">
        <v>1346</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00" t="s">
        <v>1289</v>
      </c>
      <c r="Q38" s="486" t="str">
        <f t="shared" si="11"/>
        <v>业态</v>
      </c>
      <c r="R38" s="894" t="s">
        <v>1272</v>
      </c>
      <c r="S38" s="895">
        <f t="shared" si="12"/>
        <v>100</v>
      </c>
      <c r="T38" s="894" t="s">
        <v>1272</v>
      </c>
      <c r="U38" s="895">
        <f t="shared" si="13"/>
        <v>100</v>
      </c>
      <c r="V38" s="894" t="s">
        <v>1272</v>
      </c>
      <c r="W38" s="895">
        <f t="shared" si="14"/>
        <v>100</v>
      </c>
      <c r="X38" s="888"/>
      <c r="Y38" s="3004" t="s">
        <v>1289</v>
      </c>
      <c r="Z38" s="823" t="str">
        <f t="shared" si="15"/>
        <v>业态</v>
      </c>
      <c r="AA38" s="905">
        <f t="shared" si="3"/>
        <v>1</v>
      </c>
      <c r="AB38" s="905">
        <f t="shared" si="4"/>
        <v>1</v>
      </c>
      <c r="AC38" s="905">
        <f t="shared" si="5"/>
        <v>1</v>
      </c>
    </row>
    <row r="39" spans="1:29" ht="15">
      <c r="A39" s="782"/>
      <c r="B39" s="731" t="s">
        <v>1347</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00"/>
      <c r="Q39" s="486" t="str">
        <f t="shared" si="11"/>
        <v>层高</v>
      </c>
      <c r="R39" s="894" t="s">
        <v>1272</v>
      </c>
      <c r="S39" s="895">
        <f t="shared" si="12"/>
        <v>100</v>
      </c>
      <c r="T39" s="894" t="s">
        <v>1272</v>
      </c>
      <c r="U39" s="895">
        <f t="shared" si="13"/>
        <v>100</v>
      </c>
      <c r="V39" s="894" t="s">
        <v>1272</v>
      </c>
      <c r="W39" s="895">
        <f t="shared" si="14"/>
        <v>100</v>
      </c>
      <c r="X39" s="888"/>
      <c r="Y39" s="3004"/>
      <c r="Z39" s="823" t="str">
        <f t="shared" si="15"/>
        <v>层高</v>
      </c>
      <c r="AA39" s="905">
        <f t="shared" si="3"/>
        <v>1</v>
      </c>
      <c r="AB39" s="905">
        <f t="shared" si="4"/>
        <v>1</v>
      </c>
      <c r="AC39" s="905">
        <f t="shared" si="5"/>
        <v>1</v>
      </c>
    </row>
    <row r="40" spans="1:29" ht="15">
      <c r="A40" s="782"/>
      <c r="B40" s="731" t="s">
        <v>1348</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00"/>
      <c r="Q40" s="486" t="str">
        <f t="shared" si="11"/>
        <v>单套建筑面积</v>
      </c>
      <c r="R40" s="894" t="s">
        <v>1272</v>
      </c>
      <c r="S40" s="895">
        <f t="shared" si="12"/>
        <v>100</v>
      </c>
      <c r="T40" s="894" t="s">
        <v>1272</v>
      </c>
      <c r="U40" s="895">
        <f t="shared" si="13"/>
        <v>100</v>
      </c>
      <c r="V40" s="894" t="s">
        <v>1272</v>
      </c>
      <c r="W40" s="895">
        <f t="shared" si="14"/>
        <v>100</v>
      </c>
      <c r="X40" s="888"/>
      <c r="Y40" s="3004"/>
      <c r="Z40" s="823" t="str">
        <f t="shared" si="15"/>
        <v>单套建筑面积</v>
      </c>
      <c r="AA40" s="905">
        <f t="shared" si="3"/>
        <v>1</v>
      </c>
      <c r="AB40" s="905">
        <f t="shared" si="4"/>
        <v>1</v>
      </c>
      <c r="AC40" s="905">
        <f t="shared" si="5"/>
        <v>1</v>
      </c>
    </row>
    <row r="41" spans="1:29" s="695" customFormat="1" ht="15">
      <c r="A41" s="790"/>
      <c r="B41" s="878" t="s">
        <v>1349</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00"/>
      <c r="Q41" s="1137" t="str">
        <f t="shared" si="11"/>
        <v>进深比</v>
      </c>
      <c r="R41" s="896" t="s">
        <v>1272</v>
      </c>
      <c r="S41" s="897">
        <f t="shared" si="12"/>
        <v>100</v>
      </c>
      <c r="T41" s="896" t="s">
        <v>1272</v>
      </c>
      <c r="U41" s="897">
        <f t="shared" si="13"/>
        <v>100</v>
      </c>
      <c r="V41" s="896" t="s">
        <v>1272</v>
      </c>
      <c r="W41" s="897">
        <f t="shared" si="14"/>
        <v>100</v>
      </c>
      <c r="X41" s="898"/>
      <c r="Y41" s="3004"/>
      <c r="Z41" s="906" t="str">
        <f t="shared" si="15"/>
        <v>进深比</v>
      </c>
      <c r="AA41" s="905">
        <f t="shared" si="3"/>
        <v>1</v>
      </c>
      <c r="AB41" s="905">
        <f t="shared" si="4"/>
        <v>1</v>
      </c>
      <c r="AC41" s="905">
        <f t="shared" si="5"/>
        <v>1</v>
      </c>
    </row>
    <row r="42" spans="1:29" ht="15">
      <c r="A42" s="782"/>
      <c r="B42" s="731" t="s">
        <v>1299</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00"/>
      <c r="Q42" s="486" t="str">
        <f t="shared" si="11"/>
        <v>内部装修</v>
      </c>
      <c r="R42" s="894" t="s">
        <v>1272</v>
      </c>
      <c r="S42" s="895">
        <f t="shared" si="12"/>
        <v>100</v>
      </c>
      <c r="T42" s="894" t="s">
        <v>1272</v>
      </c>
      <c r="U42" s="895">
        <f t="shared" si="13"/>
        <v>100</v>
      </c>
      <c r="V42" s="894" t="s">
        <v>1272</v>
      </c>
      <c r="W42" s="895">
        <f t="shared" si="14"/>
        <v>100</v>
      </c>
      <c r="X42" s="888"/>
      <c r="Y42" s="3004"/>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00"/>
      <c r="Q43" s="486" t="str">
        <f t="shared" si="11"/>
        <v>内部装修维护情况</v>
      </c>
      <c r="R43" s="894" t="s">
        <v>1272</v>
      </c>
      <c r="S43" s="895">
        <f t="shared" si="12"/>
        <v>100</v>
      </c>
      <c r="T43" s="894" t="s">
        <v>1272</v>
      </c>
      <c r="U43" s="895">
        <f t="shared" si="13"/>
        <v>100</v>
      </c>
      <c r="V43" s="894" t="s">
        <v>1272</v>
      </c>
      <c r="W43" s="895">
        <f t="shared" si="14"/>
        <v>100</v>
      </c>
      <c r="X43" s="888"/>
      <c r="Y43" s="300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00"/>
      <c r="Q44" s="893">
        <f t="shared" si="11"/>
        <v>111</v>
      </c>
      <c r="R44" s="890" t="s">
        <v>1272</v>
      </c>
      <c r="S44" s="891">
        <f t="shared" si="12"/>
        <v>100</v>
      </c>
      <c r="T44" s="890" t="s">
        <v>1272</v>
      </c>
      <c r="U44" s="891">
        <f t="shared" si="13"/>
        <v>100</v>
      </c>
      <c r="V44" s="890" t="s">
        <v>1272</v>
      </c>
      <c r="W44" s="891">
        <f t="shared" si="14"/>
        <v>100</v>
      </c>
      <c r="X44" s="892"/>
      <c r="Y44" s="300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00"/>
      <c r="Q45" s="486">
        <f t="shared" si="11"/>
        <v>111</v>
      </c>
      <c r="R45" s="894" t="s">
        <v>1272</v>
      </c>
      <c r="S45" s="895">
        <f t="shared" si="12"/>
        <v>100</v>
      </c>
      <c r="T45" s="894" t="s">
        <v>1272</v>
      </c>
      <c r="U45" s="895">
        <f t="shared" si="13"/>
        <v>100</v>
      </c>
      <c r="V45" s="894" t="s">
        <v>1272</v>
      </c>
      <c r="W45" s="895">
        <f t="shared" si="14"/>
        <v>100</v>
      </c>
      <c r="X45" s="888"/>
      <c r="Y45" s="3004"/>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01"/>
      <c r="Q46" s="486">
        <f t="shared" si="11"/>
        <v>111</v>
      </c>
      <c r="R46" s="894" t="s">
        <v>1272</v>
      </c>
      <c r="S46" s="895">
        <f t="shared" si="12"/>
        <v>100</v>
      </c>
      <c r="T46" s="894" t="s">
        <v>1272</v>
      </c>
      <c r="U46" s="895">
        <f t="shared" si="13"/>
        <v>100</v>
      </c>
      <c r="V46" s="894" t="s">
        <v>1272</v>
      </c>
      <c r="W46" s="895">
        <f t="shared" si="14"/>
        <v>100</v>
      </c>
      <c r="X46" s="888"/>
      <c r="Y46" s="3005"/>
      <c r="Z46" s="823">
        <f t="shared" si="15"/>
        <v>111</v>
      </c>
      <c r="AA46" s="905">
        <f t="shared" si="3"/>
        <v>1</v>
      </c>
      <c r="AB46" s="905">
        <f t="shared" si="4"/>
        <v>1</v>
      </c>
      <c r="AC46" s="905">
        <f t="shared" si="5"/>
        <v>1</v>
      </c>
    </row>
    <row r="47" spans="1:29" ht="15">
      <c r="A47" s="792" t="s">
        <v>1300</v>
      </c>
      <c r="B47" s="1108"/>
      <c r="C47" s="1109" t="s">
        <v>121</v>
      </c>
      <c r="D47" s="1110"/>
      <c r="E47" s="1111"/>
      <c r="F47" s="1112"/>
      <c r="G47" s="1113"/>
      <c r="H47" s="1114"/>
      <c r="I47" s="1111"/>
      <c r="J47" s="1114"/>
      <c r="K47" s="874"/>
      <c r="L47" s="875"/>
      <c r="M47" s="809"/>
      <c r="N47" s="851"/>
      <c r="O47" s="809"/>
      <c r="P47" s="2994" t="str">
        <f>A47</f>
        <v>成交单价（元/平方米）</v>
      </c>
      <c r="Q47" s="2994"/>
      <c r="R47" s="2995">
        <f>E47</f>
        <v>0</v>
      </c>
      <c r="S47" s="2995"/>
      <c r="T47" s="2995">
        <f>G47</f>
        <v>0</v>
      </c>
      <c r="U47" s="2995"/>
      <c r="V47" s="2995">
        <f>I47</f>
        <v>0</v>
      </c>
      <c r="W47" s="2995"/>
      <c r="X47" s="839"/>
      <c r="Y47" s="907"/>
      <c r="Z47" s="839"/>
      <c r="AA47" s="839"/>
      <c r="AB47" s="839"/>
      <c r="AC47" s="839"/>
    </row>
    <row r="48" spans="1:29" ht="15">
      <c r="A48" s="800" t="s">
        <v>1301</v>
      </c>
      <c r="B48" s="1115"/>
      <c r="C48" s="1116" t="e">
        <f>R49</f>
        <v>#DIV/0!</v>
      </c>
      <c r="D48" s="1117"/>
      <c r="E48" s="1118" t="e">
        <f>R48</f>
        <v>#DIV/0!</v>
      </c>
      <c r="F48" s="1118"/>
      <c r="G48" s="1116" t="e">
        <f>T48</f>
        <v>#DIV/0!</v>
      </c>
      <c r="H48" s="1117"/>
      <c r="I48" s="1118" t="e">
        <f>V48</f>
        <v>#DIV/0!</v>
      </c>
      <c r="J48" s="1117"/>
      <c r="K48" s="876"/>
      <c r="L48" s="875"/>
      <c r="M48" s="809"/>
      <c r="N48" s="851"/>
      <c r="O48" s="809"/>
      <c r="P48" s="2994" t="str">
        <f>A48</f>
        <v>比较价值（元/平方米）</v>
      </c>
      <c r="Q48" s="2994"/>
      <c r="R48" s="2995" t="e">
        <f>IF(E1="售价",ROUND(PRODUCT(R47,AA7:AA46),0),ROUND(PRODUCT(R47,AA7:AA46),1))</f>
        <v>#DIV/0!</v>
      </c>
      <c r="S48" s="2995"/>
      <c r="T48" s="2995" t="e">
        <f>IF(E1="售价",ROUND(PRODUCT(T47,AB7:AB46),0),ROUND(PRODUCT(T47,AB7:AB46),1))</f>
        <v>#DIV/0!</v>
      </c>
      <c r="U48" s="2995"/>
      <c r="V48" s="2995" t="e">
        <f>IF(E1="售价",ROUND(PRODUCT(V47,AC7:AC46),0),ROUND(PRODUCT(V47,AC7:AC46),1))</f>
        <v>#DIV/0!</v>
      </c>
      <c r="W48" s="2995"/>
      <c r="X48" s="839"/>
      <c r="Y48" s="839"/>
      <c r="Z48" s="839"/>
      <c r="AA48" s="839"/>
      <c r="AB48" s="839"/>
      <c r="AC48" s="839"/>
    </row>
    <row r="49" spans="1:29" ht="15">
      <c r="A49" s="806" t="s">
        <v>1350</v>
      </c>
      <c r="B49" s="807"/>
      <c r="C49" s="1119" t="e">
        <f>R49</f>
        <v>#DIV/0!</v>
      </c>
      <c r="D49" s="1119"/>
      <c r="E49" s="1119"/>
      <c r="F49" s="1119"/>
      <c r="G49" s="1119"/>
      <c r="H49" s="1119"/>
      <c r="I49" s="1119"/>
      <c r="J49" s="1119"/>
      <c r="K49" s="877"/>
      <c r="L49" s="875"/>
      <c r="M49" s="809"/>
      <c r="N49" s="851"/>
      <c r="O49" s="809"/>
      <c r="P49" s="3008" t="str">
        <f>A49</f>
        <v>估价对象XX用房的比较价值（楼面单价，元/平方米）</v>
      </c>
      <c r="Q49" s="3009"/>
      <c r="R49" s="3010" t="e">
        <f>IF(E1="售价",ROUND(AVERAGE(R48:V48),0),ROUND(AVERAGE(R48:V48),1))</f>
        <v>#DIV/0!</v>
      </c>
      <c r="S49" s="3010"/>
      <c r="T49" s="3010"/>
      <c r="U49" s="3010"/>
      <c r="V49" s="3010"/>
      <c r="W49" s="3010"/>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1303</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1304</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1305</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1306</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1270</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1307</v>
      </c>
      <c r="B60" s="915"/>
      <c r="C60" s="916"/>
      <c r="D60" s="917"/>
      <c r="E60" s="917"/>
      <c r="F60" s="917"/>
      <c r="G60" s="917"/>
      <c r="H60" s="917"/>
      <c r="I60" s="917"/>
      <c r="J60" s="917"/>
      <c r="K60" s="917"/>
      <c r="L60" s="917"/>
      <c r="M60" s="966"/>
      <c r="N60" s="917"/>
      <c r="O60" s="966"/>
      <c r="P60" s="1264"/>
      <c r="Q60" s="899"/>
    </row>
    <row r="61" spans="1:29" s="693" customFormat="1" ht="15">
      <c r="A61" s="918" t="s">
        <v>1273</v>
      </c>
      <c r="B61" s="919"/>
      <c r="C61" s="920" t="s">
        <v>1274</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1308</v>
      </c>
      <c r="B63" s="925" t="s">
        <v>1277</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1280</v>
      </c>
      <c r="C65" s="930" t="s">
        <v>1309</v>
      </c>
      <c r="D65" s="930" t="s">
        <v>1310</v>
      </c>
      <c r="E65" s="930" t="s">
        <v>1311</v>
      </c>
      <c r="F65" s="930" t="s">
        <v>1312</v>
      </c>
      <c r="G65" s="930" t="s">
        <v>1313</v>
      </c>
      <c r="H65" s="930" t="s">
        <v>1314</v>
      </c>
      <c r="I65" s="930" t="s">
        <v>1315</v>
      </c>
      <c r="J65" s="930"/>
      <c r="K65" s="980"/>
      <c r="L65" s="981"/>
      <c r="M65" s="982"/>
      <c r="N65" s="976"/>
      <c r="O65" s="976"/>
      <c r="P65" s="1266"/>
      <c r="Q65" s="899"/>
    </row>
    <row r="66" spans="1:17" ht="15">
      <c r="A66" s="926"/>
      <c r="B66" s="931"/>
      <c r="C66" s="932" t="s">
        <v>1351</v>
      </c>
      <c r="D66" s="932" t="s">
        <v>1351</v>
      </c>
      <c r="E66" s="932" t="s">
        <v>1351</v>
      </c>
      <c r="F66" s="932">
        <v>100</v>
      </c>
      <c r="G66" s="932">
        <f>F66-$K10</f>
        <v>100</v>
      </c>
      <c r="H66" s="932">
        <f>G66-$K10</f>
        <v>100</v>
      </c>
      <c r="I66" s="932">
        <f>H66-$K10</f>
        <v>100</v>
      </c>
      <c r="J66" s="932"/>
      <c r="K66" s="932"/>
      <c r="L66" s="932"/>
      <c r="M66" s="983"/>
      <c r="N66" s="979"/>
      <c r="O66" s="979"/>
      <c r="P66" s="1266"/>
      <c r="Q66" s="899"/>
    </row>
    <row r="67" spans="1:17" ht="15">
      <c r="A67" s="926"/>
      <c r="B67" s="933" t="s">
        <v>1281</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1282</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1316</v>
      </c>
      <c r="D82" s="930" t="s">
        <v>1317</v>
      </c>
      <c r="E82" s="930" t="s">
        <v>1318</v>
      </c>
      <c r="F82" s="930" t="s">
        <v>1319</v>
      </c>
      <c r="G82" s="930" t="s">
        <v>1320</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567</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1287</v>
      </c>
      <c r="B100" s="925" t="s">
        <v>1345</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1290</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1291</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1293</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1294</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1296</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1346</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1347</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1348</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1352</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1299</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1253</v>
      </c>
      <c r="B1" s="1128" t="s">
        <v>1353</v>
      </c>
      <c r="C1" s="1223"/>
      <c r="D1" s="1068"/>
      <c r="E1" s="1069"/>
      <c r="F1" s="1070" t="s">
        <v>1255</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824</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825</v>
      </c>
      <c r="B3" s="711" t="e">
        <f ca="1">ROUND(IF(D2="——",C50,IF(C2="万元",B2*10000/D3,B2/D3)),0)</f>
        <v>#DIV/0!</v>
      </c>
      <c r="C3" s="1078" t="s">
        <v>1256</v>
      </c>
      <c r="D3" s="1079">
        <f>IF(C1="仅计算典型户型",'数据-取费表'!E5,'数据-取费表'!B5)</f>
        <v>95.95</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1257</v>
      </c>
      <c r="B4" s="713"/>
      <c r="C4" s="2983" t="s">
        <v>1258</v>
      </c>
      <c r="D4" s="2984"/>
      <c r="E4" s="2985" t="s">
        <v>1259</v>
      </c>
      <c r="F4" s="2986"/>
      <c r="G4" s="2983" t="s">
        <v>1260</v>
      </c>
      <c r="H4" s="2984"/>
      <c r="I4" s="2983" t="s">
        <v>1261</v>
      </c>
      <c r="J4" s="2984"/>
      <c r="K4" s="849" t="s">
        <v>1262</v>
      </c>
      <c r="L4" s="850"/>
      <c r="M4" s="851"/>
      <c r="N4" s="851"/>
      <c r="O4" s="851"/>
      <c r="P4" s="3066" t="s">
        <v>1263</v>
      </c>
      <c r="Q4" s="3015"/>
      <c r="R4" s="3020" t="s">
        <v>1259</v>
      </c>
      <c r="S4" s="3021"/>
      <c r="T4" s="3020" t="s">
        <v>1260</v>
      </c>
      <c r="U4" s="3021"/>
      <c r="V4" s="3026" t="s">
        <v>1261</v>
      </c>
      <c r="W4" s="3026"/>
      <c r="X4" s="888"/>
      <c r="Y4" s="3020" t="s">
        <v>1263</v>
      </c>
      <c r="Z4" s="3021"/>
      <c r="AA4" s="3011" t="s">
        <v>1259</v>
      </c>
      <c r="AB4" s="3011" t="s">
        <v>1260</v>
      </c>
      <c r="AC4" s="3011" t="s">
        <v>1261</v>
      </c>
    </row>
    <row r="5" spans="1:29" ht="15">
      <c r="A5" s="714"/>
      <c r="B5" s="715"/>
      <c r="C5" s="3056" t="s">
        <v>1264</v>
      </c>
      <c r="D5" s="2988"/>
      <c r="E5" s="3057" t="s">
        <v>1265</v>
      </c>
      <c r="F5" s="3058"/>
      <c r="G5" s="3056" t="s">
        <v>1266</v>
      </c>
      <c r="H5" s="2988"/>
      <c r="I5" s="3056" t="s">
        <v>1267</v>
      </c>
      <c r="J5" s="2988"/>
      <c r="K5" s="849"/>
      <c r="L5" s="850"/>
      <c r="M5" s="851"/>
      <c r="N5" s="851"/>
      <c r="O5" s="851"/>
      <c r="P5" s="3067"/>
      <c r="Q5" s="3017"/>
      <c r="R5" s="3022"/>
      <c r="S5" s="3023"/>
      <c r="T5" s="3022"/>
      <c r="U5" s="3023"/>
      <c r="V5" s="3026"/>
      <c r="W5" s="3026"/>
      <c r="X5" s="888"/>
      <c r="Y5" s="3022"/>
      <c r="Z5" s="3023"/>
      <c r="AA5" s="3012"/>
      <c r="AB5" s="3012"/>
      <c r="AC5" s="3012"/>
    </row>
    <row r="6" spans="1:29" ht="15">
      <c r="A6" s="716"/>
      <c r="B6" s="717"/>
      <c r="C6" s="3059" t="s">
        <v>1268</v>
      </c>
      <c r="D6" s="2990"/>
      <c r="E6" s="3060" t="s">
        <v>1268</v>
      </c>
      <c r="F6" s="3061"/>
      <c r="G6" s="3059" t="s">
        <v>1268</v>
      </c>
      <c r="H6" s="2990"/>
      <c r="I6" s="3059" t="s">
        <v>1268</v>
      </c>
      <c r="J6" s="2990"/>
      <c r="K6" s="849" t="s">
        <v>1269</v>
      </c>
      <c r="L6" s="850"/>
      <c r="M6" s="851"/>
      <c r="N6" s="851"/>
      <c r="O6" s="851"/>
      <c r="P6" s="3068"/>
      <c r="Q6" s="3019"/>
      <c r="R6" s="3022"/>
      <c r="S6" s="3023"/>
      <c r="T6" s="3024"/>
      <c r="U6" s="3025"/>
      <c r="V6" s="3026"/>
      <c r="W6" s="3026"/>
      <c r="X6" s="888"/>
      <c r="Y6" s="3024"/>
      <c r="Z6" s="3025"/>
      <c r="AA6" s="3013"/>
      <c r="AB6" s="3013"/>
      <c r="AC6" s="3013"/>
    </row>
    <row r="7" spans="1:29" s="693" customFormat="1" ht="15">
      <c r="A7" s="718" t="s">
        <v>1270</v>
      </c>
      <c r="B7" s="719"/>
      <c r="C7" s="720">
        <f>'数据-取费表'!B2</f>
        <v>43199</v>
      </c>
      <c r="D7" s="721">
        <v>100</v>
      </c>
      <c r="E7" s="722"/>
      <c r="F7" s="723">
        <f>SUMIF(59:59,YEAR(E7)&amp;"-"&amp;MONTH(E7),60:60)</f>
        <v>0</v>
      </c>
      <c r="G7" s="724"/>
      <c r="H7" s="721">
        <f>SUMIF(59:59,YEAR(G7)&amp;"-"&amp;MONTH(G7),60:60)</f>
        <v>0</v>
      </c>
      <c r="I7" s="724"/>
      <c r="J7" s="721">
        <f>SUMIF(59:59,YEAR(I7)&amp;"-"&amp;MONTH(I7),60:60)</f>
        <v>0</v>
      </c>
      <c r="K7" s="852"/>
      <c r="L7" s="853"/>
      <c r="M7" s="854"/>
      <c r="N7" s="854"/>
      <c r="O7" s="854"/>
      <c r="P7" s="2992" t="s">
        <v>1271</v>
      </c>
      <c r="Q7" s="2992"/>
      <c r="R7" s="890" t="s">
        <v>1272</v>
      </c>
      <c r="S7" s="891">
        <f t="shared" ref="S7:S15" si="0">F7</f>
        <v>0</v>
      </c>
      <c r="T7" s="890" t="s">
        <v>1272</v>
      </c>
      <c r="U7" s="891">
        <f t="shared" ref="U7:U15" si="1">H7</f>
        <v>0</v>
      </c>
      <c r="V7" s="890" t="s">
        <v>1272</v>
      </c>
      <c r="W7" s="891">
        <f t="shared" ref="W7:W15" si="2">J7</f>
        <v>0</v>
      </c>
      <c r="X7" s="892"/>
      <c r="Y7" s="2991" t="s">
        <v>1271</v>
      </c>
      <c r="Z7" s="2993"/>
      <c r="AA7" s="903" t="e">
        <f>D7/F7</f>
        <v>#DIV/0!</v>
      </c>
      <c r="AB7" s="903" t="e">
        <f>D7/H7</f>
        <v>#DIV/0!</v>
      </c>
      <c r="AC7" s="903" t="e">
        <f>D7/J7</f>
        <v>#DIV/0!</v>
      </c>
    </row>
    <row r="8" spans="1:29" s="693" customFormat="1" ht="15">
      <c r="A8" s="718" t="s">
        <v>1273</v>
      </c>
      <c r="B8" s="719"/>
      <c r="C8" s="725" t="s">
        <v>1274</v>
      </c>
      <c r="D8" s="721">
        <v>100</v>
      </c>
      <c r="E8" s="725"/>
      <c r="F8" s="723">
        <f>SUMIF(62:62,E8,63:63)-SUMIF(62:62,C8,63:63)+100</f>
        <v>0</v>
      </c>
      <c r="G8" s="725"/>
      <c r="H8" s="721">
        <f>SUMIF(62:62,G8,63:63)-SUMIF(62:62,C8,63:63)+100</f>
        <v>0</v>
      </c>
      <c r="I8" s="725"/>
      <c r="J8" s="721">
        <f>SUMIF(62:62,I8,63:63)-SUMIF(62:62,C8,63:63)+100</f>
        <v>0</v>
      </c>
      <c r="K8" s="852"/>
      <c r="L8" s="853"/>
      <c r="M8" s="854"/>
      <c r="N8" s="854"/>
      <c r="O8" s="854"/>
      <c r="P8" s="2992" t="s">
        <v>1275</v>
      </c>
      <c r="Q8" s="2993"/>
      <c r="R8" s="890" t="s">
        <v>1272</v>
      </c>
      <c r="S8" s="891">
        <f t="shared" si="0"/>
        <v>0</v>
      </c>
      <c r="T8" s="890" t="s">
        <v>1272</v>
      </c>
      <c r="U8" s="891">
        <f t="shared" si="1"/>
        <v>0</v>
      </c>
      <c r="V8" s="890" t="s">
        <v>1272</v>
      </c>
      <c r="W8" s="891">
        <f t="shared" si="2"/>
        <v>0</v>
      </c>
      <c r="X8" s="892"/>
      <c r="Y8" s="2991" t="s">
        <v>1275</v>
      </c>
      <c r="Z8" s="2993"/>
      <c r="AA8" s="903" t="e">
        <f t="shared" ref="AA8:AA47" si="3">D8/F8</f>
        <v>#DIV/0!</v>
      </c>
      <c r="AB8" s="903" t="e">
        <f t="shared" ref="AB8:AB47" si="4">D8/H8</f>
        <v>#DIV/0!</v>
      </c>
      <c r="AC8" s="903" t="e">
        <f t="shared" ref="AC8:AC47" si="5">D8/J8</f>
        <v>#DIV/0!</v>
      </c>
    </row>
    <row r="9" spans="1:29" s="693" customFormat="1">
      <c r="A9" s="726" t="s">
        <v>1276</v>
      </c>
      <c r="B9" s="727" t="s">
        <v>1277</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09" t="s">
        <v>1278</v>
      </c>
      <c r="Q9" s="893" t="str">
        <f t="shared" ref="Q9:Q15" si="6">B9</f>
        <v>用途</v>
      </c>
      <c r="R9" s="890" t="s">
        <v>1272</v>
      </c>
      <c r="S9" s="891">
        <f t="shared" si="0"/>
        <v>100</v>
      </c>
      <c r="T9" s="890" t="s">
        <v>1272</v>
      </c>
      <c r="U9" s="891">
        <f t="shared" si="1"/>
        <v>100</v>
      </c>
      <c r="V9" s="890" t="s">
        <v>1272</v>
      </c>
      <c r="W9" s="891">
        <f t="shared" si="2"/>
        <v>100</v>
      </c>
      <c r="X9" s="892"/>
      <c r="Y9" s="2942" t="s">
        <v>1279</v>
      </c>
      <c r="Z9" s="904" t="str">
        <f t="shared" ref="Z9:Z15" si="7">Q9</f>
        <v>用途</v>
      </c>
      <c r="AA9" s="903">
        <f t="shared" si="3"/>
        <v>1</v>
      </c>
      <c r="AB9" s="903">
        <f t="shared" si="4"/>
        <v>1</v>
      </c>
      <c r="AC9" s="903">
        <f t="shared" si="5"/>
        <v>1</v>
      </c>
    </row>
    <row r="10" spans="1:29" s="694" customFormat="1" ht="27">
      <c r="A10" s="730"/>
      <c r="B10" s="731" t="s">
        <v>1280</v>
      </c>
      <c r="C10" s="1082" t="s">
        <v>1354</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09"/>
      <c r="Q10" s="893" t="str">
        <f t="shared" si="6"/>
        <v>土地使用年限（年）</v>
      </c>
      <c r="R10" s="890" t="s">
        <v>1272</v>
      </c>
      <c r="S10" s="891">
        <f t="shared" si="0"/>
        <v>100</v>
      </c>
      <c r="T10" s="890" t="s">
        <v>1272</v>
      </c>
      <c r="U10" s="891">
        <f t="shared" si="1"/>
        <v>100</v>
      </c>
      <c r="V10" s="890" t="s">
        <v>1272</v>
      </c>
      <c r="W10" s="891">
        <f t="shared" si="2"/>
        <v>100</v>
      </c>
      <c r="X10" s="892"/>
      <c r="Y10" s="2942"/>
      <c r="Z10" s="904" t="str">
        <f t="shared" si="7"/>
        <v>土地使用年限（年）</v>
      </c>
      <c r="AA10" s="903">
        <f t="shared" si="3"/>
        <v>1</v>
      </c>
      <c r="AB10" s="903">
        <f t="shared" si="4"/>
        <v>1</v>
      </c>
      <c r="AC10" s="903">
        <f t="shared" si="5"/>
        <v>1</v>
      </c>
    </row>
    <row r="11" spans="1:29" ht="15">
      <c r="A11" s="734"/>
      <c r="B11" s="731" t="s">
        <v>1281</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09"/>
      <c r="Q11" s="893" t="str">
        <f t="shared" si="6"/>
        <v>容积率</v>
      </c>
      <c r="R11" s="890" t="s">
        <v>1272</v>
      </c>
      <c r="S11" s="891" t="e">
        <f t="shared" si="0"/>
        <v>#N/A</v>
      </c>
      <c r="T11" s="890" t="s">
        <v>1272</v>
      </c>
      <c r="U11" s="891" t="e">
        <f t="shared" si="1"/>
        <v>#N/A</v>
      </c>
      <c r="V11" s="890" t="s">
        <v>1272</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09"/>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09"/>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09"/>
      <c r="Q14" s="893">
        <f t="shared" si="6"/>
        <v>111</v>
      </c>
      <c r="R14" s="890" t="s">
        <v>1272</v>
      </c>
      <c r="S14" s="891">
        <f t="shared" si="0"/>
        <v>100</v>
      </c>
      <c r="T14" s="890" t="s">
        <v>1272</v>
      </c>
      <c r="U14" s="891">
        <f t="shared" si="1"/>
        <v>100</v>
      </c>
      <c r="V14" s="890" t="s">
        <v>1272</v>
      </c>
      <c r="W14" s="891">
        <f t="shared" si="2"/>
        <v>100</v>
      </c>
      <c r="X14" s="892"/>
      <c r="Y14" s="2942"/>
      <c r="Z14" s="904">
        <f t="shared" si="7"/>
        <v>111</v>
      </c>
      <c r="AA14" s="903">
        <f t="shared" si="3"/>
        <v>1</v>
      </c>
      <c r="AB14" s="903">
        <f t="shared" si="4"/>
        <v>1</v>
      </c>
      <c r="AC14" s="903">
        <f t="shared" si="5"/>
        <v>1</v>
      </c>
    </row>
    <row r="15" spans="1:29" ht="15">
      <c r="A15" s="748" t="s">
        <v>1282</v>
      </c>
      <c r="B15" s="749" t="s">
        <v>209</v>
      </c>
      <c r="C15" s="1028">
        <f>估价对象房地状况!C5</f>
        <v>0</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15" t="s">
        <v>1283</v>
      </c>
      <c r="Q15" s="486" t="str">
        <f t="shared" si="6"/>
        <v>办公集聚程度</v>
      </c>
      <c r="R15" s="894" t="s">
        <v>1272</v>
      </c>
      <c r="S15" s="895">
        <f t="shared" si="0"/>
        <v>100</v>
      </c>
      <c r="T15" s="894" t="s">
        <v>1272</v>
      </c>
      <c r="U15" s="895">
        <f t="shared" si="1"/>
        <v>100</v>
      </c>
      <c r="V15" s="894" t="s">
        <v>1272</v>
      </c>
      <c r="W15" s="895">
        <f t="shared" si="2"/>
        <v>100</v>
      </c>
      <c r="X15" s="888"/>
      <c r="Y15" s="3002" t="s">
        <v>1283</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17"/>
      <c r="Q16" s="486"/>
      <c r="R16" s="894"/>
      <c r="S16" s="895"/>
      <c r="T16" s="894"/>
      <c r="U16" s="895"/>
      <c r="V16" s="894"/>
      <c r="W16" s="895"/>
      <c r="X16" s="888"/>
      <c r="Y16" s="3003"/>
      <c r="Z16" s="823"/>
      <c r="AA16" s="905">
        <v>1</v>
      </c>
      <c r="AB16" s="905">
        <v>1</v>
      </c>
      <c r="AC16" s="905">
        <v>1</v>
      </c>
    </row>
    <row r="17" spans="1:29" ht="15">
      <c r="A17" s="734"/>
      <c r="B17" s="758" t="s">
        <v>211</v>
      </c>
      <c r="C17" s="1036">
        <f>估价对象房地状况!C6</f>
        <v>0</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17"/>
      <c r="Q17" s="486" t="str">
        <f>B17</f>
        <v>交通便捷度</v>
      </c>
      <c r="R17" s="894" t="s">
        <v>1272</v>
      </c>
      <c r="S17" s="895">
        <f>F17</f>
        <v>100</v>
      </c>
      <c r="T17" s="894" t="s">
        <v>1272</v>
      </c>
      <c r="U17" s="895">
        <f>H17</f>
        <v>100</v>
      </c>
      <c r="V17" s="894" t="s">
        <v>1272</v>
      </c>
      <c r="W17" s="895">
        <f>J17</f>
        <v>100</v>
      </c>
      <c r="X17" s="888"/>
      <c r="Y17" s="3003"/>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17"/>
      <c r="Q18" s="486"/>
      <c r="R18" s="894"/>
      <c r="S18" s="895"/>
      <c r="T18" s="894"/>
      <c r="U18" s="895"/>
      <c r="V18" s="894"/>
      <c r="W18" s="895"/>
      <c r="X18" s="888"/>
      <c r="Y18" s="3003"/>
      <c r="Z18" s="823"/>
      <c r="AA18" s="905">
        <v>1</v>
      </c>
      <c r="AB18" s="905">
        <v>1</v>
      </c>
      <c r="AC18" s="905">
        <v>1</v>
      </c>
    </row>
    <row r="19" spans="1:29" ht="15">
      <c r="A19" s="734"/>
      <c r="B19" s="758" t="s">
        <v>213</v>
      </c>
      <c r="C19" s="1036">
        <f>估价对象房地状况!C7</f>
        <v>0</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17"/>
      <c r="Q19" s="486" t="str">
        <f>B19</f>
        <v>公共配套设施</v>
      </c>
      <c r="R19" s="894" t="s">
        <v>1272</v>
      </c>
      <c r="S19" s="895">
        <f>F19</f>
        <v>100</v>
      </c>
      <c r="T19" s="894" t="s">
        <v>1272</v>
      </c>
      <c r="U19" s="895">
        <f>H19</f>
        <v>100</v>
      </c>
      <c r="V19" s="894" t="s">
        <v>1272</v>
      </c>
      <c r="W19" s="895">
        <f>J19</f>
        <v>100</v>
      </c>
      <c r="X19" s="888"/>
      <c r="Y19" s="3003"/>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17"/>
      <c r="Q20" s="486"/>
      <c r="R20" s="894"/>
      <c r="S20" s="895"/>
      <c r="T20" s="894"/>
      <c r="U20" s="895"/>
      <c r="V20" s="894"/>
      <c r="W20" s="895"/>
      <c r="X20" s="888"/>
      <c r="Y20" s="3003"/>
      <c r="Z20" s="823"/>
      <c r="AA20" s="905">
        <v>1</v>
      </c>
      <c r="AB20" s="905">
        <v>1</v>
      </c>
      <c r="AC20" s="905">
        <v>1</v>
      </c>
    </row>
    <row r="21" spans="1:29" ht="15">
      <c r="A21" s="734"/>
      <c r="B21" s="766" t="s">
        <v>214</v>
      </c>
      <c r="C21" s="1036">
        <f>估价对象房地状况!C8</f>
        <v>0</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17"/>
      <c r="Q21" s="486" t="str">
        <f>B21</f>
        <v>基础设施水平</v>
      </c>
      <c r="R21" s="894" t="s">
        <v>1272</v>
      </c>
      <c r="S21" s="895">
        <f>F21</f>
        <v>100</v>
      </c>
      <c r="T21" s="894" t="s">
        <v>1272</v>
      </c>
      <c r="U21" s="895">
        <f>H21</f>
        <v>100</v>
      </c>
      <c r="V21" s="894" t="s">
        <v>1272</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17"/>
      <c r="Q22" s="486"/>
      <c r="R22" s="894"/>
      <c r="S22" s="895"/>
      <c r="T22" s="894"/>
      <c r="U22" s="895"/>
      <c r="V22" s="894"/>
      <c r="W22" s="895"/>
      <c r="X22" s="888"/>
      <c r="Y22" s="3003"/>
      <c r="Z22" s="823"/>
      <c r="AA22" s="905">
        <v>1</v>
      </c>
      <c r="AB22" s="905">
        <v>1</v>
      </c>
      <c r="AC22" s="905">
        <v>1</v>
      </c>
    </row>
    <row r="23" spans="1:29" ht="15">
      <c r="A23" s="734"/>
      <c r="B23" s="758" t="s">
        <v>215</v>
      </c>
      <c r="C23" s="1036">
        <f>估价对象房地状况!C9</f>
        <v>0</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17"/>
      <c r="Q23" s="486" t="str">
        <f>B23</f>
        <v>环境质量</v>
      </c>
      <c r="R23" s="894" t="s">
        <v>1272</v>
      </c>
      <c r="S23" s="895">
        <f>F23</f>
        <v>100</v>
      </c>
      <c r="T23" s="894" t="s">
        <v>1272</v>
      </c>
      <c r="U23" s="895">
        <f>H23</f>
        <v>100</v>
      </c>
      <c r="V23" s="894" t="s">
        <v>1272</v>
      </c>
      <c r="W23" s="895">
        <f>J23</f>
        <v>100</v>
      </c>
      <c r="X23" s="888"/>
      <c r="Y23" s="3003"/>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17"/>
      <c r="Q24" s="486"/>
      <c r="R24" s="894"/>
      <c r="S24" s="895"/>
      <c r="T24" s="894"/>
      <c r="U24" s="895"/>
      <c r="V24" s="894"/>
      <c r="W24" s="895"/>
      <c r="X24" s="888"/>
      <c r="Y24" s="3003"/>
      <c r="Z24" s="823"/>
      <c r="AA24" s="905">
        <v>1</v>
      </c>
      <c r="AB24" s="905">
        <v>1</v>
      </c>
      <c r="AC24" s="905">
        <v>1</v>
      </c>
    </row>
    <row r="25" spans="1:29" ht="27">
      <c r="A25" s="714"/>
      <c r="B25" s="758" t="s">
        <v>568</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17"/>
      <c r="Q25" s="486" t="str">
        <f>B25</f>
        <v>毗邻道路的类型与等级</v>
      </c>
      <c r="R25" s="894" t="s">
        <v>1272</v>
      </c>
      <c r="S25" s="895">
        <f>F25</f>
        <v>100</v>
      </c>
      <c r="T25" s="894" t="s">
        <v>1272</v>
      </c>
      <c r="U25" s="895">
        <f>H25</f>
        <v>100</v>
      </c>
      <c r="V25" s="894" t="s">
        <v>1272</v>
      </c>
      <c r="W25" s="895">
        <f>J25</f>
        <v>100</v>
      </c>
      <c r="X25" s="888"/>
      <c r="Y25" s="3003"/>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17"/>
      <c r="Q26" s="486"/>
      <c r="R26" s="894"/>
      <c r="S26" s="895"/>
      <c r="T26" s="894"/>
      <c r="U26" s="895"/>
      <c r="V26" s="894"/>
      <c r="W26" s="895"/>
      <c r="X26" s="888"/>
      <c r="Y26" s="3003"/>
      <c r="Z26" s="823"/>
      <c r="AA26" s="905">
        <v>1</v>
      </c>
      <c r="AB26" s="905">
        <v>1</v>
      </c>
      <c r="AC26" s="905">
        <v>1</v>
      </c>
    </row>
    <row r="27" spans="1:29" ht="15">
      <c r="A27" s="734"/>
      <c r="B27" s="762" t="s">
        <v>1344</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17"/>
      <c r="Q27" s="486" t="str">
        <f t="shared" ref="Q27:Q47" si="11">B27</f>
        <v>楼层</v>
      </c>
      <c r="R27" s="894" t="s">
        <v>1272</v>
      </c>
      <c r="S27" s="895">
        <f>F27</f>
        <v>100</v>
      </c>
      <c r="T27" s="894" t="s">
        <v>1272</v>
      </c>
      <c r="U27" s="895">
        <f>H27</f>
        <v>100</v>
      </c>
      <c r="V27" s="894" t="s">
        <v>1272</v>
      </c>
      <c r="W27" s="895">
        <f>J27</f>
        <v>100</v>
      </c>
      <c r="X27" s="888"/>
      <c r="Y27" s="3003"/>
      <c r="Z27" s="823" t="str">
        <f>Q27</f>
        <v>楼层</v>
      </c>
      <c r="AA27" s="905">
        <f t="shared" si="3"/>
        <v>1</v>
      </c>
      <c r="AB27" s="905">
        <f t="shared" si="4"/>
        <v>1</v>
      </c>
      <c r="AC27" s="905">
        <f t="shared" si="5"/>
        <v>1</v>
      </c>
    </row>
    <row r="28" spans="1:29" s="693" customFormat="1" ht="15">
      <c r="A28" s="737"/>
      <c r="B28" s="758" t="s">
        <v>1285</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17"/>
      <c r="Q28" s="893" t="str">
        <f t="shared" si="11"/>
        <v>朝向</v>
      </c>
      <c r="R28" s="890" t="s">
        <v>1272</v>
      </c>
      <c r="S28" s="891">
        <f>F28</f>
        <v>100</v>
      </c>
      <c r="T28" s="890" t="s">
        <v>1272</v>
      </c>
      <c r="U28" s="891">
        <f>H28</f>
        <v>100</v>
      </c>
      <c r="V28" s="890" t="s">
        <v>1272</v>
      </c>
      <c r="W28" s="891">
        <f>J28</f>
        <v>100</v>
      </c>
      <c r="X28" s="892"/>
      <c r="Y28" s="3003"/>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17"/>
      <c r="Q29" s="486">
        <f t="shared" si="11"/>
        <v>111</v>
      </c>
      <c r="R29" s="894" t="s">
        <v>1272</v>
      </c>
      <c r="S29" s="895">
        <f t="shared" ref="S29:S47" si="12">F29</f>
        <v>100</v>
      </c>
      <c r="T29" s="894" t="s">
        <v>1272</v>
      </c>
      <c r="U29" s="895">
        <f t="shared" ref="U29:U47" si="13">H29</f>
        <v>100</v>
      </c>
      <c r="V29" s="894" t="s">
        <v>1272</v>
      </c>
      <c r="W29" s="895">
        <f t="shared" ref="W29:W47" si="14">J29</f>
        <v>100</v>
      </c>
      <c r="X29" s="888"/>
      <c r="Y29" s="3003"/>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17"/>
      <c r="Q30" s="486">
        <f t="shared" si="11"/>
        <v>111</v>
      </c>
      <c r="R30" s="894" t="s">
        <v>1272</v>
      </c>
      <c r="S30" s="895">
        <f t="shared" si="12"/>
        <v>100</v>
      </c>
      <c r="T30" s="894" t="s">
        <v>1272</v>
      </c>
      <c r="U30" s="895">
        <f t="shared" si="13"/>
        <v>100</v>
      </c>
      <c r="V30" s="894" t="s">
        <v>1272</v>
      </c>
      <c r="W30" s="895">
        <f t="shared" si="14"/>
        <v>100</v>
      </c>
      <c r="X30" s="888"/>
      <c r="Y30" s="3003"/>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17"/>
      <c r="Q31" s="486">
        <f t="shared" si="11"/>
        <v>111</v>
      </c>
      <c r="R31" s="894" t="s">
        <v>1272</v>
      </c>
      <c r="S31" s="895">
        <f t="shared" si="12"/>
        <v>100</v>
      </c>
      <c r="T31" s="894" t="s">
        <v>1272</v>
      </c>
      <c r="U31" s="895">
        <f t="shared" si="13"/>
        <v>100</v>
      </c>
      <c r="V31" s="894" t="s">
        <v>1272</v>
      </c>
      <c r="W31" s="895">
        <f t="shared" si="14"/>
        <v>100</v>
      </c>
      <c r="X31" s="888"/>
      <c r="Y31" s="3003"/>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17"/>
      <c r="Q32" s="486">
        <f t="shared" si="11"/>
        <v>111</v>
      </c>
      <c r="R32" s="894" t="s">
        <v>1272</v>
      </c>
      <c r="S32" s="895">
        <f t="shared" si="12"/>
        <v>100</v>
      </c>
      <c r="T32" s="894" t="s">
        <v>1272</v>
      </c>
      <c r="U32" s="895">
        <f t="shared" si="13"/>
        <v>100</v>
      </c>
      <c r="V32" s="894" t="s">
        <v>1272</v>
      </c>
      <c r="W32" s="895">
        <f t="shared" si="14"/>
        <v>100</v>
      </c>
      <c r="X32" s="888"/>
      <c r="Y32" s="3003"/>
      <c r="Z32" s="823">
        <f t="shared" si="15"/>
        <v>111</v>
      </c>
      <c r="AA32" s="905">
        <f t="shared" si="3"/>
        <v>1</v>
      </c>
      <c r="AB32" s="905">
        <f t="shared" si="4"/>
        <v>1</v>
      </c>
      <c r="AC32" s="905">
        <f t="shared" si="5"/>
        <v>1</v>
      </c>
    </row>
    <row r="33" spans="1:29" ht="15">
      <c r="A33" s="748" t="s">
        <v>1287</v>
      </c>
      <c r="B33" s="727" t="s">
        <v>1288</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62" t="s">
        <v>1289</v>
      </c>
      <c r="Q33" s="486" t="str">
        <f t="shared" si="11"/>
        <v>建筑类型</v>
      </c>
      <c r="R33" s="894" t="s">
        <v>1272</v>
      </c>
      <c r="S33" s="895">
        <f t="shared" si="12"/>
        <v>100</v>
      </c>
      <c r="T33" s="894" t="s">
        <v>1272</v>
      </c>
      <c r="U33" s="895">
        <f t="shared" si="13"/>
        <v>100</v>
      </c>
      <c r="V33" s="894" t="s">
        <v>1272</v>
      </c>
      <c r="W33" s="895">
        <f t="shared" si="14"/>
        <v>100</v>
      </c>
      <c r="X33" s="888"/>
      <c r="Y33" s="3004" t="s">
        <v>1289</v>
      </c>
      <c r="Z33" s="823" t="str">
        <f t="shared" si="15"/>
        <v>建筑类型</v>
      </c>
      <c r="AA33" s="905">
        <f t="shared" si="3"/>
        <v>1</v>
      </c>
      <c r="AB33" s="905">
        <f t="shared" si="4"/>
        <v>1</v>
      </c>
      <c r="AC33" s="905">
        <f t="shared" si="5"/>
        <v>1</v>
      </c>
    </row>
    <row r="34" spans="1:29" s="695" customFormat="1" ht="15">
      <c r="A34" s="790"/>
      <c r="B34" s="731" t="s">
        <v>1290</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63"/>
      <c r="Q34" s="1137" t="str">
        <f t="shared" si="11"/>
        <v>项目建筑规模</v>
      </c>
      <c r="R34" s="896" t="s">
        <v>1272</v>
      </c>
      <c r="S34" s="897" t="e">
        <f t="shared" si="12"/>
        <v>#N/A</v>
      </c>
      <c r="T34" s="896" t="s">
        <v>1272</v>
      </c>
      <c r="U34" s="897" t="e">
        <f t="shared" si="13"/>
        <v>#N/A</v>
      </c>
      <c r="V34" s="896" t="s">
        <v>1272</v>
      </c>
      <c r="W34" s="897" t="e">
        <f t="shared" si="14"/>
        <v>#N/A</v>
      </c>
      <c r="X34" s="898"/>
      <c r="Y34" s="3004"/>
      <c r="Z34" s="906" t="str">
        <f t="shared" si="15"/>
        <v>项目建筑规模</v>
      </c>
      <c r="AA34" s="905" t="e">
        <f t="shared" si="3"/>
        <v>#N/A</v>
      </c>
      <c r="AB34" s="905" t="e">
        <f t="shared" si="4"/>
        <v>#N/A</v>
      </c>
      <c r="AC34" s="905" t="e">
        <f t="shared" si="5"/>
        <v>#N/A</v>
      </c>
    </row>
    <row r="35" spans="1:29" ht="15">
      <c r="A35" s="782"/>
      <c r="B35" s="731" t="s">
        <v>1291</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63"/>
      <c r="Q35" s="486" t="str">
        <f t="shared" si="11"/>
        <v>建筑结构</v>
      </c>
      <c r="R35" s="894" t="s">
        <v>1272</v>
      </c>
      <c r="S35" s="895">
        <f t="shared" si="12"/>
        <v>100</v>
      </c>
      <c r="T35" s="894" t="s">
        <v>1272</v>
      </c>
      <c r="U35" s="895">
        <f t="shared" si="13"/>
        <v>100</v>
      </c>
      <c r="V35" s="894" t="s">
        <v>1272</v>
      </c>
      <c r="W35" s="895">
        <f t="shared" si="14"/>
        <v>100</v>
      </c>
      <c r="X35" s="888"/>
      <c r="Y35" s="3004"/>
      <c r="Z35" s="823" t="str">
        <f t="shared" si="15"/>
        <v>建筑结构</v>
      </c>
      <c r="AA35" s="905">
        <f t="shared" si="3"/>
        <v>1</v>
      </c>
      <c r="AB35" s="905">
        <f t="shared" si="4"/>
        <v>1</v>
      </c>
      <c r="AC35" s="905">
        <f t="shared" si="5"/>
        <v>1</v>
      </c>
    </row>
    <row r="36" spans="1:29" ht="15">
      <c r="A36" s="782"/>
      <c r="B36" s="731" t="s">
        <v>1293</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63"/>
      <c r="Q36" s="486" t="str">
        <f t="shared" si="11"/>
        <v>公共部分装修</v>
      </c>
      <c r="R36" s="894" t="s">
        <v>1272</v>
      </c>
      <c r="S36" s="895">
        <f t="shared" si="12"/>
        <v>100</v>
      </c>
      <c r="T36" s="894" t="s">
        <v>1272</v>
      </c>
      <c r="U36" s="895">
        <f t="shared" si="13"/>
        <v>100</v>
      </c>
      <c r="V36" s="894" t="s">
        <v>1272</v>
      </c>
      <c r="W36" s="895">
        <f t="shared" si="14"/>
        <v>100</v>
      </c>
      <c r="X36" s="888"/>
      <c r="Y36" s="3004"/>
      <c r="Z36" s="823" t="str">
        <f t="shared" si="15"/>
        <v>公共部分装修</v>
      </c>
      <c r="AA36" s="905">
        <f t="shared" si="3"/>
        <v>1</v>
      </c>
      <c r="AB36" s="905">
        <f t="shared" si="4"/>
        <v>1</v>
      </c>
      <c r="AC36" s="905">
        <f t="shared" si="5"/>
        <v>1</v>
      </c>
    </row>
    <row r="37" spans="1:29" ht="15">
      <c r="A37" s="782"/>
      <c r="B37" s="731" t="s">
        <v>1294</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63"/>
      <c r="Q37" s="486" t="str">
        <f t="shared" si="11"/>
        <v>成新度</v>
      </c>
      <c r="R37" s="894" t="s">
        <v>1272</v>
      </c>
      <c r="S37" s="895" t="e">
        <f t="shared" si="12"/>
        <v>#N/A</v>
      </c>
      <c r="T37" s="894" t="s">
        <v>1272</v>
      </c>
      <c r="U37" s="895" t="e">
        <f t="shared" si="13"/>
        <v>#N/A</v>
      </c>
      <c r="V37" s="894" t="s">
        <v>1272</v>
      </c>
      <c r="W37" s="895" t="e">
        <f t="shared" si="14"/>
        <v>#N/A</v>
      </c>
      <c r="X37" s="888"/>
      <c r="Y37" s="3004"/>
      <c r="Z37" s="823" t="str">
        <f t="shared" si="15"/>
        <v>成新度</v>
      </c>
      <c r="AA37" s="905" t="e">
        <f t="shared" si="3"/>
        <v>#N/A</v>
      </c>
      <c r="AB37" s="905" t="e">
        <f t="shared" si="4"/>
        <v>#N/A</v>
      </c>
      <c r="AC37" s="905" t="e">
        <f t="shared" si="5"/>
        <v>#N/A</v>
      </c>
    </row>
    <row r="38" spans="1:29" s="693" customFormat="1" ht="15">
      <c r="A38" s="787"/>
      <c r="B38" s="731" t="s">
        <v>1355</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63"/>
      <c r="Q38" s="893" t="str">
        <f t="shared" si="11"/>
        <v>写字楼等级</v>
      </c>
      <c r="R38" s="890" t="s">
        <v>1272</v>
      </c>
      <c r="S38" s="891">
        <f t="shared" si="12"/>
        <v>100</v>
      </c>
      <c r="T38" s="890" t="s">
        <v>1272</v>
      </c>
      <c r="U38" s="891">
        <f t="shared" si="13"/>
        <v>100</v>
      </c>
      <c r="V38" s="890" t="s">
        <v>1272</v>
      </c>
      <c r="W38" s="891">
        <f t="shared" si="14"/>
        <v>100</v>
      </c>
      <c r="X38" s="892"/>
      <c r="Y38" s="3004"/>
      <c r="Z38" s="904" t="str">
        <f t="shared" si="15"/>
        <v>写字楼等级</v>
      </c>
      <c r="AA38" s="903">
        <f t="shared" si="3"/>
        <v>1</v>
      </c>
      <c r="AB38" s="903">
        <f t="shared" si="4"/>
        <v>1</v>
      </c>
      <c r="AC38" s="903">
        <f t="shared" si="5"/>
        <v>1</v>
      </c>
    </row>
    <row r="39" spans="1:29" ht="15">
      <c r="A39" s="782"/>
      <c r="B39" s="731" t="s">
        <v>1295</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63" t="s">
        <v>1289</v>
      </c>
      <c r="Q39" s="486" t="str">
        <f t="shared" si="11"/>
        <v>物业管理</v>
      </c>
      <c r="R39" s="894" t="s">
        <v>1272</v>
      </c>
      <c r="S39" s="895">
        <f t="shared" si="12"/>
        <v>100</v>
      </c>
      <c r="T39" s="894" t="s">
        <v>1272</v>
      </c>
      <c r="U39" s="895">
        <f t="shared" si="13"/>
        <v>100</v>
      </c>
      <c r="V39" s="894" t="s">
        <v>1272</v>
      </c>
      <c r="W39" s="895">
        <f t="shared" si="14"/>
        <v>100</v>
      </c>
      <c r="X39" s="888"/>
      <c r="Y39" s="3004" t="s">
        <v>1289</v>
      </c>
      <c r="Z39" s="823" t="str">
        <f t="shared" si="15"/>
        <v>物业管理</v>
      </c>
      <c r="AA39" s="905">
        <f t="shared" si="3"/>
        <v>1</v>
      </c>
      <c r="AB39" s="905">
        <f t="shared" si="4"/>
        <v>1</v>
      </c>
      <c r="AC39" s="905">
        <f t="shared" si="5"/>
        <v>1</v>
      </c>
    </row>
    <row r="40" spans="1:29" ht="15">
      <c r="A40" s="782"/>
      <c r="B40" s="731" t="s">
        <v>1296</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63"/>
      <c r="Q40" s="486" t="str">
        <f t="shared" si="11"/>
        <v>市政基础设施</v>
      </c>
      <c r="R40" s="894" t="s">
        <v>1272</v>
      </c>
      <c r="S40" s="895">
        <f t="shared" si="12"/>
        <v>100</v>
      </c>
      <c r="T40" s="894" t="s">
        <v>1272</v>
      </c>
      <c r="U40" s="895">
        <f t="shared" si="13"/>
        <v>100</v>
      </c>
      <c r="V40" s="894" t="s">
        <v>1272</v>
      </c>
      <c r="W40" s="895">
        <f t="shared" si="14"/>
        <v>100</v>
      </c>
      <c r="X40" s="888"/>
      <c r="Y40" s="3004"/>
      <c r="Z40" s="823" t="str">
        <f t="shared" si="15"/>
        <v>市政基础设施</v>
      </c>
      <c r="AA40" s="905">
        <f t="shared" si="3"/>
        <v>1</v>
      </c>
      <c r="AB40" s="905">
        <f t="shared" si="4"/>
        <v>1</v>
      </c>
      <c r="AC40" s="905">
        <f t="shared" si="5"/>
        <v>1</v>
      </c>
    </row>
    <row r="41" spans="1:29" ht="15">
      <c r="A41" s="782"/>
      <c r="B41" s="731" t="s">
        <v>1347</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63"/>
      <c r="Q41" s="486" t="str">
        <f t="shared" si="11"/>
        <v>层高</v>
      </c>
      <c r="R41" s="894" t="s">
        <v>1272</v>
      </c>
      <c r="S41" s="895">
        <f t="shared" si="12"/>
        <v>100</v>
      </c>
      <c r="T41" s="894" t="s">
        <v>1272</v>
      </c>
      <c r="U41" s="895">
        <f t="shared" si="13"/>
        <v>100</v>
      </c>
      <c r="V41" s="894" t="s">
        <v>1272</v>
      </c>
      <c r="W41" s="895">
        <f t="shared" si="14"/>
        <v>100</v>
      </c>
      <c r="X41" s="888"/>
      <c r="Y41" s="3004"/>
      <c r="Z41" s="823" t="str">
        <f t="shared" si="15"/>
        <v>层高</v>
      </c>
      <c r="AA41" s="905">
        <f t="shared" si="3"/>
        <v>1</v>
      </c>
      <c r="AB41" s="905">
        <f t="shared" si="4"/>
        <v>1</v>
      </c>
      <c r="AC41" s="905">
        <f t="shared" si="5"/>
        <v>1</v>
      </c>
    </row>
    <row r="42" spans="1:29" s="695" customFormat="1" ht="15">
      <c r="A42" s="790"/>
      <c r="B42" s="878" t="s">
        <v>1356</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63"/>
      <c r="Q42" s="1137" t="str">
        <f t="shared" si="11"/>
        <v>单套建筑面积</v>
      </c>
      <c r="R42" s="896" t="s">
        <v>1272</v>
      </c>
      <c r="S42" s="897">
        <f t="shared" si="12"/>
        <v>100</v>
      </c>
      <c r="T42" s="896" t="s">
        <v>1272</v>
      </c>
      <c r="U42" s="897">
        <f t="shared" si="13"/>
        <v>100</v>
      </c>
      <c r="V42" s="896" t="s">
        <v>1272</v>
      </c>
      <c r="W42" s="897">
        <f t="shared" si="14"/>
        <v>100</v>
      </c>
      <c r="X42" s="898"/>
      <c r="Y42" s="3004"/>
      <c r="Z42" s="906" t="str">
        <f t="shared" si="15"/>
        <v>单套建筑面积</v>
      </c>
      <c r="AA42" s="905">
        <f t="shared" si="3"/>
        <v>1</v>
      </c>
      <c r="AB42" s="905">
        <f t="shared" si="4"/>
        <v>1</v>
      </c>
      <c r="AC42" s="905">
        <f t="shared" si="5"/>
        <v>1</v>
      </c>
    </row>
    <row r="43" spans="1:29" ht="15">
      <c r="A43" s="782"/>
      <c r="B43" s="731" t="s">
        <v>1299</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63"/>
      <c r="Q43" s="486" t="str">
        <f t="shared" si="11"/>
        <v>内部装修</v>
      </c>
      <c r="R43" s="894" t="s">
        <v>1272</v>
      </c>
      <c r="S43" s="895">
        <f t="shared" si="12"/>
        <v>100</v>
      </c>
      <c r="T43" s="894" t="s">
        <v>1272</v>
      </c>
      <c r="U43" s="895">
        <f t="shared" si="13"/>
        <v>100</v>
      </c>
      <c r="V43" s="894" t="s">
        <v>1272</v>
      </c>
      <c r="W43" s="895">
        <f t="shared" si="14"/>
        <v>100</v>
      </c>
      <c r="X43" s="888"/>
      <c r="Y43" s="3004"/>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63"/>
      <c r="Q44" s="486" t="str">
        <f t="shared" si="11"/>
        <v>内部装修维护情况</v>
      </c>
      <c r="R44" s="894" t="s">
        <v>1272</v>
      </c>
      <c r="S44" s="895">
        <f t="shared" si="12"/>
        <v>100</v>
      </c>
      <c r="T44" s="894" t="s">
        <v>1272</v>
      </c>
      <c r="U44" s="895">
        <f t="shared" si="13"/>
        <v>100</v>
      </c>
      <c r="V44" s="894" t="s">
        <v>1272</v>
      </c>
      <c r="W44" s="895">
        <f t="shared" si="14"/>
        <v>100</v>
      </c>
      <c r="X44" s="888"/>
      <c r="Y44" s="3004"/>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63"/>
      <c r="Q45" s="893">
        <f t="shared" si="11"/>
        <v>111</v>
      </c>
      <c r="R45" s="890" t="s">
        <v>1272</v>
      </c>
      <c r="S45" s="891">
        <f t="shared" si="12"/>
        <v>100</v>
      </c>
      <c r="T45" s="890" t="s">
        <v>1272</v>
      </c>
      <c r="U45" s="891">
        <f t="shared" si="13"/>
        <v>100</v>
      </c>
      <c r="V45" s="890" t="s">
        <v>1272</v>
      </c>
      <c r="W45" s="891">
        <f t="shared" si="14"/>
        <v>100</v>
      </c>
      <c r="X45" s="892"/>
      <c r="Y45" s="3004"/>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63"/>
      <c r="Q46" s="486">
        <f t="shared" si="11"/>
        <v>111</v>
      </c>
      <c r="R46" s="894" t="s">
        <v>1272</v>
      </c>
      <c r="S46" s="895">
        <f t="shared" si="12"/>
        <v>100</v>
      </c>
      <c r="T46" s="894" t="s">
        <v>1272</v>
      </c>
      <c r="U46" s="895">
        <f t="shared" si="13"/>
        <v>100</v>
      </c>
      <c r="V46" s="894" t="s">
        <v>1272</v>
      </c>
      <c r="W46" s="895">
        <f t="shared" si="14"/>
        <v>100</v>
      </c>
      <c r="X46" s="888"/>
      <c r="Y46" s="3004"/>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64"/>
      <c r="Q47" s="486">
        <f t="shared" si="11"/>
        <v>111</v>
      </c>
      <c r="R47" s="894" t="s">
        <v>1272</v>
      </c>
      <c r="S47" s="895">
        <f t="shared" si="12"/>
        <v>100</v>
      </c>
      <c r="T47" s="894" t="s">
        <v>1272</v>
      </c>
      <c r="U47" s="895">
        <f t="shared" si="13"/>
        <v>100</v>
      </c>
      <c r="V47" s="894" t="s">
        <v>1272</v>
      </c>
      <c r="W47" s="895">
        <f t="shared" si="14"/>
        <v>100</v>
      </c>
      <c r="X47" s="888"/>
      <c r="Y47" s="3005"/>
      <c r="Z47" s="823">
        <f t="shared" si="15"/>
        <v>111</v>
      </c>
      <c r="AA47" s="905">
        <f t="shared" si="3"/>
        <v>1</v>
      </c>
      <c r="AB47" s="905">
        <f t="shared" si="4"/>
        <v>1</v>
      </c>
      <c r="AC47" s="905">
        <f t="shared" si="5"/>
        <v>1</v>
      </c>
    </row>
    <row r="48" spans="1:29" ht="15">
      <c r="A48" s="792" t="s">
        <v>1300</v>
      </c>
      <c r="B48" s="1108"/>
      <c r="C48" s="1109" t="s">
        <v>121</v>
      </c>
      <c r="D48" s="1110"/>
      <c r="E48" s="1111"/>
      <c r="F48" s="1112"/>
      <c r="G48" s="1113"/>
      <c r="H48" s="1114"/>
      <c r="I48" s="1111"/>
      <c r="J48" s="1114"/>
      <c r="K48" s="874"/>
      <c r="L48" s="875"/>
      <c r="M48" s="851"/>
      <c r="N48" s="851"/>
      <c r="O48" s="851"/>
      <c r="P48" s="3009" t="str">
        <f>A48</f>
        <v>成交单价（元/平方米）</v>
      </c>
      <c r="Q48" s="2994"/>
      <c r="R48" s="2995">
        <f>E48</f>
        <v>0</v>
      </c>
      <c r="S48" s="2995"/>
      <c r="T48" s="2995">
        <f>G48</f>
        <v>0</v>
      </c>
      <c r="U48" s="2995"/>
      <c r="V48" s="2995">
        <f>I48</f>
        <v>0</v>
      </c>
      <c r="W48" s="2995"/>
      <c r="X48" s="839"/>
      <c r="Y48" s="907"/>
      <c r="Z48" s="839"/>
      <c r="AA48" s="839"/>
      <c r="AB48" s="839"/>
      <c r="AC48" s="839"/>
    </row>
    <row r="49" spans="1:29" ht="15">
      <c r="A49" s="800" t="s">
        <v>1301</v>
      </c>
      <c r="B49" s="1115"/>
      <c r="C49" s="1116" t="e">
        <f>R50</f>
        <v>#DIV/0!</v>
      </c>
      <c r="D49" s="1117"/>
      <c r="E49" s="1118" t="e">
        <f>R49</f>
        <v>#DIV/0!</v>
      </c>
      <c r="F49" s="1118"/>
      <c r="G49" s="1116" t="e">
        <f>T49</f>
        <v>#DIV/0!</v>
      </c>
      <c r="H49" s="1117"/>
      <c r="I49" s="1118" t="e">
        <f>V49</f>
        <v>#DIV/0!</v>
      </c>
      <c r="J49" s="1117"/>
      <c r="K49" s="876"/>
      <c r="L49" s="875"/>
      <c r="M49" s="851"/>
      <c r="N49" s="851"/>
      <c r="O49" s="851"/>
      <c r="P49" s="3009" t="str">
        <f>A49</f>
        <v>比较价值（元/平方米）</v>
      </c>
      <c r="Q49" s="2994"/>
      <c r="R49" s="2995" t="e">
        <f>IF(E1="售价",ROUND(PRODUCT(R48,AA7:AA47),0),ROUND(PRODUCT(R48,AA7:AA47),1))</f>
        <v>#DIV/0!</v>
      </c>
      <c r="S49" s="2995"/>
      <c r="T49" s="2995" t="e">
        <f>IF(E1="售价",ROUND(PRODUCT(T48,AB7:AB47),0),ROUND(PRODUCT(T48,AB7:AB47),1))</f>
        <v>#DIV/0!</v>
      </c>
      <c r="U49" s="2995"/>
      <c r="V49" s="2995" t="e">
        <f>IF(E1="售价",ROUND(PRODUCT(V48,AC7:AC47),0),ROUND(PRODUCT(V48,AC7:AC47),1))</f>
        <v>#DIV/0!</v>
      </c>
      <c r="W49" s="2995"/>
      <c r="X49" s="839"/>
      <c r="Y49" s="839"/>
      <c r="Z49" s="839"/>
      <c r="AA49" s="839"/>
      <c r="AB49" s="839"/>
      <c r="AC49" s="839"/>
    </row>
    <row r="50" spans="1:29" ht="15">
      <c r="A50" s="806" t="s">
        <v>1302</v>
      </c>
      <c r="B50" s="807"/>
      <c r="C50" s="1119" t="e">
        <f>R50</f>
        <v>#DIV/0!</v>
      </c>
      <c r="D50" s="1119"/>
      <c r="E50" s="1119"/>
      <c r="F50" s="1119"/>
      <c r="G50" s="1119"/>
      <c r="H50" s="1119"/>
      <c r="I50" s="1119"/>
      <c r="J50" s="1119"/>
      <c r="K50" s="877"/>
      <c r="L50" s="875"/>
      <c r="M50" s="851"/>
      <c r="N50" s="851"/>
      <c r="O50" s="851"/>
      <c r="P50" s="3065" t="str">
        <f>A50</f>
        <v>估价对象XX用房的比较价值（楼面单价，元/平方米）</v>
      </c>
      <c r="Q50" s="3009"/>
      <c r="R50" s="3010" t="e">
        <f>IF(E1="售价",ROUND(AVERAGE(R49:V49),0),ROUND(AVERAGE(R49:V49),1))</f>
        <v>#DIV/0!</v>
      </c>
      <c r="S50" s="3010"/>
      <c r="T50" s="3010"/>
      <c r="U50" s="3010"/>
      <c r="V50" s="3010"/>
      <c r="W50" s="3010"/>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1303</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1304</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1305</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1306</v>
      </c>
      <c r="B58" s="839"/>
      <c r="C58" s="840"/>
      <c r="D58" s="840"/>
      <c r="E58" s="840"/>
      <c r="F58" s="841"/>
      <c r="G58" s="841"/>
      <c r="H58" s="840"/>
      <c r="I58" s="840"/>
      <c r="J58" s="840"/>
      <c r="K58" s="1133"/>
      <c r="L58" s="1134"/>
      <c r="M58" s="840"/>
      <c r="N58" s="840"/>
      <c r="O58" s="840"/>
      <c r="P58" s="887"/>
      <c r="Q58" s="899"/>
    </row>
    <row r="59" spans="1:29" s="698" customFormat="1" ht="15">
      <c r="A59" s="1120" t="s">
        <v>1270</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1307</v>
      </c>
      <c r="B61" s="915"/>
      <c r="C61" s="916"/>
      <c r="D61" s="917"/>
      <c r="E61" s="917"/>
      <c r="F61" s="917"/>
      <c r="G61" s="917"/>
      <c r="H61" s="917"/>
      <c r="I61" s="917"/>
      <c r="J61" s="917"/>
      <c r="K61" s="917"/>
      <c r="L61" s="917"/>
      <c r="M61" s="966"/>
      <c r="N61" s="917"/>
      <c r="O61" s="1136"/>
      <c r="P61" s="899"/>
      <c r="Q61" s="899"/>
    </row>
    <row r="62" spans="1:29" s="693" customFormat="1" ht="15">
      <c r="A62" s="918" t="s">
        <v>1273</v>
      </c>
      <c r="B62" s="919"/>
      <c r="C62" s="920" t="s">
        <v>1274</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1308</v>
      </c>
      <c r="B64" s="925" t="s">
        <v>1277</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1280</v>
      </c>
      <c r="C66" s="930" t="s">
        <v>1309</v>
      </c>
      <c r="D66" s="930" t="s">
        <v>1310</v>
      </c>
      <c r="E66" s="930" t="s">
        <v>1311</v>
      </c>
      <c r="F66" s="930" t="s">
        <v>1312</v>
      </c>
      <c r="G66" s="930" t="s">
        <v>1313</v>
      </c>
      <c r="H66" s="930" t="s">
        <v>1314</v>
      </c>
      <c r="I66" s="930" t="s">
        <v>1315</v>
      </c>
      <c r="J66" s="930"/>
      <c r="K66" s="980"/>
      <c r="L66" s="981"/>
      <c r="M66" s="982"/>
      <c r="N66" s="976"/>
      <c r="O66" s="976"/>
      <c r="P66" s="977"/>
      <c r="Q66" s="899"/>
    </row>
    <row r="67" spans="1:17" ht="15">
      <c r="A67" s="926"/>
      <c r="B67" s="931"/>
      <c r="C67" s="932" t="s">
        <v>1351</v>
      </c>
      <c r="D67" s="932" t="s">
        <v>1351</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1281</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1282</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1316</v>
      </c>
      <c r="D83" s="930" t="s">
        <v>1317</v>
      </c>
      <c r="E83" s="930" t="s">
        <v>1318</v>
      </c>
      <c r="F83" s="930" t="s">
        <v>1319</v>
      </c>
      <c r="G83" s="930" t="s">
        <v>1320</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568</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1287</v>
      </c>
      <c r="B101" s="925" t="s">
        <v>1288</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1290</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1291</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1293</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1294</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1355</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1295</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1296</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1357</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1348</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1299</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1253</v>
      </c>
      <c r="B1" s="1128" t="s">
        <v>1358</v>
      </c>
      <c r="C1" s="1223"/>
      <c r="D1" s="1068"/>
      <c r="E1" s="1069"/>
      <c r="F1" s="1070" t="s">
        <v>1255</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824</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825</v>
      </c>
      <c r="B3" s="711" t="e">
        <f ca="1">ROUND(IF(D2="——",C43,IF(C2="万元",B2*10000/D3,B2/D3)),0)</f>
        <v>#DIV/0!</v>
      </c>
      <c r="C3" s="1078" t="s">
        <v>1256</v>
      </c>
      <c r="D3" s="1079">
        <f>IF(C1="仅计算典型户型",'数据-取费表'!E5,'数据-取费表'!B5)</f>
        <v>95.95</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1257</v>
      </c>
      <c r="B4" s="713"/>
      <c r="C4" s="2983" t="s">
        <v>1258</v>
      </c>
      <c r="D4" s="2984"/>
      <c r="E4" s="2985" t="s">
        <v>1259</v>
      </c>
      <c r="F4" s="2986"/>
      <c r="G4" s="2983" t="s">
        <v>1260</v>
      </c>
      <c r="H4" s="2984"/>
      <c r="I4" s="2983" t="s">
        <v>1261</v>
      </c>
      <c r="J4" s="2984"/>
      <c r="K4" s="849" t="s">
        <v>1262</v>
      </c>
      <c r="L4" s="850"/>
      <c r="M4" s="851"/>
      <c r="N4" s="851"/>
      <c r="O4" s="851"/>
      <c r="P4" s="3014" t="s">
        <v>1263</v>
      </c>
      <c r="Q4" s="3015"/>
      <c r="R4" s="3020" t="s">
        <v>1259</v>
      </c>
      <c r="S4" s="3021"/>
      <c r="T4" s="3020" t="s">
        <v>1260</v>
      </c>
      <c r="U4" s="3021"/>
      <c r="V4" s="3026" t="s">
        <v>1261</v>
      </c>
      <c r="W4" s="3026"/>
      <c r="X4" s="888"/>
      <c r="Y4" s="3020" t="s">
        <v>1263</v>
      </c>
      <c r="Z4" s="3021"/>
      <c r="AA4" s="3011" t="s">
        <v>1259</v>
      </c>
      <c r="AB4" s="3012" t="s">
        <v>1260</v>
      </c>
      <c r="AC4" s="3011" t="s">
        <v>1261</v>
      </c>
    </row>
    <row r="5" spans="1:29" ht="15">
      <c r="A5" s="714"/>
      <c r="B5" s="715"/>
      <c r="C5" s="3056" t="s">
        <v>1264</v>
      </c>
      <c r="D5" s="2988"/>
      <c r="E5" s="3057" t="s">
        <v>1265</v>
      </c>
      <c r="F5" s="3058"/>
      <c r="G5" s="3056" t="s">
        <v>1266</v>
      </c>
      <c r="H5" s="2988"/>
      <c r="I5" s="3056" t="s">
        <v>1267</v>
      </c>
      <c r="J5" s="2988"/>
      <c r="K5" s="849"/>
      <c r="L5" s="850"/>
      <c r="M5" s="851"/>
      <c r="N5" s="851"/>
      <c r="O5" s="851"/>
      <c r="P5" s="3016"/>
      <c r="Q5" s="3017"/>
      <c r="R5" s="3022"/>
      <c r="S5" s="3023"/>
      <c r="T5" s="3022"/>
      <c r="U5" s="3023"/>
      <c r="V5" s="3026"/>
      <c r="W5" s="3026"/>
      <c r="X5" s="888"/>
      <c r="Y5" s="3022"/>
      <c r="Z5" s="3023"/>
      <c r="AA5" s="3012"/>
      <c r="AB5" s="3012"/>
      <c r="AC5" s="3012"/>
    </row>
    <row r="6" spans="1:29" ht="15">
      <c r="A6" s="716"/>
      <c r="B6" s="717"/>
      <c r="C6" s="3059" t="s">
        <v>1268</v>
      </c>
      <c r="D6" s="2990"/>
      <c r="E6" s="3060" t="s">
        <v>1268</v>
      </c>
      <c r="F6" s="3061"/>
      <c r="G6" s="3059" t="s">
        <v>1268</v>
      </c>
      <c r="H6" s="2990"/>
      <c r="I6" s="3059" t="s">
        <v>1268</v>
      </c>
      <c r="J6" s="2990"/>
      <c r="K6" s="849" t="s">
        <v>1269</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1270</v>
      </c>
      <c r="B7" s="719"/>
      <c r="C7" s="720">
        <f>'数据-取费表'!B2</f>
        <v>43199</v>
      </c>
      <c r="D7" s="721">
        <v>100</v>
      </c>
      <c r="E7" s="722"/>
      <c r="F7" s="723">
        <f>SUMIF(52:52,YEAR(E7)&amp;"-"&amp;MONTH(E7),53:53)</f>
        <v>0</v>
      </c>
      <c r="G7" s="722"/>
      <c r="H7" s="721">
        <f>SUMIF(52:52,YEAR(G7)&amp;"-"&amp;MONTH(G7),53:53)</f>
        <v>0</v>
      </c>
      <c r="I7" s="722"/>
      <c r="J7" s="721">
        <f>SUMIF(52:52,YEAR(I7)&amp;"-"&amp;MONTH(I7),53:53)</f>
        <v>0</v>
      </c>
      <c r="K7" s="852"/>
      <c r="L7" s="853"/>
      <c r="M7" s="854"/>
      <c r="N7" s="854"/>
      <c r="O7" s="854"/>
      <c r="P7" s="2991" t="s">
        <v>1271</v>
      </c>
      <c r="Q7" s="2992"/>
      <c r="R7" s="890" t="s">
        <v>1272</v>
      </c>
      <c r="S7" s="891">
        <f t="shared" ref="S7:S15" si="0">F7</f>
        <v>0</v>
      </c>
      <c r="T7" s="890" t="s">
        <v>1272</v>
      </c>
      <c r="U7" s="891">
        <f t="shared" ref="U7:U15" si="1">H7</f>
        <v>0</v>
      </c>
      <c r="V7" s="890" t="s">
        <v>1272</v>
      </c>
      <c r="W7" s="891">
        <f t="shared" ref="W7:W15" si="2">J7</f>
        <v>0</v>
      </c>
      <c r="X7" s="892"/>
      <c r="Y7" s="2991" t="s">
        <v>1271</v>
      </c>
      <c r="Z7" s="2993"/>
      <c r="AA7" s="903" t="e">
        <f>D7/F7</f>
        <v>#DIV/0!</v>
      </c>
      <c r="AB7" s="903" t="e">
        <f>D7/H7</f>
        <v>#DIV/0!</v>
      </c>
      <c r="AC7" s="903" t="e">
        <f>D7/J7</f>
        <v>#DIV/0!</v>
      </c>
    </row>
    <row r="8" spans="1:29" s="693" customFormat="1" ht="15">
      <c r="A8" s="718" t="s">
        <v>1273</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2991" t="s">
        <v>1275</v>
      </c>
      <c r="Q8" s="2993"/>
      <c r="R8" s="890" t="s">
        <v>1272</v>
      </c>
      <c r="S8" s="891">
        <f t="shared" si="0"/>
        <v>100</v>
      </c>
      <c r="T8" s="890" t="s">
        <v>1272</v>
      </c>
      <c r="U8" s="891">
        <f t="shared" si="1"/>
        <v>100</v>
      </c>
      <c r="V8" s="890" t="s">
        <v>1272</v>
      </c>
      <c r="W8" s="891">
        <f t="shared" si="2"/>
        <v>100</v>
      </c>
      <c r="X8" s="892"/>
      <c r="Y8" s="2991" t="s">
        <v>1275</v>
      </c>
      <c r="Z8" s="2993"/>
      <c r="AA8" s="903">
        <f t="shared" ref="AA8:AA40" si="3">D8/F8</f>
        <v>1</v>
      </c>
      <c r="AB8" s="903">
        <f t="shared" ref="AB8:AB40" si="4">D8/H8</f>
        <v>1</v>
      </c>
      <c r="AC8" s="903">
        <f t="shared" ref="AC8:AC40" si="5">D8/J8</f>
        <v>1</v>
      </c>
    </row>
    <row r="9" spans="1:29" s="693" customFormat="1">
      <c r="A9" s="726" t="s">
        <v>1276</v>
      </c>
      <c r="B9" s="727" t="s">
        <v>1277</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2994" t="s">
        <v>1278</v>
      </c>
      <c r="Q9" s="893" t="str">
        <f t="shared" ref="Q9:Q15" si="6">B9</f>
        <v>用途</v>
      </c>
      <c r="R9" s="890" t="s">
        <v>1272</v>
      </c>
      <c r="S9" s="891">
        <f t="shared" si="0"/>
        <v>100</v>
      </c>
      <c r="T9" s="890" t="s">
        <v>1272</v>
      </c>
      <c r="U9" s="891">
        <f t="shared" si="1"/>
        <v>100</v>
      </c>
      <c r="V9" s="890" t="s">
        <v>1272</v>
      </c>
      <c r="W9" s="891">
        <f t="shared" si="2"/>
        <v>100</v>
      </c>
      <c r="X9" s="892"/>
      <c r="Y9" s="2942" t="s">
        <v>1279</v>
      </c>
      <c r="Z9" s="904" t="str">
        <f t="shared" ref="Z9:Z15" si="7">Q9</f>
        <v>用途</v>
      </c>
      <c r="AA9" s="903">
        <f t="shared" si="3"/>
        <v>1</v>
      </c>
      <c r="AB9" s="903">
        <f t="shared" si="4"/>
        <v>1</v>
      </c>
      <c r="AC9" s="903">
        <f t="shared" si="5"/>
        <v>1</v>
      </c>
    </row>
    <row r="10" spans="1:29" s="694" customFormat="1" ht="27">
      <c r="A10" s="730"/>
      <c r="B10" s="731" t="s">
        <v>1280</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2994"/>
      <c r="Q10" s="893" t="str">
        <f t="shared" si="6"/>
        <v>土地使用年限（年）</v>
      </c>
      <c r="R10" s="890" t="s">
        <v>1272</v>
      </c>
      <c r="S10" s="891">
        <f t="shared" si="0"/>
        <v>100</v>
      </c>
      <c r="T10" s="890" t="s">
        <v>1272</v>
      </c>
      <c r="U10" s="891">
        <f t="shared" si="1"/>
        <v>100</v>
      </c>
      <c r="V10" s="890" t="s">
        <v>1272</v>
      </c>
      <c r="W10" s="891">
        <f t="shared" si="2"/>
        <v>100</v>
      </c>
      <c r="X10" s="892"/>
      <c r="Y10" s="2942"/>
      <c r="Z10" s="904" t="str">
        <f t="shared" si="7"/>
        <v>土地使用年限（年）</v>
      </c>
      <c r="AA10" s="903">
        <f t="shared" si="3"/>
        <v>1</v>
      </c>
      <c r="AB10" s="903">
        <f t="shared" si="4"/>
        <v>1</v>
      </c>
      <c r="AC10" s="903">
        <f t="shared" si="5"/>
        <v>1</v>
      </c>
    </row>
    <row r="11" spans="1:29" ht="15">
      <c r="A11" s="734"/>
      <c r="B11" s="731" t="s">
        <v>1281</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2994"/>
      <c r="Q11" s="893" t="str">
        <f t="shared" si="6"/>
        <v>容积率</v>
      </c>
      <c r="R11" s="890" t="s">
        <v>1272</v>
      </c>
      <c r="S11" s="891" t="e">
        <f t="shared" si="0"/>
        <v>#N/A</v>
      </c>
      <c r="T11" s="890" t="s">
        <v>1272</v>
      </c>
      <c r="U11" s="891" t="e">
        <f t="shared" si="1"/>
        <v>#N/A</v>
      </c>
      <c r="V11" s="890" t="s">
        <v>1272</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2994"/>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2994"/>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2994"/>
      <c r="Q14" s="893">
        <f t="shared" si="6"/>
        <v>111</v>
      </c>
      <c r="R14" s="890" t="s">
        <v>1272</v>
      </c>
      <c r="S14" s="891">
        <f t="shared" si="0"/>
        <v>100</v>
      </c>
      <c r="T14" s="890" t="s">
        <v>1272</v>
      </c>
      <c r="U14" s="891">
        <f t="shared" si="1"/>
        <v>100</v>
      </c>
      <c r="V14" s="890" t="s">
        <v>1272</v>
      </c>
      <c r="W14" s="891">
        <f t="shared" si="2"/>
        <v>100</v>
      </c>
      <c r="X14" s="892"/>
      <c r="Y14" s="2942"/>
      <c r="Z14" s="904">
        <f t="shared" si="7"/>
        <v>111</v>
      </c>
      <c r="AA14" s="903">
        <f t="shared" si="3"/>
        <v>1</v>
      </c>
      <c r="AB14" s="903">
        <f t="shared" si="4"/>
        <v>1</v>
      </c>
      <c r="AC14" s="903">
        <f t="shared" si="5"/>
        <v>1</v>
      </c>
    </row>
    <row r="15" spans="1:29" ht="57">
      <c r="A15" s="748" t="s">
        <v>1282</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02" t="s">
        <v>1283</v>
      </c>
      <c r="Q15" s="486" t="str">
        <f t="shared" si="6"/>
        <v>产业集聚程度</v>
      </c>
      <c r="R15" s="894" t="s">
        <v>1272</v>
      </c>
      <c r="S15" s="895">
        <f t="shared" si="0"/>
        <v>100</v>
      </c>
      <c r="T15" s="894" t="s">
        <v>1272</v>
      </c>
      <c r="U15" s="895">
        <f t="shared" si="1"/>
        <v>100</v>
      </c>
      <c r="V15" s="894" t="s">
        <v>1272</v>
      </c>
      <c r="W15" s="895">
        <f t="shared" si="2"/>
        <v>100</v>
      </c>
      <c r="X15" s="888"/>
      <c r="Y15" s="3002" t="s">
        <v>1283</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03"/>
      <c r="Q16" s="486"/>
      <c r="R16" s="894"/>
      <c r="S16" s="895"/>
      <c r="T16" s="894"/>
      <c r="U16" s="895"/>
      <c r="V16" s="894"/>
      <c r="W16" s="895"/>
      <c r="X16" s="888"/>
      <c r="Y16" s="3003"/>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03"/>
      <c r="Q17" s="486" t="str">
        <f>B17</f>
        <v>交通便捷度</v>
      </c>
      <c r="R17" s="894" t="s">
        <v>1272</v>
      </c>
      <c r="S17" s="895">
        <f>F17</f>
        <v>100</v>
      </c>
      <c r="T17" s="894" t="s">
        <v>1272</v>
      </c>
      <c r="U17" s="895">
        <f>H17</f>
        <v>100</v>
      </c>
      <c r="V17" s="894" t="s">
        <v>1272</v>
      </c>
      <c r="W17" s="895">
        <f>J17</f>
        <v>100</v>
      </c>
      <c r="X17" s="888"/>
      <c r="Y17" s="300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03"/>
      <c r="Q18" s="486"/>
      <c r="R18" s="894"/>
      <c r="S18" s="895"/>
      <c r="T18" s="894"/>
      <c r="U18" s="895"/>
      <c r="V18" s="894"/>
      <c r="W18" s="895"/>
      <c r="X18" s="888"/>
      <c r="Y18" s="3003"/>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03"/>
      <c r="Q19" s="486" t="str">
        <f>B19</f>
        <v>公共配套设施</v>
      </c>
      <c r="R19" s="894" t="s">
        <v>1272</v>
      </c>
      <c r="S19" s="895">
        <f>F19</f>
        <v>100</v>
      </c>
      <c r="T19" s="894" t="s">
        <v>1272</v>
      </c>
      <c r="U19" s="895">
        <f>H19</f>
        <v>100</v>
      </c>
      <c r="V19" s="894" t="s">
        <v>1272</v>
      </c>
      <c r="W19" s="895">
        <f>J19</f>
        <v>100</v>
      </c>
      <c r="X19" s="888"/>
      <c r="Y19" s="3003"/>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03"/>
      <c r="Q20" s="486"/>
      <c r="R20" s="894"/>
      <c r="S20" s="895"/>
      <c r="T20" s="894"/>
      <c r="U20" s="895"/>
      <c r="V20" s="894"/>
      <c r="W20" s="895"/>
      <c r="X20" s="888"/>
      <c r="Y20" s="3003"/>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03"/>
      <c r="Q21" s="486" t="str">
        <f>B21</f>
        <v>基础设施水平</v>
      </c>
      <c r="R21" s="894" t="s">
        <v>1272</v>
      </c>
      <c r="S21" s="895">
        <f>F21</f>
        <v>100</v>
      </c>
      <c r="T21" s="894" t="s">
        <v>1272</v>
      </c>
      <c r="U21" s="895">
        <f>H21</f>
        <v>100</v>
      </c>
      <c r="V21" s="894" t="s">
        <v>1272</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03"/>
      <c r="Q22" s="486"/>
      <c r="R22" s="894"/>
      <c r="S22" s="895"/>
      <c r="T22" s="894"/>
      <c r="U22" s="895"/>
      <c r="V22" s="894"/>
      <c r="W22" s="895"/>
      <c r="X22" s="888"/>
      <c r="Y22" s="3003"/>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03"/>
      <c r="Q23" s="486" t="str">
        <f>B23</f>
        <v>环境质量</v>
      </c>
      <c r="R23" s="894" t="s">
        <v>1272</v>
      </c>
      <c r="S23" s="895">
        <f>F23</f>
        <v>100</v>
      </c>
      <c r="T23" s="894" t="s">
        <v>1272</v>
      </c>
      <c r="U23" s="895">
        <f>H23</f>
        <v>100</v>
      </c>
      <c r="V23" s="894" t="s">
        <v>1272</v>
      </c>
      <c r="W23" s="895">
        <f>J23</f>
        <v>100</v>
      </c>
      <c r="X23" s="888"/>
      <c r="Y23" s="3003"/>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03"/>
      <c r="Q24" s="486"/>
      <c r="R24" s="894"/>
      <c r="S24" s="895"/>
      <c r="T24" s="894"/>
      <c r="U24" s="895"/>
      <c r="V24" s="894"/>
      <c r="W24" s="895"/>
      <c r="X24" s="888"/>
      <c r="Y24" s="3003"/>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03"/>
      <c r="Q25" s="486">
        <f>B25</f>
        <v>111</v>
      </c>
      <c r="R25" s="894" t="s">
        <v>1272</v>
      </c>
      <c r="S25" s="895">
        <f>F25</f>
        <v>100</v>
      </c>
      <c r="T25" s="894" t="s">
        <v>1272</v>
      </c>
      <c r="U25" s="895">
        <f>H25</f>
        <v>100</v>
      </c>
      <c r="V25" s="894" t="s">
        <v>1272</v>
      </c>
      <c r="W25" s="895">
        <f>J25</f>
        <v>100</v>
      </c>
      <c r="X25" s="888"/>
      <c r="Y25" s="3003"/>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03"/>
      <c r="Q26" s="486">
        <f t="shared" ref="Q26:Q40" si="11">B26</f>
        <v>111</v>
      </c>
      <c r="R26" s="894" t="s">
        <v>1272</v>
      </c>
      <c r="S26" s="895">
        <f>F26</f>
        <v>100</v>
      </c>
      <c r="T26" s="894" t="s">
        <v>1272</v>
      </c>
      <c r="U26" s="895">
        <f>H26</f>
        <v>100</v>
      </c>
      <c r="V26" s="894" t="s">
        <v>1272</v>
      </c>
      <c r="W26" s="895">
        <f>J26</f>
        <v>100</v>
      </c>
      <c r="X26" s="888"/>
      <c r="Y26" s="3003"/>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03"/>
      <c r="Q27" s="893">
        <f t="shared" si="11"/>
        <v>111</v>
      </c>
      <c r="R27" s="890" t="s">
        <v>1272</v>
      </c>
      <c r="S27" s="891">
        <f>F27</f>
        <v>100</v>
      </c>
      <c r="T27" s="890" t="s">
        <v>1272</v>
      </c>
      <c r="U27" s="891">
        <f>H27</f>
        <v>100</v>
      </c>
      <c r="V27" s="890" t="s">
        <v>1272</v>
      </c>
      <c r="W27" s="891">
        <f>J27</f>
        <v>100</v>
      </c>
      <c r="X27" s="892"/>
      <c r="Y27" s="3003"/>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03"/>
      <c r="Q28" s="486">
        <f t="shared" si="11"/>
        <v>111</v>
      </c>
      <c r="R28" s="894" t="s">
        <v>1272</v>
      </c>
      <c r="S28" s="895">
        <f t="shared" ref="S28:S40" si="12">F28</f>
        <v>100</v>
      </c>
      <c r="T28" s="894" t="s">
        <v>1272</v>
      </c>
      <c r="U28" s="895">
        <f t="shared" ref="U28:U40" si="13">H28</f>
        <v>100</v>
      </c>
      <c r="V28" s="894" t="s">
        <v>1272</v>
      </c>
      <c r="W28" s="895">
        <f t="shared" ref="W28:W40" si="14">J28</f>
        <v>100</v>
      </c>
      <c r="X28" s="888"/>
      <c r="Y28" s="3003"/>
      <c r="Z28" s="823">
        <f t="shared" ref="Z28:Z40" si="15">Q28</f>
        <v>111</v>
      </c>
      <c r="AA28" s="905">
        <f t="shared" si="3"/>
        <v>1</v>
      </c>
      <c r="AB28" s="905">
        <f t="shared" si="4"/>
        <v>1</v>
      </c>
      <c r="AC28" s="905">
        <f t="shared" si="5"/>
        <v>1</v>
      </c>
    </row>
    <row r="29" spans="1:29" ht="28.5">
      <c r="A29" s="1097" t="s">
        <v>1287</v>
      </c>
      <c r="B29" s="727" t="s">
        <v>1288</v>
      </c>
      <c r="C29" s="1098" t="s">
        <v>1359</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69" t="s">
        <v>1289</v>
      </c>
      <c r="Q29" s="486" t="str">
        <f t="shared" si="11"/>
        <v>建筑类型</v>
      </c>
      <c r="R29" s="894" t="s">
        <v>1272</v>
      </c>
      <c r="S29" s="895">
        <f t="shared" si="12"/>
        <v>100</v>
      </c>
      <c r="T29" s="894" t="s">
        <v>1272</v>
      </c>
      <c r="U29" s="895">
        <f t="shared" si="13"/>
        <v>100</v>
      </c>
      <c r="V29" s="894" t="s">
        <v>1272</v>
      </c>
      <c r="W29" s="895">
        <f t="shared" si="14"/>
        <v>100</v>
      </c>
      <c r="X29" s="888"/>
      <c r="Y29" s="3004" t="s">
        <v>1289</v>
      </c>
      <c r="Z29" s="823" t="str">
        <f t="shared" si="15"/>
        <v>建筑类型</v>
      </c>
      <c r="AA29" s="905">
        <f t="shared" si="3"/>
        <v>1</v>
      </c>
      <c r="AB29" s="905">
        <f t="shared" si="4"/>
        <v>1</v>
      </c>
      <c r="AC29" s="905">
        <f t="shared" si="5"/>
        <v>1</v>
      </c>
    </row>
    <row r="30" spans="1:29" s="695" customFormat="1" ht="15">
      <c r="A30" s="790"/>
      <c r="B30" s="731" t="s">
        <v>1290</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04"/>
      <c r="Q30" s="1137" t="str">
        <f t="shared" si="11"/>
        <v>项目建筑规模</v>
      </c>
      <c r="R30" s="896" t="s">
        <v>1272</v>
      </c>
      <c r="S30" s="897" t="e">
        <f t="shared" si="12"/>
        <v>#N/A</v>
      </c>
      <c r="T30" s="896" t="s">
        <v>1272</v>
      </c>
      <c r="U30" s="897" t="e">
        <f t="shared" si="13"/>
        <v>#N/A</v>
      </c>
      <c r="V30" s="896" t="s">
        <v>1272</v>
      </c>
      <c r="W30" s="897" t="e">
        <f t="shared" si="14"/>
        <v>#N/A</v>
      </c>
      <c r="X30" s="898"/>
      <c r="Y30" s="3004"/>
      <c r="Z30" s="906" t="str">
        <f t="shared" si="15"/>
        <v>项目建筑规模</v>
      </c>
      <c r="AA30" s="905" t="e">
        <f t="shared" si="3"/>
        <v>#N/A</v>
      </c>
      <c r="AB30" s="905" t="e">
        <f t="shared" si="4"/>
        <v>#N/A</v>
      </c>
      <c r="AC30" s="905" t="e">
        <f t="shared" si="5"/>
        <v>#N/A</v>
      </c>
    </row>
    <row r="31" spans="1:29" ht="15">
      <c r="A31" s="782"/>
      <c r="B31" s="731" t="s">
        <v>1291</v>
      </c>
      <c r="C31" s="1103" t="s">
        <v>1360</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04"/>
      <c r="Q31" s="486" t="str">
        <f t="shared" si="11"/>
        <v>建筑结构</v>
      </c>
      <c r="R31" s="894" t="s">
        <v>1272</v>
      </c>
      <c r="S31" s="895">
        <f t="shared" si="12"/>
        <v>100</v>
      </c>
      <c r="T31" s="894" t="s">
        <v>1272</v>
      </c>
      <c r="U31" s="895">
        <f t="shared" si="13"/>
        <v>100</v>
      </c>
      <c r="V31" s="894" t="s">
        <v>1272</v>
      </c>
      <c r="W31" s="895">
        <f t="shared" si="14"/>
        <v>100</v>
      </c>
      <c r="X31" s="888"/>
      <c r="Y31" s="3004"/>
      <c r="Z31" s="823" t="str">
        <f t="shared" si="15"/>
        <v>建筑结构</v>
      </c>
      <c r="AA31" s="905">
        <f t="shared" si="3"/>
        <v>1</v>
      </c>
      <c r="AB31" s="905">
        <f t="shared" si="4"/>
        <v>1</v>
      </c>
      <c r="AC31" s="905">
        <f t="shared" si="5"/>
        <v>1</v>
      </c>
    </row>
    <row r="32" spans="1:29" ht="15">
      <c r="A32" s="782"/>
      <c r="B32" s="731" t="s">
        <v>1293</v>
      </c>
      <c r="C32" s="1103" t="s">
        <v>1361</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04"/>
      <c r="Q32" s="486" t="str">
        <f t="shared" si="11"/>
        <v>公共部分装修</v>
      </c>
      <c r="R32" s="894" t="s">
        <v>1272</v>
      </c>
      <c r="S32" s="895">
        <f t="shared" si="12"/>
        <v>100</v>
      </c>
      <c r="T32" s="894" t="s">
        <v>1272</v>
      </c>
      <c r="U32" s="895">
        <f t="shared" si="13"/>
        <v>100</v>
      </c>
      <c r="V32" s="894" t="s">
        <v>1272</v>
      </c>
      <c r="W32" s="895">
        <f t="shared" si="14"/>
        <v>100</v>
      </c>
      <c r="X32" s="888"/>
      <c r="Y32" s="3004"/>
      <c r="Z32" s="823" t="str">
        <f t="shared" si="15"/>
        <v>公共部分装修</v>
      </c>
      <c r="AA32" s="905">
        <f t="shared" si="3"/>
        <v>1</v>
      </c>
      <c r="AB32" s="905">
        <f t="shared" si="4"/>
        <v>1</v>
      </c>
      <c r="AC32" s="905">
        <f t="shared" si="5"/>
        <v>1</v>
      </c>
    </row>
    <row r="33" spans="1:29" ht="15">
      <c r="A33" s="782"/>
      <c r="B33" s="731" t="s">
        <v>1294</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04"/>
      <c r="Q33" s="486" t="str">
        <f t="shared" si="11"/>
        <v>成新度</v>
      </c>
      <c r="R33" s="894" t="s">
        <v>1272</v>
      </c>
      <c r="S33" s="895" t="e">
        <f t="shared" si="12"/>
        <v>#N/A</v>
      </c>
      <c r="T33" s="894" t="s">
        <v>1272</v>
      </c>
      <c r="U33" s="895" t="e">
        <f t="shared" si="13"/>
        <v>#N/A</v>
      </c>
      <c r="V33" s="894" t="s">
        <v>1272</v>
      </c>
      <c r="W33" s="895" t="e">
        <f t="shared" si="14"/>
        <v>#N/A</v>
      </c>
      <c r="X33" s="888"/>
      <c r="Y33" s="3004"/>
      <c r="Z33" s="823" t="str">
        <f t="shared" si="15"/>
        <v>成新度</v>
      </c>
      <c r="AA33" s="905" t="e">
        <f t="shared" si="3"/>
        <v>#N/A</v>
      </c>
      <c r="AB33" s="905" t="e">
        <f t="shared" si="4"/>
        <v>#N/A</v>
      </c>
      <c r="AC33" s="905" t="e">
        <f t="shared" si="5"/>
        <v>#N/A</v>
      </c>
    </row>
    <row r="34" spans="1:29" s="693" customFormat="1" ht="15">
      <c r="A34" s="787"/>
      <c r="B34" s="731" t="s">
        <v>1295</v>
      </c>
      <c r="C34" s="1103" t="s">
        <v>1362</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04"/>
      <c r="Q34" s="893" t="str">
        <f t="shared" si="11"/>
        <v>物业管理</v>
      </c>
      <c r="R34" s="890" t="s">
        <v>1272</v>
      </c>
      <c r="S34" s="891">
        <f t="shared" si="12"/>
        <v>100</v>
      </c>
      <c r="T34" s="890" t="s">
        <v>1272</v>
      </c>
      <c r="U34" s="891">
        <f t="shared" si="13"/>
        <v>100</v>
      </c>
      <c r="V34" s="890" t="s">
        <v>1272</v>
      </c>
      <c r="W34" s="891">
        <f t="shared" si="14"/>
        <v>100</v>
      </c>
      <c r="X34" s="892"/>
      <c r="Y34" s="3004"/>
      <c r="Z34" s="904" t="str">
        <f t="shared" si="15"/>
        <v>物业管理</v>
      </c>
      <c r="AA34" s="903">
        <f t="shared" si="3"/>
        <v>1</v>
      </c>
      <c r="AB34" s="903">
        <f t="shared" si="4"/>
        <v>1</v>
      </c>
      <c r="AC34" s="903">
        <f t="shared" si="5"/>
        <v>1</v>
      </c>
    </row>
    <row r="35" spans="1:29" ht="15">
      <c r="A35" s="782"/>
      <c r="B35" s="731" t="s">
        <v>1296</v>
      </c>
      <c r="C35" s="1103" t="s">
        <v>1317</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04" t="s">
        <v>1289</v>
      </c>
      <c r="Q35" s="486" t="str">
        <f t="shared" si="11"/>
        <v>市政基础设施</v>
      </c>
      <c r="R35" s="894" t="s">
        <v>1272</v>
      </c>
      <c r="S35" s="895">
        <f t="shared" si="12"/>
        <v>100</v>
      </c>
      <c r="T35" s="894" t="s">
        <v>1272</v>
      </c>
      <c r="U35" s="895">
        <f t="shared" si="13"/>
        <v>100</v>
      </c>
      <c r="V35" s="894" t="s">
        <v>1272</v>
      </c>
      <c r="W35" s="895">
        <f t="shared" si="14"/>
        <v>100</v>
      </c>
      <c r="X35" s="888"/>
      <c r="Y35" s="3004" t="s">
        <v>1289</v>
      </c>
      <c r="Z35" s="823" t="str">
        <f t="shared" si="15"/>
        <v>市政基础设施</v>
      </c>
      <c r="AA35" s="905">
        <f t="shared" si="3"/>
        <v>1</v>
      </c>
      <c r="AB35" s="905">
        <f t="shared" si="4"/>
        <v>1</v>
      </c>
      <c r="AC35" s="905">
        <f t="shared" si="5"/>
        <v>1</v>
      </c>
    </row>
    <row r="36" spans="1:29" ht="15">
      <c r="A36" s="782"/>
      <c r="B36" s="731" t="s">
        <v>1299</v>
      </c>
      <c r="C36" s="1103" t="s">
        <v>1361</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04"/>
      <c r="Q36" s="486" t="str">
        <f t="shared" si="11"/>
        <v>内部装修</v>
      </c>
      <c r="R36" s="894" t="s">
        <v>1272</v>
      </c>
      <c r="S36" s="895">
        <f t="shared" si="12"/>
        <v>100</v>
      </c>
      <c r="T36" s="894" t="s">
        <v>1272</v>
      </c>
      <c r="U36" s="895">
        <f t="shared" si="13"/>
        <v>100</v>
      </c>
      <c r="V36" s="894" t="s">
        <v>1272</v>
      </c>
      <c r="W36" s="895">
        <f t="shared" si="14"/>
        <v>100</v>
      </c>
      <c r="X36" s="888"/>
      <c r="Y36" s="3004"/>
      <c r="Z36" s="823" t="str">
        <f t="shared" si="15"/>
        <v>内部装修</v>
      </c>
      <c r="AA36" s="905">
        <f t="shared" si="3"/>
        <v>1</v>
      </c>
      <c r="AB36" s="905">
        <f t="shared" si="4"/>
        <v>1</v>
      </c>
      <c r="AC36" s="905">
        <f t="shared" si="5"/>
        <v>1</v>
      </c>
    </row>
    <row r="37" spans="1:29" ht="15">
      <c r="A37" s="782"/>
      <c r="B37" s="731" t="s">
        <v>1363</v>
      </c>
      <c r="C37" s="768" t="s">
        <v>1364</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04"/>
      <c r="Q37" s="486" t="str">
        <f t="shared" si="11"/>
        <v>内部装修状况</v>
      </c>
      <c r="R37" s="894" t="s">
        <v>1272</v>
      </c>
      <c r="S37" s="895">
        <f t="shared" si="12"/>
        <v>0</v>
      </c>
      <c r="T37" s="894" t="s">
        <v>1272</v>
      </c>
      <c r="U37" s="895">
        <f t="shared" si="13"/>
        <v>0</v>
      </c>
      <c r="V37" s="894" t="s">
        <v>1272</v>
      </c>
      <c r="W37" s="895">
        <f t="shared" si="14"/>
        <v>0</v>
      </c>
      <c r="X37" s="888"/>
      <c r="Y37" s="3004"/>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04"/>
      <c r="Q38" s="1137">
        <f t="shared" si="11"/>
        <v>111</v>
      </c>
      <c r="R38" s="896" t="s">
        <v>1272</v>
      </c>
      <c r="S38" s="897">
        <f t="shared" si="12"/>
        <v>100</v>
      </c>
      <c r="T38" s="896" t="s">
        <v>1272</v>
      </c>
      <c r="U38" s="897">
        <f t="shared" si="13"/>
        <v>100</v>
      </c>
      <c r="V38" s="896" t="s">
        <v>1272</v>
      </c>
      <c r="W38" s="897">
        <f t="shared" si="14"/>
        <v>100</v>
      </c>
      <c r="X38" s="898"/>
      <c r="Y38" s="3004"/>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04"/>
      <c r="Q39" s="486">
        <f t="shared" si="11"/>
        <v>111</v>
      </c>
      <c r="R39" s="894" t="s">
        <v>1272</v>
      </c>
      <c r="S39" s="895">
        <f t="shared" si="12"/>
        <v>100</v>
      </c>
      <c r="T39" s="894" t="s">
        <v>1272</v>
      </c>
      <c r="U39" s="895">
        <f t="shared" si="13"/>
        <v>100</v>
      </c>
      <c r="V39" s="894" t="s">
        <v>1272</v>
      </c>
      <c r="W39" s="895">
        <f t="shared" si="14"/>
        <v>100</v>
      </c>
      <c r="X39" s="888"/>
      <c r="Y39" s="3004"/>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05"/>
      <c r="Q40" s="486">
        <f t="shared" si="11"/>
        <v>111</v>
      </c>
      <c r="R40" s="894" t="s">
        <v>1272</v>
      </c>
      <c r="S40" s="895">
        <f t="shared" si="12"/>
        <v>100</v>
      </c>
      <c r="T40" s="894" t="s">
        <v>1272</v>
      </c>
      <c r="U40" s="895">
        <f t="shared" si="13"/>
        <v>100</v>
      </c>
      <c r="V40" s="894" t="s">
        <v>1272</v>
      </c>
      <c r="W40" s="895">
        <f t="shared" si="14"/>
        <v>100</v>
      </c>
      <c r="X40" s="888"/>
      <c r="Y40" s="3005"/>
      <c r="Z40" s="823">
        <f t="shared" si="15"/>
        <v>111</v>
      </c>
      <c r="AA40" s="905">
        <f t="shared" si="3"/>
        <v>1</v>
      </c>
      <c r="AB40" s="905">
        <f t="shared" si="4"/>
        <v>1</v>
      </c>
      <c r="AC40" s="905">
        <f t="shared" si="5"/>
        <v>1</v>
      </c>
    </row>
    <row r="41" spans="1:29" ht="15">
      <c r="A41" s="792" t="s">
        <v>1300</v>
      </c>
      <c r="B41" s="1108"/>
      <c r="C41" s="1109" t="s">
        <v>121</v>
      </c>
      <c r="D41" s="1110"/>
      <c r="E41" s="1111"/>
      <c r="F41" s="1112"/>
      <c r="G41" s="1113"/>
      <c r="H41" s="1114"/>
      <c r="I41" s="1111"/>
      <c r="J41" s="1114"/>
      <c r="K41" s="874"/>
      <c r="L41" s="875"/>
      <c r="M41" s="809"/>
      <c r="N41" s="851"/>
      <c r="O41" s="809"/>
      <c r="P41" s="2994" t="str">
        <f>A41</f>
        <v>成交单价（元/平方米）</v>
      </c>
      <c r="Q41" s="2994"/>
      <c r="R41" s="2995">
        <f>E41</f>
        <v>0</v>
      </c>
      <c r="S41" s="2995"/>
      <c r="T41" s="2995">
        <f>G41</f>
        <v>0</v>
      </c>
      <c r="U41" s="2995"/>
      <c r="V41" s="2995">
        <f>I41</f>
        <v>0</v>
      </c>
      <c r="W41" s="2995"/>
      <c r="X41" s="839"/>
      <c r="Y41" s="907"/>
      <c r="Z41" s="839"/>
      <c r="AA41" s="839"/>
      <c r="AB41" s="839"/>
      <c r="AC41" s="839"/>
    </row>
    <row r="42" spans="1:29" ht="15">
      <c r="A42" s="800" t="s">
        <v>1301</v>
      </c>
      <c r="B42" s="1115"/>
      <c r="C42" s="1116" t="e">
        <f>R43</f>
        <v>#DIV/0!</v>
      </c>
      <c r="D42" s="1117"/>
      <c r="E42" s="1118" t="e">
        <f>R42</f>
        <v>#DIV/0!</v>
      </c>
      <c r="F42" s="1118"/>
      <c r="G42" s="1116" t="e">
        <f>T42</f>
        <v>#DIV/0!</v>
      </c>
      <c r="H42" s="1117"/>
      <c r="I42" s="1118" t="e">
        <f>V42</f>
        <v>#DIV/0!</v>
      </c>
      <c r="J42" s="1117"/>
      <c r="K42" s="876"/>
      <c r="L42" s="875"/>
      <c r="M42" s="809"/>
      <c r="N42" s="851"/>
      <c r="O42" s="809"/>
      <c r="P42" s="2994" t="str">
        <f>A42</f>
        <v>比较价值（元/平方米）</v>
      </c>
      <c r="Q42" s="2994"/>
      <c r="R42" s="2995" t="e">
        <f>IF(E1="售价",ROUND(PRODUCT(R41,AA7:AA40),0),ROUND(PRODUCT(R41,AA7:AA40),1))</f>
        <v>#DIV/0!</v>
      </c>
      <c r="S42" s="2995"/>
      <c r="T42" s="2995" t="e">
        <f>IF(E1="售价",ROUND(PRODUCT(T41,AB7:AB40),0),ROUND(PRODUCT(T41,AB7:AB40),1))</f>
        <v>#DIV/0!</v>
      </c>
      <c r="U42" s="2995"/>
      <c r="V42" s="2995" t="e">
        <f>IF(E1="售价",ROUND(PRODUCT(V41,AC7:AC40),0),ROUND(PRODUCT(V41,AC7:AC40),1))</f>
        <v>#DIV/0!</v>
      </c>
      <c r="W42" s="2995"/>
      <c r="X42" s="839"/>
      <c r="Y42" s="839"/>
      <c r="Z42" s="839"/>
      <c r="AA42" s="839"/>
      <c r="AB42" s="839"/>
      <c r="AC42" s="839"/>
    </row>
    <row r="43" spans="1:29" ht="15">
      <c r="A43" s="806" t="s">
        <v>1302</v>
      </c>
      <c r="B43" s="807"/>
      <c r="C43" s="1119" t="e">
        <f>R43</f>
        <v>#DIV/0!</v>
      </c>
      <c r="D43" s="1119"/>
      <c r="E43" s="1119"/>
      <c r="F43" s="1119"/>
      <c r="G43" s="1119"/>
      <c r="H43" s="1119"/>
      <c r="I43" s="1119"/>
      <c r="J43" s="1119"/>
      <c r="K43" s="877"/>
      <c r="L43" s="875"/>
      <c r="M43" s="809"/>
      <c r="N43" s="809"/>
      <c r="O43" s="809"/>
      <c r="P43" s="3008" t="str">
        <f>A43</f>
        <v>估价对象XX用房的比较价值（楼面单价，元/平方米）</v>
      </c>
      <c r="Q43" s="3009"/>
      <c r="R43" s="3010" t="e">
        <f>IF(E1="售价",ROUND(AVERAGE(R42:V42),0),ROUND(AVERAGE(R42:V42),1))</f>
        <v>#DIV/0!</v>
      </c>
      <c r="S43" s="3010"/>
      <c r="T43" s="3010"/>
      <c r="U43" s="3010"/>
      <c r="V43" s="3010"/>
      <c r="W43" s="3010"/>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1303</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1304</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1305</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1306</v>
      </c>
      <c r="B51" s="839"/>
      <c r="C51" s="840"/>
      <c r="D51" s="840"/>
      <c r="E51" s="840"/>
      <c r="F51" s="841"/>
      <c r="G51" s="841"/>
      <c r="H51" s="840"/>
      <c r="I51" s="840"/>
      <c r="J51" s="840"/>
      <c r="K51" s="1133"/>
      <c r="L51" s="1134"/>
      <c r="M51" s="840"/>
      <c r="N51" s="840"/>
      <c r="O51" s="840"/>
      <c r="P51" s="887"/>
      <c r="Q51" s="899"/>
    </row>
    <row r="52" spans="1:17" s="698" customFormat="1" ht="15">
      <c r="A52" s="1120" t="s">
        <v>1270</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1307</v>
      </c>
      <c r="B54" s="915"/>
      <c r="C54" s="916"/>
      <c r="D54" s="917"/>
      <c r="E54" s="917"/>
      <c r="F54" s="917"/>
      <c r="G54" s="917"/>
      <c r="H54" s="917"/>
      <c r="I54" s="917"/>
      <c r="J54" s="917"/>
      <c r="K54" s="917"/>
      <c r="L54" s="917"/>
      <c r="M54" s="966"/>
      <c r="N54" s="917"/>
      <c r="O54" s="1136"/>
      <c r="P54" s="899"/>
      <c r="Q54" s="899"/>
    </row>
    <row r="55" spans="1:17" s="693" customFormat="1" ht="15">
      <c r="A55" s="918" t="s">
        <v>1273</v>
      </c>
      <c r="B55" s="919"/>
      <c r="C55" s="920" t="s">
        <v>1274</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1308</v>
      </c>
      <c r="B57" s="925" t="s">
        <v>1277</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1280</v>
      </c>
      <c r="C59" s="930" t="s">
        <v>1309</v>
      </c>
      <c r="D59" s="930" t="s">
        <v>1310</v>
      </c>
      <c r="E59" s="930" t="s">
        <v>1311</v>
      </c>
      <c r="F59" s="930" t="s">
        <v>1312</v>
      </c>
      <c r="G59" s="930" t="s">
        <v>1313</v>
      </c>
      <c r="H59" s="930" t="s">
        <v>1314</v>
      </c>
      <c r="I59" s="930" t="s">
        <v>1315</v>
      </c>
      <c r="J59" s="930"/>
      <c r="K59" s="980"/>
      <c r="L59" s="981"/>
      <c r="M59" s="982"/>
      <c r="N59" s="976"/>
      <c r="O59" s="976"/>
      <c r="P59" s="977"/>
      <c r="Q59" s="899"/>
    </row>
    <row r="60" spans="1:17" ht="15">
      <c r="A60" s="926"/>
      <c r="B60" s="931"/>
      <c r="C60" s="932" t="s">
        <v>1351</v>
      </c>
      <c r="D60" s="932" t="s">
        <v>1351</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1281</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1282</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1316</v>
      </c>
      <c r="D76" s="930" t="s">
        <v>1317</v>
      </c>
      <c r="E76" s="930" t="s">
        <v>1318</v>
      </c>
      <c r="F76" s="930" t="s">
        <v>1319</v>
      </c>
      <c r="G76" s="930" t="s">
        <v>1320</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1287</v>
      </c>
      <c r="B88" s="925" t="s">
        <v>1288</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1290</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1291</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1293</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1294</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1295</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1296</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1299</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1365</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1366</v>
      </c>
      <c r="B1" s="1066"/>
      <c r="C1" s="1067"/>
      <c r="D1" s="1147"/>
      <c r="E1" s="1069"/>
      <c r="F1" s="1148" t="s">
        <v>1255</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824</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825</v>
      </c>
      <c r="B3" s="711" t="e">
        <f>IF(AND(D2="——",B37="元/平方米"),C39,ROUND(F3*C39/D3,0))</f>
        <v>#DIV/0!</v>
      </c>
      <c r="C3" s="1078" t="s">
        <v>1256</v>
      </c>
      <c r="D3" s="1079">
        <f>IF(C1="仅计算典型户型",'数据-取费表'!E5,'数据-取费表'!B5)</f>
        <v>95.95</v>
      </c>
      <c r="E3" s="1150" t="s">
        <v>1367</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1257</v>
      </c>
      <c r="B4" s="713"/>
      <c r="C4" s="2983" t="s">
        <v>1258</v>
      </c>
      <c r="D4" s="2984"/>
      <c r="E4" s="2985" t="s">
        <v>1259</v>
      </c>
      <c r="F4" s="2986"/>
      <c r="G4" s="2983" t="s">
        <v>1260</v>
      </c>
      <c r="H4" s="2984"/>
      <c r="I4" s="2983" t="s">
        <v>1261</v>
      </c>
      <c r="J4" s="2984"/>
      <c r="K4" s="849" t="s">
        <v>1262</v>
      </c>
      <c r="L4" s="1193"/>
      <c r="M4" s="1087"/>
      <c r="N4" s="1087"/>
      <c r="O4" s="1087"/>
      <c r="P4" s="3014" t="s">
        <v>1263</v>
      </c>
      <c r="Q4" s="3015"/>
      <c r="R4" s="3020" t="s">
        <v>1259</v>
      </c>
      <c r="S4" s="3021"/>
      <c r="T4" s="3020" t="s">
        <v>1260</v>
      </c>
      <c r="U4" s="3021"/>
      <c r="V4" s="3026" t="s">
        <v>1261</v>
      </c>
      <c r="W4" s="3026"/>
      <c r="X4" s="888"/>
      <c r="Y4" s="3020" t="s">
        <v>1263</v>
      </c>
      <c r="Z4" s="3021"/>
      <c r="AA4" s="3011" t="s">
        <v>1259</v>
      </c>
      <c r="AB4" s="3012" t="s">
        <v>1260</v>
      </c>
      <c r="AC4" s="3011" t="s">
        <v>1261</v>
      </c>
    </row>
    <row r="5" spans="1:29" ht="15">
      <c r="A5" s="714"/>
      <c r="B5" s="715"/>
      <c r="C5" s="3056" t="s">
        <v>1264</v>
      </c>
      <c r="D5" s="2988"/>
      <c r="E5" s="3057" t="s">
        <v>1265</v>
      </c>
      <c r="F5" s="3058"/>
      <c r="G5" s="3056" t="s">
        <v>1266</v>
      </c>
      <c r="H5" s="2988"/>
      <c r="I5" s="3056" t="s">
        <v>1267</v>
      </c>
      <c r="J5" s="2988"/>
      <c r="K5" s="849"/>
      <c r="L5" s="1193"/>
      <c r="M5" s="1087"/>
      <c r="N5" s="1087"/>
      <c r="O5" s="1087"/>
      <c r="P5" s="3016"/>
      <c r="Q5" s="3017"/>
      <c r="R5" s="3022"/>
      <c r="S5" s="3023"/>
      <c r="T5" s="3022"/>
      <c r="U5" s="3023"/>
      <c r="V5" s="3026"/>
      <c r="W5" s="3026"/>
      <c r="X5" s="888"/>
      <c r="Y5" s="3022"/>
      <c r="Z5" s="3023"/>
      <c r="AA5" s="3012"/>
      <c r="AB5" s="3012"/>
      <c r="AC5" s="3012"/>
    </row>
    <row r="6" spans="1:29" ht="15">
      <c r="A6" s="716"/>
      <c r="B6" s="717"/>
      <c r="C6" s="3059" t="s">
        <v>1268</v>
      </c>
      <c r="D6" s="2990"/>
      <c r="E6" s="3060" t="s">
        <v>1268</v>
      </c>
      <c r="F6" s="3061"/>
      <c r="G6" s="3059" t="s">
        <v>1268</v>
      </c>
      <c r="H6" s="2990"/>
      <c r="I6" s="3059" t="s">
        <v>1268</v>
      </c>
      <c r="J6" s="2990"/>
      <c r="K6" s="849" t="s">
        <v>1269</v>
      </c>
      <c r="L6" s="1193"/>
      <c r="M6" s="1087"/>
      <c r="N6" s="1087"/>
      <c r="O6" s="1087"/>
      <c r="P6" s="3018"/>
      <c r="Q6" s="3019"/>
      <c r="R6" s="3022"/>
      <c r="S6" s="3023"/>
      <c r="T6" s="3024"/>
      <c r="U6" s="3025"/>
      <c r="V6" s="3026"/>
      <c r="W6" s="3026"/>
      <c r="X6" s="888"/>
      <c r="Y6" s="3024"/>
      <c r="Z6" s="3025"/>
      <c r="AA6" s="3013"/>
      <c r="AB6" s="3013"/>
      <c r="AC6" s="3013"/>
    </row>
    <row r="7" spans="1:29" s="693" customFormat="1" ht="15">
      <c r="A7" s="718" t="s">
        <v>1270</v>
      </c>
      <c r="B7" s="719"/>
      <c r="C7" s="720">
        <f>'数据-取费表'!B2</f>
        <v>43199</v>
      </c>
      <c r="D7" s="721">
        <v>100</v>
      </c>
      <c r="E7" s="722"/>
      <c r="F7" s="723">
        <f>SUMIF(48:48,YEAR(E7)&amp;"-"&amp;MONTH(E7),49:49)</f>
        <v>0</v>
      </c>
      <c r="G7" s="722"/>
      <c r="H7" s="721">
        <f>SUMIF(48:48,YEAR(G7)&amp;"-"&amp;MONTH(G7),49:49)</f>
        <v>0</v>
      </c>
      <c r="I7" s="722"/>
      <c r="J7" s="721">
        <f>SUMIF(48:48,YEAR(I7)&amp;"-"&amp;MONTH(I7),49:49)</f>
        <v>0</v>
      </c>
      <c r="K7" s="852"/>
      <c r="L7" s="1194"/>
      <c r="M7" s="1195"/>
      <c r="N7" s="1195"/>
      <c r="O7" s="1195"/>
      <c r="P7" s="2991" t="s">
        <v>1271</v>
      </c>
      <c r="Q7" s="2992"/>
      <c r="R7" s="890" t="s">
        <v>1272</v>
      </c>
      <c r="S7" s="891">
        <f t="shared" ref="S7:S14" si="0">F7</f>
        <v>0</v>
      </c>
      <c r="T7" s="890" t="s">
        <v>1272</v>
      </c>
      <c r="U7" s="891">
        <f t="shared" ref="U7:U14" si="1">H7</f>
        <v>0</v>
      </c>
      <c r="V7" s="890" t="s">
        <v>1272</v>
      </c>
      <c r="W7" s="891">
        <f t="shared" ref="W7:W14" si="2">J7</f>
        <v>0</v>
      </c>
      <c r="X7" s="892"/>
      <c r="Y7" s="2991" t="s">
        <v>1271</v>
      </c>
      <c r="Z7" s="2993"/>
      <c r="AA7" s="903" t="e">
        <f>D7/F7</f>
        <v>#DIV/0!</v>
      </c>
      <c r="AB7" s="903" t="e">
        <f>D7/H7</f>
        <v>#DIV/0!</v>
      </c>
      <c r="AC7" s="903" t="e">
        <f>D7/J7</f>
        <v>#DIV/0!</v>
      </c>
    </row>
    <row r="8" spans="1:29" s="693" customFormat="1" ht="15">
      <c r="A8" s="718" t="s">
        <v>1273</v>
      </c>
      <c r="B8" s="719"/>
      <c r="C8" s="725" t="s">
        <v>1274</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2991" t="s">
        <v>1275</v>
      </c>
      <c r="Q8" s="2993"/>
      <c r="R8" s="890" t="s">
        <v>1272</v>
      </c>
      <c r="S8" s="891">
        <f t="shared" si="0"/>
        <v>0</v>
      </c>
      <c r="T8" s="890" t="s">
        <v>1272</v>
      </c>
      <c r="U8" s="891">
        <f t="shared" si="1"/>
        <v>0</v>
      </c>
      <c r="V8" s="890" t="s">
        <v>1272</v>
      </c>
      <c r="W8" s="891">
        <f t="shared" si="2"/>
        <v>0</v>
      </c>
      <c r="X8" s="892"/>
      <c r="Y8" s="2991" t="s">
        <v>1275</v>
      </c>
      <c r="Z8" s="2993"/>
      <c r="AA8" s="903" t="e">
        <f t="shared" ref="AA8:AA36" si="3">D8/F8</f>
        <v>#DIV/0!</v>
      </c>
      <c r="AB8" s="903" t="e">
        <f t="shared" ref="AB8:AB36" si="4">D8/H8</f>
        <v>#DIV/0!</v>
      </c>
      <c r="AC8" s="903" t="e">
        <f t="shared" ref="AC8:AC36" si="5">D8/J8</f>
        <v>#DIV/0!</v>
      </c>
    </row>
    <row r="9" spans="1:29" s="693" customFormat="1">
      <c r="A9" s="1151" t="s">
        <v>1276</v>
      </c>
      <c r="B9" s="1152" t="s">
        <v>1277</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2994" t="s">
        <v>1278</v>
      </c>
      <c r="Q9" s="893" t="str">
        <f t="shared" ref="Q9:Q14" si="6">B9</f>
        <v>用途</v>
      </c>
      <c r="R9" s="890" t="s">
        <v>1272</v>
      </c>
      <c r="S9" s="891">
        <f t="shared" si="0"/>
        <v>100</v>
      </c>
      <c r="T9" s="890" t="s">
        <v>1272</v>
      </c>
      <c r="U9" s="891">
        <f t="shared" si="1"/>
        <v>100</v>
      </c>
      <c r="V9" s="890" t="s">
        <v>1272</v>
      </c>
      <c r="W9" s="891">
        <f t="shared" si="2"/>
        <v>100</v>
      </c>
      <c r="X9" s="892"/>
      <c r="Y9" s="2942" t="s">
        <v>1279</v>
      </c>
      <c r="Z9" s="904" t="str">
        <f t="shared" ref="Z9:Z14" si="7">Q9</f>
        <v>用途</v>
      </c>
      <c r="AA9" s="903">
        <f t="shared" si="3"/>
        <v>1</v>
      </c>
      <c r="AB9" s="903">
        <f t="shared" si="4"/>
        <v>1</v>
      </c>
      <c r="AC9" s="903">
        <f t="shared" si="5"/>
        <v>1</v>
      </c>
    </row>
    <row r="10" spans="1:29" s="694" customFormat="1" ht="27">
      <c r="A10" s="1154"/>
      <c r="B10" s="1155" t="s">
        <v>1280</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2994"/>
      <c r="Q10" s="893" t="str">
        <f t="shared" si="6"/>
        <v>土地使用年限（年）</v>
      </c>
      <c r="R10" s="890" t="s">
        <v>1272</v>
      </c>
      <c r="S10" s="891">
        <f t="shared" si="0"/>
        <v>100</v>
      </c>
      <c r="T10" s="890" t="s">
        <v>1272</v>
      </c>
      <c r="U10" s="891">
        <f t="shared" si="1"/>
        <v>100</v>
      </c>
      <c r="V10" s="890" t="s">
        <v>1272</v>
      </c>
      <c r="W10" s="891">
        <f t="shared" si="2"/>
        <v>100</v>
      </c>
      <c r="X10" s="892"/>
      <c r="Y10" s="2942"/>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2994"/>
      <c r="Q11" s="893">
        <f t="shared" si="6"/>
        <v>111</v>
      </c>
      <c r="R11" s="890" t="s">
        <v>1272</v>
      </c>
      <c r="S11" s="891">
        <f t="shared" si="0"/>
        <v>100</v>
      </c>
      <c r="T11" s="890" t="s">
        <v>1272</v>
      </c>
      <c r="U11" s="891">
        <f t="shared" si="1"/>
        <v>100</v>
      </c>
      <c r="V11" s="890" t="s">
        <v>1272</v>
      </c>
      <c r="W11" s="891">
        <f t="shared" si="2"/>
        <v>100</v>
      </c>
      <c r="X11" s="892"/>
      <c r="Y11" s="2942"/>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2994"/>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2994"/>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12" t="s">
        <v>1282</v>
      </c>
      <c r="B14" s="749" t="s">
        <v>211</v>
      </c>
      <c r="C14" s="1160">
        <f>IF(B1="工业",估价对象房地状况!G4,估价对象房地状况!C6)</f>
        <v>0</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02" t="s">
        <v>1283</v>
      </c>
      <c r="Q14" s="486" t="str">
        <f t="shared" si="6"/>
        <v>交通便捷度</v>
      </c>
      <c r="R14" s="894" t="s">
        <v>1272</v>
      </c>
      <c r="S14" s="895">
        <f t="shared" si="0"/>
        <v>100</v>
      </c>
      <c r="T14" s="894" t="s">
        <v>1272</v>
      </c>
      <c r="U14" s="895">
        <f t="shared" si="1"/>
        <v>100</v>
      </c>
      <c r="V14" s="894" t="s">
        <v>1272</v>
      </c>
      <c r="W14" s="895">
        <f t="shared" si="2"/>
        <v>100</v>
      </c>
      <c r="X14" s="888"/>
      <c r="Y14" s="3002" t="s">
        <v>1283</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03"/>
      <c r="Q15" s="486"/>
      <c r="R15" s="894"/>
      <c r="S15" s="895"/>
      <c r="T15" s="894"/>
      <c r="U15" s="895"/>
      <c r="V15" s="894"/>
      <c r="W15" s="895"/>
      <c r="X15" s="888"/>
      <c r="Y15" s="3003"/>
      <c r="Z15" s="823"/>
      <c r="AA15" s="905">
        <v>1</v>
      </c>
      <c r="AB15" s="905">
        <v>1</v>
      </c>
      <c r="AC15" s="905">
        <v>1</v>
      </c>
    </row>
    <row r="16" spans="1:29" ht="15">
      <c r="A16" s="714"/>
      <c r="B16" s="758" t="s">
        <v>213</v>
      </c>
      <c r="C16" s="1165">
        <f>IF(B1="工业",估价对象房地状况!G5,估价对象房地状况!C7)</f>
        <v>0</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03"/>
      <c r="Q16" s="486" t="str">
        <f>B16</f>
        <v>公共配套设施</v>
      </c>
      <c r="R16" s="894" t="s">
        <v>1272</v>
      </c>
      <c r="S16" s="895">
        <f>F16</f>
        <v>100</v>
      </c>
      <c r="T16" s="894" t="s">
        <v>1272</v>
      </c>
      <c r="U16" s="895">
        <f>H16</f>
        <v>100</v>
      </c>
      <c r="V16" s="894" t="s">
        <v>1272</v>
      </c>
      <c r="W16" s="895">
        <f>J16</f>
        <v>100</v>
      </c>
      <c r="X16" s="888"/>
      <c r="Y16" s="3003"/>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03"/>
      <c r="Q17" s="486"/>
      <c r="R17" s="894"/>
      <c r="S17" s="895"/>
      <c r="T17" s="894"/>
      <c r="U17" s="895"/>
      <c r="V17" s="894"/>
      <c r="W17" s="895"/>
      <c r="X17" s="888"/>
      <c r="Y17" s="3003"/>
      <c r="Z17" s="823"/>
      <c r="AA17" s="905">
        <v>1</v>
      </c>
      <c r="AB17" s="905">
        <v>1</v>
      </c>
      <c r="AC17" s="905">
        <v>1</v>
      </c>
    </row>
    <row r="18" spans="1:29" ht="15">
      <c r="A18" s="714"/>
      <c r="B18" s="766" t="s">
        <v>214</v>
      </c>
      <c r="C18" s="1165">
        <f>IF(B1="工业",估价对象房地状况!G6,估价对象房地状况!C8)</f>
        <v>0</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03"/>
      <c r="Q18" s="486" t="str">
        <f>B18</f>
        <v>基础设施水平</v>
      </c>
      <c r="R18" s="894" t="s">
        <v>1272</v>
      </c>
      <c r="S18" s="895">
        <f>F18</f>
        <v>100</v>
      </c>
      <c r="T18" s="894" t="s">
        <v>1272</v>
      </c>
      <c r="U18" s="895">
        <f>H18</f>
        <v>100</v>
      </c>
      <c r="V18" s="894" t="s">
        <v>1272</v>
      </c>
      <c r="W18" s="895">
        <f>J18</f>
        <v>100</v>
      </c>
      <c r="X18" s="888"/>
      <c r="Y18" s="3003"/>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03"/>
      <c r="Q19" s="486"/>
      <c r="R19" s="894"/>
      <c r="S19" s="895"/>
      <c r="T19" s="894"/>
      <c r="U19" s="895"/>
      <c r="V19" s="894"/>
      <c r="W19" s="895"/>
      <c r="X19" s="888"/>
      <c r="Y19" s="3003"/>
      <c r="Z19" s="823"/>
      <c r="AA19" s="905">
        <v>1</v>
      </c>
      <c r="AB19" s="905">
        <v>1</v>
      </c>
      <c r="AC19" s="905">
        <v>1</v>
      </c>
    </row>
    <row r="20" spans="1:29" ht="15">
      <c r="A20" s="714"/>
      <c r="B20" s="758" t="s">
        <v>567</v>
      </c>
      <c r="C20" s="1165">
        <f>IF(B1="工业",估价对象房地状况!G7,估价对象房地状况!C9)</f>
        <v>0</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03"/>
      <c r="Q20" s="486" t="str">
        <f>B20</f>
        <v>自然及人文环境</v>
      </c>
      <c r="R20" s="894" t="s">
        <v>1272</v>
      </c>
      <c r="S20" s="895">
        <f>F20</f>
        <v>100</v>
      </c>
      <c r="T20" s="894" t="s">
        <v>1272</v>
      </c>
      <c r="U20" s="895">
        <f>H20</f>
        <v>100</v>
      </c>
      <c r="V20" s="894" t="s">
        <v>1272</v>
      </c>
      <c r="W20" s="895">
        <f>J20</f>
        <v>100</v>
      </c>
      <c r="X20" s="888"/>
      <c r="Y20" s="3003"/>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03"/>
      <c r="Q21" s="486"/>
      <c r="R21" s="894"/>
      <c r="S21" s="895"/>
      <c r="T21" s="894"/>
      <c r="U21" s="895"/>
      <c r="V21" s="894"/>
      <c r="W21" s="895"/>
      <c r="X21" s="888"/>
      <c r="Y21" s="3003"/>
      <c r="Z21" s="823"/>
      <c r="AA21" s="905">
        <v>1</v>
      </c>
      <c r="AB21" s="905">
        <v>1</v>
      </c>
      <c r="AC21" s="905">
        <v>1</v>
      </c>
    </row>
    <row r="22" spans="1:29" ht="15">
      <c r="A22" s="714"/>
      <c r="B22" s="758" t="s">
        <v>1344</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03"/>
      <c r="Q22" s="486" t="str">
        <f>B22</f>
        <v>楼层</v>
      </c>
      <c r="R22" s="894" t="s">
        <v>1272</v>
      </c>
      <c r="S22" s="895">
        <f>F22</f>
        <v>100</v>
      </c>
      <c r="T22" s="894" t="s">
        <v>1272</v>
      </c>
      <c r="U22" s="895">
        <f>H22</f>
        <v>100</v>
      </c>
      <c r="V22" s="894" t="s">
        <v>1272</v>
      </c>
      <c r="W22" s="895">
        <f>J22</f>
        <v>100</v>
      </c>
      <c r="X22" s="888"/>
      <c r="Y22" s="3003"/>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03"/>
      <c r="Q23" s="486">
        <f>B23</f>
        <v>111</v>
      </c>
      <c r="R23" s="894" t="s">
        <v>1272</v>
      </c>
      <c r="S23" s="895">
        <f>F23</f>
        <v>100</v>
      </c>
      <c r="T23" s="894" t="s">
        <v>1272</v>
      </c>
      <c r="U23" s="895">
        <f>H23</f>
        <v>100</v>
      </c>
      <c r="V23" s="894" t="s">
        <v>1272</v>
      </c>
      <c r="W23" s="895">
        <f>J23</f>
        <v>100</v>
      </c>
      <c r="X23" s="888"/>
      <c r="Y23" s="3003"/>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03"/>
      <c r="Q24" s="486">
        <f t="shared" ref="Q24:Q36" si="11">B24</f>
        <v>111</v>
      </c>
      <c r="R24" s="894" t="s">
        <v>1272</v>
      </c>
      <c r="S24" s="895">
        <f>F24</f>
        <v>100</v>
      </c>
      <c r="T24" s="894" t="s">
        <v>1272</v>
      </c>
      <c r="U24" s="895">
        <f>H24</f>
        <v>100</v>
      </c>
      <c r="V24" s="894" t="s">
        <v>1272</v>
      </c>
      <c r="W24" s="895">
        <f>J24</f>
        <v>100</v>
      </c>
      <c r="X24" s="888"/>
      <c r="Y24" s="3003"/>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03"/>
      <c r="Q25" s="893">
        <f t="shared" si="11"/>
        <v>111</v>
      </c>
      <c r="R25" s="890" t="s">
        <v>1272</v>
      </c>
      <c r="S25" s="891">
        <f>F25</f>
        <v>100</v>
      </c>
      <c r="T25" s="890" t="s">
        <v>1272</v>
      </c>
      <c r="U25" s="891">
        <f>H25</f>
        <v>100</v>
      </c>
      <c r="V25" s="890" t="s">
        <v>1272</v>
      </c>
      <c r="W25" s="891">
        <f>J25</f>
        <v>100</v>
      </c>
      <c r="X25" s="892"/>
      <c r="Y25" s="3003"/>
      <c r="Z25" s="904">
        <f>Q25</f>
        <v>111</v>
      </c>
      <c r="AA25" s="905">
        <f t="shared" si="3"/>
        <v>1</v>
      </c>
      <c r="AB25" s="905">
        <f t="shared" si="4"/>
        <v>1</v>
      </c>
      <c r="AC25" s="905">
        <f t="shared" si="5"/>
        <v>1</v>
      </c>
    </row>
    <row r="26" spans="1:29" ht="28.5">
      <c r="A26" s="1180" t="s">
        <v>1287</v>
      </c>
      <c r="B26" s="1181" t="s">
        <v>1368</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69" t="s">
        <v>1289</v>
      </c>
      <c r="Q26" s="486" t="str">
        <f t="shared" si="11"/>
        <v>配套类型</v>
      </c>
      <c r="R26" s="894" t="s">
        <v>1272</v>
      </c>
      <c r="S26" s="895">
        <f t="shared" ref="S26:S36" si="12">F26</f>
        <v>100</v>
      </c>
      <c r="T26" s="894" t="s">
        <v>1272</v>
      </c>
      <c r="U26" s="895">
        <f t="shared" ref="U26:U36" si="13">H26</f>
        <v>100</v>
      </c>
      <c r="V26" s="894" t="s">
        <v>1272</v>
      </c>
      <c r="W26" s="895">
        <f t="shared" ref="W26:W36" si="14">J26</f>
        <v>100</v>
      </c>
      <c r="X26" s="888"/>
      <c r="Y26" s="3004" t="s">
        <v>1289</v>
      </c>
      <c r="Z26" s="823" t="str">
        <f t="shared" ref="Z26:Z36" si="15">Q26</f>
        <v>配套类型</v>
      </c>
      <c r="AA26" s="905">
        <f t="shared" si="3"/>
        <v>1</v>
      </c>
      <c r="AB26" s="905">
        <f t="shared" si="4"/>
        <v>1</v>
      </c>
      <c r="AC26" s="905">
        <f t="shared" si="5"/>
        <v>1</v>
      </c>
    </row>
    <row r="27" spans="1:29" s="695" customFormat="1" ht="15">
      <c r="A27" s="1183"/>
      <c r="B27" s="771" t="s">
        <v>1369</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04"/>
      <c r="Q27" s="1137" t="str">
        <f t="shared" si="11"/>
        <v>项目停车位配比</v>
      </c>
      <c r="R27" s="896" t="s">
        <v>1272</v>
      </c>
      <c r="S27" s="897">
        <f t="shared" si="12"/>
        <v>100</v>
      </c>
      <c r="T27" s="896" t="s">
        <v>1272</v>
      </c>
      <c r="U27" s="897">
        <f t="shared" si="13"/>
        <v>100</v>
      </c>
      <c r="V27" s="896" t="s">
        <v>1272</v>
      </c>
      <c r="W27" s="897">
        <f t="shared" si="14"/>
        <v>100</v>
      </c>
      <c r="X27" s="898"/>
      <c r="Y27" s="3004"/>
      <c r="Z27" s="906" t="str">
        <f t="shared" si="15"/>
        <v>项目停车位配比</v>
      </c>
      <c r="AA27" s="905">
        <f t="shared" si="3"/>
        <v>1</v>
      </c>
      <c r="AB27" s="905">
        <f t="shared" si="4"/>
        <v>1</v>
      </c>
      <c r="AC27" s="905">
        <f t="shared" si="5"/>
        <v>1</v>
      </c>
    </row>
    <row r="28" spans="1:29" ht="15">
      <c r="A28" s="1185"/>
      <c r="B28" s="771" t="s">
        <v>1293</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04"/>
      <c r="Q28" s="486" t="str">
        <f t="shared" si="11"/>
        <v>公共部分装修</v>
      </c>
      <c r="R28" s="894" t="s">
        <v>1272</v>
      </c>
      <c r="S28" s="895">
        <f t="shared" si="12"/>
        <v>100</v>
      </c>
      <c r="T28" s="894" t="s">
        <v>1272</v>
      </c>
      <c r="U28" s="895">
        <f t="shared" si="13"/>
        <v>100</v>
      </c>
      <c r="V28" s="894" t="s">
        <v>1272</v>
      </c>
      <c r="W28" s="895">
        <f t="shared" si="14"/>
        <v>100</v>
      </c>
      <c r="X28" s="888"/>
      <c r="Y28" s="3004"/>
      <c r="Z28" s="823" t="str">
        <f t="shared" si="15"/>
        <v>公共部分装修</v>
      </c>
      <c r="AA28" s="905">
        <f t="shared" si="3"/>
        <v>1</v>
      </c>
      <c r="AB28" s="905">
        <f t="shared" si="4"/>
        <v>1</v>
      </c>
      <c r="AC28" s="905">
        <f t="shared" si="5"/>
        <v>1</v>
      </c>
    </row>
    <row r="29" spans="1:29" ht="15">
      <c r="A29" s="1185"/>
      <c r="B29" s="771" t="s">
        <v>1370</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04"/>
      <c r="Q29" s="486" t="str">
        <f t="shared" si="11"/>
        <v>成新率</v>
      </c>
      <c r="R29" s="894" t="s">
        <v>1272</v>
      </c>
      <c r="S29" s="895" t="e">
        <f t="shared" si="12"/>
        <v>#N/A</v>
      </c>
      <c r="T29" s="894" t="s">
        <v>1272</v>
      </c>
      <c r="U29" s="895" t="e">
        <f t="shared" si="13"/>
        <v>#N/A</v>
      </c>
      <c r="V29" s="894" t="s">
        <v>1272</v>
      </c>
      <c r="W29" s="895" t="e">
        <f t="shared" si="14"/>
        <v>#N/A</v>
      </c>
      <c r="X29" s="888"/>
      <c r="Y29" s="3004"/>
      <c r="Z29" s="823" t="str">
        <f t="shared" si="15"/>
        <v>成新率</v>
      </c>
      <c r="AA29" s="905" t="e">
        <f t="shared" si="3"/>
        <v>#N/A</v>
      </c>
      <c r="AB29" s="905" t="e">
        <f t="shared" si="4"/>
        <v>#N/A</v>
      </c>
      <c r="AC29" s="905" t="e">
        <f t="shared" si="5"/>
        <v>#N/A</v>
      </c>
    </row>
    <row r="30" spans="1:29" ht="15">
      <c r="A30" s="1185"/>
      <c r="B30" s="771" t="s">
        <v>1371</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04"/>
      <c r="Q30" s="486" t="str">
        <f t="shared" si="11"/>
        <v>物业等级</v>
      </c>
      <c r="R30" s="894" t="s">
        <v>1272</v>
      </c>
      <c r="S30" s="895">
        <f t="shared" si="12"/>
        <v>100</v>
      </c>
      <c r="T30" s="894" t="s">
        <v>1272</v>
      </c>
      <c r="U30" s="895">
        <f t="shared" si="13"/>
        <v>100</v>
      </c>
      <c r="V30" s="894" t="s">
        <v>1272</v>
      </c>
      <c r="W30" s="895">
        <f t="shared" si="14"/>
        <v>100</v>
      </c>
      <c r="X30" s="888"/>
      <c r="Y30" s="3004"/>
      <c r="Z30" s="823" t="str">
        <f t="shared" si="15"/>
        <v>物业等级</v>
      </c>
      <c r="AA30" s="905">
        <f t="shared" si="3"/>
        <v>1</v>
      </c>
      <c r="AB30" s="905">
        <f t="shared" si="4"/>
        <v>1</v>
      </c>
      <c r="AC30" s="905">
        <f t="shared" si="5"/>
        <v>1</v>
      </c>
    </row>
    <row r="31" spans="1:29" s="693" customFormat="1" ht="15">
      <c r="A31" s="1186"/>
      <c r="B31" s="771" t="s">
        <v>1372</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04"/>
      <c r="Q31" s="893" t="str">
        <f t="shared" si="11"/>
        <v>停车位面积</v>
      </c>
      <c r="R31" s="890" t="s">
        <v>1272</v>
      </c>
      <c r="S31" s="891" t="e">
        <f t="shared" si="12"/>
        <v>#N/A</v>
      </c>
      <c r="T31" s="890" t="s">
        <v>1272</v>
      </c>
      <c r="U31" s="891" t="e">
        <f t="shared" si="13"/>
        <v>#N/A</v>
      </c>
      <c r="V31" s="890" t="s">
        <v>1272</v>
      </c>
      <c r="W31" s="891" t="e">
        <f t="shared" si="14"/>
        <v>#N/A</v>
      </c>
      <c r="X31" s="892"/>
      <c r="Y31" s="3004"/>
      <c r="Z31" s="904" t="str">
        <f t="shared" si="15"/>
        <v>停车位面积</v>
      </c>
      <c r="AA31" s="903" t="e">
        <f t="shared" si="3"/>
        <v>#N/A</v>
      </c>
      <c r="AB31" s="903" t="e">
        <f t="shared" si="4"/>
        <v>#N/A</v>
      </c>
      <c r="AC31" s="903" t="e">
        <f t="shared" si="5"/>
        <v>#N/A</v>
      </c>
    </row>
    <row r="32" spans="1:29" ht="15">
      <c r="A32" s="1185"/>
      <c r="B32" s="771" t="s">
        <v>1373</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04" t="s">
        <v>1289</v>
      </c>
      <c r="Q32" s="486" t="str">
        <f t="shared" si="11"/>
        <v>车位类型</v>
      </c>
      <c r="R32" s="894" t="s">
        <v>1272</v>
      </c>
      <c r="S32" s="895">
        <f t="shared" si="12"/>
        <v>100</v>
      </c>
      <c r="T32" s="894" t="s">
        <v>1272</v>
      </c>
      <c r="U32" s="895">
        <f t="shared" si="13"/>
        <v>100</v>
      </c>
      <c r="V32" s="894" t="s">
        <v>1272</v>
      </c>
      <c r="W32" s="895">
        <f t="shared" si="14"/>
        <v>100</v>
      </c>
      <c r="X32" s="888"/>
      <c r="Y32" s="3004" t="s">
        <v>1289</v>
      </c>
      <c r="Z32" s="823" t="str">
        <f t="shared" si="15"/>
        <v>车位类型</v>
      </c>
      <c r="AA32" s="905">
        <f t="shared" si="3"/>
        <v>1</v>
      </c>
      <c r="AB32" s="905">
        <f t="shared" si="4"/>
        <v>1</v>
      </c>
      <c r="AC32" s="905">
        <f t="shared" si="5"/>
        <v>1</v>
      </c>
    </row>
    <row r="33" spans="1:29" ht="15">
      <c r="A33" s="1185"/>
      <c r="B33" s="771" t="s">
        <v>1374</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04"/>
      <c r="Q33" s="486" t="str">
        <f t="shared" si="11"/>
        <v>是否直接入户</v>
      </c>
      <c r="R33" s="894" t="s">
        <v>1272</v>
      </c>
      <c r="S33" s="895">
        <f t="shared" si="12"/>
        <v>100</v>
      </c>
      <c r="T33" s="894" t="s">
        <v>1272</v>
      </c>
      <c r="U33" s="895">
        <f t="shared" si="13"/>
        <v>100</v>
      </c>
      <c r="V33" s="894" t="s">
        <v>1272</v>
      </c>
      <c r="W33" s="895">
        <f t="shared" si="14"/>
        <v>100</v>
      </c>
      <c r="X33" s="888"/>
      <c r="Y33" s="3004"/>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04"/>
      <c r="Q34" s="486">
        <f t="shared" si="11"/>
        <v>111</v>
      </c>
      <c r="R34" s="894" t="s">
        <v>1272</v>
      </c>
      <c r="S34" s="895">
        <f t="shared" si="12"/>
        <v>100</v>
      </c>
      <c r="T34" s="894" t="s">
        <v>1272</v>
      </c>
      <c r="U34" s="895">
        <f t="shared" si="13"/>
        <v>100</v>
      </c>
      <c r="V34" s="894" t="s">
        <v>1272</v>
      </c>
      <c r="W34" s="895">
        <f t="shared" si="14"/>
        <v>100</v>
      </c>
      <c r="X34" s="888"/>
      <c r="Y34" s="3004"/>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04"/>
      <c r="Q35" s="1137">
        <f t="shared" si="11"/>
        <v>111</v>
      </c>
      <c r="R35" s="896" t="s">
        <v>1272</v>
      </c>
      <c r="S35" s="897">
        <f t="shared" si="12"/>
        <v>100</v>
      </c>
      <c r="T35" s="896" t="s">
        <v>1272</v>
      </c>
      <c r="U35" s="897">
        <f t="shared" si="13"/>
        <v>100</v>
      </c>
      <c r="V35" s="896" t="s">
        <v>1272</v>
      </c>
      <c r="W35" s="897">
        <f t="shared" si="14"/>
        <v>100</v>
      </c>
      <c r="X35" s="898"/>
      <c r="Y35" s="3004"/>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04"/>
      <c r="Q36" s="486">
        <f t="shared" si="11"/>
        <v>111</v>
      </c>
      <c r="R36" s="894" t="s">
        <v>1272</v>
      </c>
      <c r="S36" s="895">
        <f t="shared" si="12"/>
        <v>100</v>
      </c>
      <c r="T36" s="894" t="s">
        <v>1272</v>
      </c>
      <c r="U36" s="895">
        <f t="shared" si="13"/>
        <v>100</v>
      </c>
      <c r="V36" s="894" t="s">
        <v>1272</v>
      </c>
      <c r="W36" s="895">
        <f t="shared" si="14"/>
        <v>100</v>
      </c>
      <c r="X36" s="888"/>
      <c r="Y36" s="3004"/>
      <c r="Z36" s="823">
        <f t="shared" si="15"/>
        <v>111</v>
      </c>
      <c r="AA36" s="905">
        <f t="shared" si="3"/>
        <v>1</v>
      </c>
      <c r="AB36" s="905">
        <f t="shared" si="4"/>
        <v>1</v>
      </c>
      <c r="AC36" s="905">
        <f t="shared" si="5"/>
        <v>1</v>
      </c>
    </row>
    <row r="37" spans="1:29" ht="15">
      <c r="A37" s="792" t="s">
        <v>1375</v>
      </c>
      <c r="B37" s="1188" t="s">
        <v>1376</v>
      </c>
      <c r="C37" s="1109" t="s">
        <v>121</v>
      </c>
      <c r="D37" s="1110"/>
      <c r="E37" s="1111"/>
      <c r="F37" s="1112"/>
      <c r="G37" s="1113"/>
      <c r="H37" s="1114"/>
      <c r="I37" s="1111"/>
      <c r="J37" s="1114"/>
      <c r="K37" s="1204"/>
      <c r="L37" s="1205"/>
      <c r="M37" s="839"/>
      <c r="N37" s="1087"/>
      <c r="O37" s="839"/>
      <c r="P37" s="2994" t="str">
        <f>A37</f>
        <v>成交单价</v>
      </c>
      <c r="Q37" s="2994"/>
      <c r="R37" s="2995">
        <f>E37</f>
        <v>0</v>
      </c>
      <c r="S37" s="2995"/>
      <c r="T37" s="2995">
        <f>G37</f>
        <v>0</v>
      </c>
      <c r="U37" s="2995"/>
      <c r="V37" s="2995">
        <f>I37</f>
        <v>0</v>
      </c>
      <c r="W37" s="2995"/>
      <c r="X37" s="839"/>
      <c r="Y37" s="907"/>
      <c r="Z37" s="839"/>
      <c r="AA37" s="839"/>
      <c r="AB37" s="839"/>
      <c r="AC37" s="839"/>
    </row>
    <row r="38" spans="1:29" ht="15">
      <c r="A38" s="800" t="s">
        <v>1377</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2994" t="str">
        <f>A38</f>
        <v>比较价值</v>
      </c>
      <c r="Q38" s="2994"/>
      <c r="R38" s="2995" t="e">
        <f>IF(E1="售价",ROUND(PRODUCT(R37,AA7:AA36),0),ROUND(PRODUCT(R37,AA7:AA36),1))</f>
        <v>#DIV/0!</v>
      </c>
      <c r="S38" s="2995"/>
      <c r="T38" s="2995" t="e">
        <f>IF(E1="售价",ROUND(PRODUCT(T37,AB7:AB36),0),ROUND(PRODUCT(T37,AB7:AB36),1))</f>
        <v>#DIV/0!</v>
      </c>
      <c r="U38" s="2995"/>
      <c r="V38" s="2995" t="e">
        <f>IF(E1="售价",ROUND(PRODUCT(V37,AC7:AC36),0),ROUND(PRODUCT(V37,AC7:AC36),1))</f>
        <v>#DIV/0!</v>
      </c>
      <c r="W38" s="2995"/>
      <c r="X38" s="839"/>
      <c r="Y38" s="839"/>
      <c r="Z38" s="839"/>
      <c r="AA38" s="839"/>
      <c r="AB38" s="839"/>
      <c r="AC38" s="839"/>
    </row>
    <row r="39" spans="1:29" ht="15">
      <c r="A39" s="806" t="s">
        <v>1302</v>
      </c>
      <c r="B39" s="807"/>
      <c r="C39" s="1119" t="e">
        <f>R39</f>
        <v>#DIV/0!</v>
      </c>
      <c r="D39" s="1119"/>
      <c r="E39" s="1119"/>
      <c r="F39" s="1119"/>
      <c r="G39" s="1119"/>
      <c r="H39" s="1119"/>
      <c r="I39" s="1119"/>
      <c r="J39" s="1119"/>
      <c r="K39" s="1207"/>
      <c r="L39" s="1205"/>
      <c r="M39" s="839"/>
      <c r="N39" s="839"/>
      <c r="O39" s="839"/>
      <c r="P39" s="3008" t="str">
        <f>A39</f>
        <v>估价对象XX用房的比较价值（楼面单价，元/平方米）</v>
      </c>
      <c r="Q39" s="3009"/>
      <c r="R39" s="3010" t="e">
        <f>IF(E1="售价",ROUND(AVERAGE(R38:V38),0),ROUND(AVERAGE(R38:V38),1))</f>
        <v>#DIV/0!</v>
      </c>
      <c r="S39" s="3010"/>
      <c r="T39" s="3010"/>
      <c r="U39" s="3010"/>
      <c r="V39" s="3010"/>
      <c r="W39" s="3010"/>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1303</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1304</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1305</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1306</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1270</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1307</v>
      </c>
      <c r="B50" s="915"/>
      <c r="C50" s="916"/>
      <c r="D50" s="917"/>
      <c r="E50" s="917"/>
      <c r="F50" s="917"/>
      <c r="G50" s="917"/>
      <c r="H50" s="917"/>
      <c r="I50" s="917"/>
      <c r="J50" s="917"/>
      <c r="K50" s="917"/>
      <c r="L50" s="917"/>
      <c r="M50" s="966"/>
      <c r="N50" s="917"/>
      <c r="O50" s="1136"/>
      <c r="P50" s="899"/>
      <c r="Q50" s="899"/>
    </row>
    <row r="51" spans="1:17" s="693" customFormat="1" ht="15">
      <c r="A51" s="918" t="s">
        <v>1273</v>
      </c>
      <c r="B51" s="919"/>
      <c r="C51" s="920" t="s">
        <v>1274</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1308</v>
      </c>
      <c r="B53" s="925" t="s">
        <v>1277</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1280</v>
      </c>
      <c r="C55" s="930" t="s">
        <v>1309</v>
      </c>
      <c r="D55" s="930" t="s">
        <v>1310</v>
      </c>
      <c r="E55" s="930" t="s">
        <v>1311</v>
      </c>
      <c r="F55" s="930" t="s">
        <v>1312</v>
      </c>
      <c r="G55" s="930" t="s">
        <v>1313</v>
      </c>
      <c r="H55" s="930" t="s">
        <v>1314</v>
      </c>
      <c r="I55" s="930" t="s">
        <v>1315</v>
      </c>
      <c r="J55" s="930"/>
      <c r="K55" s="980"/>
      <c r="L55" s="981"/>
      <c r="M55" s="982"/>
      <c r="N55" s="1211"/>
      <c r="O55" s="1211"/>
      <c r="P55" s="977"/>
      <c r="Q55" s="899"/>
    </row>
    <row r="56" spans="1:17" ht="15">
      <c r="A56" s="926"/>
      <c r="B56" s="931"/>
      <c r="C56" s="932" t="s">
        <v>1351</v>
      </c>
      <c r="D56" s="932" t="s">
        <v>1351</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1282</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1316</v>
      </c>
      <c r="D67" s="930" t="s">
        <v>1317</v>
      </c>
      <c r="E67" s="930" t="s">
        <v>1318</v>
      </c>
      <c r="F67" s="930" t="s">
        <v>1319</v>
      </c>
      <c r="G67" s="930" t="s">
        <v>1320</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567</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1344</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1287</v>
      </c>
      <c r="B79" s="925" t="s">
        <v>1378</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1369</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1293</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1370</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1371</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1372</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1373</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1374</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1366</v>
      </c>
      <c r="B1" s="1066"/>
      <c r="C1" s="1067"/>
      <c r="D1" s="1068"/>
      <c r="E1" s="1069"/>
      <c r="F1" s="1070" t="s">
        <v>1255</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824</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825</v>
      </c>
      <c r="B3" s="711" t="e">
        <f ca="1">ROUND(IF(D2="——",C37,IF(C2="万元",B2*10000/D3,B2/D3)),0)</f>
        <v>#DIV/0!</v>
      </c>
      <c r="C3" s="1078" t="s">
        <v>1256</v>
      </c>
      <c r="D3" s="1079">
        <f>IF(C1="仅计算典型户型",'数据-取费表'!E5,'数据-取费表'!B5)</f>
        <v>95.95</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1257</v>
      </c>
      <c r="B4" s="713"/>
      <c r="C4" s="2983" t="s">
        <v>1258</v>
      </c>
      <c r="D4" s="2984"/>
      <c r="E4" s="2985" t="s">
        <v>1259</v>
      </c>
      <c r="F4" s="2986"/>
      <c r="G4" s="2983" t="s">
        <v>1260</v>
      </c>
      <c r="H4" s="2984"/>
      <c r="I4" s="2983" t="s">
        <v>1261</v>
      </c>
      <c r="J4" s="2984"/>
      <c r="K4" s="849" t="s">
        <v>1262</v>
      </c>
      <c r="L4" s="850"/>
      <c r="M4" s="851"/>
      <c r="N4" s="851"/>
      <c r="O4" s="851"/>
      <c r="P4" s="3014" t="s">
        <v>1263</v>
      </c>
      <c r="Q4" s="3015"/>
      <c r="R4" s="3020" t="s">
        <v>1259</v>
      </c>
      <c r="S4" s="3021"/>
      <c r="T4" s="3020" t="s">
        <v>1260</v>
      </c>
      <c r="U4" s="3021"/>
      <c r="V4" s="3026" t="s">
        <v>1261</v>
      </c>
      <c r="W4" s="3026"/>
      <c r="X4" s="888"/>
      <c r="Y4" s="3020" t="s">
        <v>1263</v>
      </c>
      <c r="Z4" s="3021"/>
      <c r="AA4" s="3011" t="s">
        <v>1259</v>
      </c>
      <c r="AB4" s="3012" t="s">
        <v>1260</v>
      </c>
      <c r="AC4" s="3011" t="s">
        <v>1261</v>
      </c>
    </row>
    <row r="5" spans="1:29" ht="15">
      <c r="A5" s="714"/>
      <c r="B5" s="715"/>
      <c r="C5" s="3056" t="s">
        <v>1264</v>
      </c>
      <c r="D5" s="2988"/>
      <c r="E5" s="3057" t="s">
        <v>1265</v>
      </c>
      <c r="F5" s="3058"/>
      <c r="G5" s="3056" t="s">
        <v>1266</v>
      </c>
      <c r="H5" s="2988"/>
      <c r="I5" s="3056" t="s">
        <v>1267</v>
      </c>
      <c r="J5" s="2988"/>
      <c r="K5" s="849"/>
      <c r="L5" s="850"/>
      <c r="M5" s="851"/>
      <c r="N5" s="851"/>
      <c r="O5" s="851"/>
      <c r="P5" s="3016"/>
      <c r="Q5" s="3017"/>
      <c r="R5" s="3022"/>
      <c r="S5" s="3023"/>
      <c r="T5" s="3022"/>
      <c r="U5" s="3023"/>
      <c r="V5" s="3026"/>
      <c r="W5" s="3026"/>
      <c r="X5" s="888"/>
      <c r="Y5" s="3022"/>
      <c r="Z5" s="3023"/>
      <c r="AA5" s="3012"/>
      <c r="AB5" s="3012"/>
      <c r="AC5" s="3012"/>
    </row>
    <row r="6" spans="1:29" ht="15">
      <c r="A6" s="716"/>
      <c r="B6" s="717"/>
      <c r="C6" s="3059" t="s">
        <v>1268</v>
      </c>
      <c r="D6" s="2990"/>
      <c r="E6" s="3060" t="s">
        <v>1268</v>
      </c>
      <c r="F6" s="3061"/>
      <c r="G6" s="3059" t="s">
        <v>1268</v>
      </c>
      <c r="H6" s="2990"/>
      <c r="I6" s="3059" t="s">
        <v>1268</v>
      </c>
      <c r="J6" s="2990"/>
      <c r="K6" s="849" t="s">
        <v>1269</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1270</v>
      </c>
      <c r="B7" s="719"/>
      <c r="C7" s="720">
        <f>'数据-取费表'!B2</f>
        <v>43199</v>
      </c>
      <c r="D7" s="721">
        <v>100</v>
      </c>
      <c r="E7" s="724"/>
      <c r="F7" s="721">
        <f>SUMIF(46:46,YEAR(E7)&amp;"-"&amp;MONTH(E7),47:47)</f>
        <v>0</v>
      </c>
      <c r="G7" s="722"/>
      <c r="H7" s="721">
        <f>SUMIF(46:46,YEAR(G7)&amp;"-"&amp;MONTH(G7),47:47)</f>
        <v>0</v>
      </c>
      <c r="I7" s="722"/>
      <c r="J7" s="721">
        <f>SUMIF(46:46,YEAR(I7)&amp;"-"&amp;MONTH(I7),47:47)</f>
        <v>0</v>
      </c>
      <c r="K7" s="852"/>
      <c r="L7" s="853"/>
      <c r="M7" s="854"/>
      <c r="N7" s="854"/>
      <c r="O7" s="854"/>
      <c r="P7" s="2991" t="s">
        <v>1271</v>
      </c>
      <c r="Q7" s="2992"/>
      <c r="R7" s="890" t="s">
        <v>1272</v>
      </c>
      <c r="S7" s="891">
        <f t="shared" ref="S7:S14" si="0">F7</f>
        <v>0</v>
      </c>
      <c r="T7" s="890" t="s">
        <v>1272</v>
      </c>
      <c r="U7" s="891">
        <f t="shared" ref="U7:U14" si="1">H7</f>
        <v>0</v>
      </c>
      <c r="V7" s="890" t="s">
        <v>1272</v>
      </c>
      <c r="W7" s="891">
        <f t="shared" ref="W7:W14" si="2">J7</f>
        <v>0</v>
      </c>
      <c r="X7" s="892"/>
      <c r="Y7" s="2991" t="s">
        <v>1271</v>
      </c>
      <c r="Z7" s="2993"/>
      <c r="AA7" s="903" t="e">
        <f>D7/F7</f>
        <v>#DIV/0!</v>
      </c>
      <c r="AB7" s="903" t="e">
        <f>D7/H7</f>
        <v>#DIV/0!</v>
      </c>
      <c r="AC7" s="903" t="e">
        <f>D7/J7</f>
        <v>#DIV/0!</v>
      </c>
    </row>
    <row r="8" spans="1:29" s="693" customFormat="1" ht="15">
      <c r="A8" s="718" t="s">
        <v>1273</v>
      </c>
      <c r="B8" s="719"/>
      <c r="C8" s="725" t="s">
        <v>1274</v>
      </c>
      <c r="D8" s="721">
        <v>100</v>
      </c>
      <c r="E8" s="725"/>
      <c r="F8" s="723">
        <f>SUMIF(49:49,E8,50:50)-SUMIF(49:49,C8,50:50)+100</f>
        <v>0</v>
      </c>
      <c r="G8" s="725"/>
      <c r="H8" s="721">
        <f>SUMIF(49:49,G8,50:50)-SUMIF(49:49,C8,50:50)+100</f>
        <v>0</v>
      </c>
      <c r="I8" s="725"/>
      <c r="J8" s="721">
        <f>SUMIF(49:49,I8,50:50)-SUMIF(49:49,C8,50:50)+100</f>
        <v>0</v>
      </c>
      <c r="K8" s="852"/>
      <c r="L8" s="853"/>
      <c r="M8" s="854"/>
      <c r="N8" s="854"/>
      <c r="O8" s="854"/>
      <c r="P8" s="2991" t="s">
        <v>1275</v>
      </c>
      <c r="Q8" s="2993"/>
      <c r="R8" s="890" t="s">
        <v>1272</v>
      </c>
      <c r="S8" s="891">
        <f t="shared" si="0"/>
        <v>0</v>
      </c>
      <c r="T8" s="890" t="s">
        <v>1272</v>
      </c>
      <c r="U8" s="891">
        <f t="shared" si="1"/>
        <v>0</v>
      </c>
      <c r="V8" s="890" t="s">
        <v>1272</v>
      </c>
      <c r="W8" s="891">
        <f t="shared" si="2"/>
        <v>0</v>
      </c>
      <c r="X8" s="892"/>
      <c r="Y8" s="2991" t="s">
        <v>1275</v>
      </c>
      <c r="Z8" s="2993"/>
      <c r="AA8" s="903" t="e">
        <f t="shared" ref="AA8:AA34" si="3">D8/F8</f>
        <v>#DIV/0!</v>
      </c>
      <c r="AB8" s="903" t="e">
        <f t="shared" ref="AB8:AB34" si="4">D8/H8</f>
        <v>#DIV/0!</v>
      </c>
      <c r="AC8" s="903" t="e">
        <f t="shared" ref="AC8:AC34" si="5">D8/J8</f>
        <v>#DIV/0!</v>
      </c>
    </row>
    <row r="9" spans="1:29" s="693" customFormat="1">
      <c r="A9" s="726" t="s">
        <v>1276</v>
      </c>
      <c r="B9" s="727" t="s">
        <v>1277</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2994" t="s">
        <v>1278</v>
      </c>
      <c r="Q9" s="893" t="str">
        <f t="shared" ref="Q9:Q14" si="6">B9</f>
        <v>用途</v>
      </c>
      <c r="R9" s="890" t="s">
        <v>1272</v>
      </c>
      <c r="S9" s="891">
        <f t="shared" si="0"/>
        <v>100</v>
      </c>
      <c r="T9" s="890" t="s">
        <v>1272</v>
      </c>
      <c r="U9" s="891">
        <f t="shared" si="1"/>
        <v>100</v>
      </c>
      <c r="V9" s="890" t="s">
        <v>1272</v>
      </c>
      <c r="W9" s="891">
        <f t="shared" si="2"/>
        <v>100</v>
      </c>
      <c r="X9" s="892"/>
      <c r="Y9" s="2942" t="s">
        <v>1279</v>
      </c>
      <c r="Z9" s="904" t="str">
        <f t="shared" ref="Z9:Z14" si="7">Q9</f>
        <v>用途</v>
      </c>
      <c r="AA9" s="903">
        <f t="shared" si="3"/>
        <v>1</v>
      </c>
      <c r="AB9" s="903">
        <f t="shared" si="4"/>
        <v>1</v>
      </c>
      <c r="AC9" s="903">
        <f t="shared" si="5"/>
        <v>1</v>
      </c>
    </row>
    <row r="10" spans="1:29" s="694" customFormat="1" ht="27">
      <c r="A10" s="730"/>
      <c r="B10" s="731" t="s">
        <v>1280</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2994"/>
      <c r="Q10" s="893" t="str">
        <f t="shared" si="6"/>
        <v>土地使用年限（年）</v>
      </c>
      <c r="R10" s="890" t="s">
        <v>1272</v>
      </c>
      <c r="S10" s="891">
        <f t="shared" si="0"/>
        <v>100</v>
      </c>
      <c r="T10" s="890" t="s">
        <v>1272</v>
      </c>
      <c r="U10" s="891">
        <f t="shared" si="1"/>
        <v>100</v>
      </c>
      <c r="V10" s="890" t="s">
        <v>1272</v>
      </c>
      <c r="W10" s="891">
        <f t="shared" si="2"/>
        <v>100</v>
      </c>
      <c r="X10" s="892"/>
      <c r="Y10" s="2942"/>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2994"/>
      <c r="Q11" s="893">
        <f t="shared" si="6"/>
        <v>111</v>
      </c>
      <c r="R11" s="890" t="s">
        <v>1272</v>
      </c>
      <c r="S11" s="891">
        <f t="shared" si="0"/>
        <v>100</v>
      </c>
      <c r="T11" s="890" t="s">
        <v>1272</v>
      </c>
      <c r="U11" s="891">
        <f t="shared" si="1"/>
        <v>100</v>
      </c>
      <c r="V11" s="890" t="s">
        <v>1272</v>
      </c>
      <c r="W11" s="891">
        <f t="shared" si="2"/>
        <v>100</v>
      </c>
      <c r="X11" s="892"/>
      <c r="Y11" s="2942"/>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2994"/>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2994"/>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48" t="s">
        <v>1282</v>
      </c>
      <c r="B14" s="1085" t="s">
        <v>211</v>
      </c>
      <c r="C14" s="750">
        <f>IF(B1="工业",估价对象房地状况!G4,估价对象房地状况!C6)</f>
        <v>0</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02" t="s">
        <v>1283</v>
      </c>
      <c r="Q14" s="486" t="str">
        <f t="shared" si="6"/>
        <v>交通便捷度</v>
      </c>
      <c r="R14" s="894" t="s">
        <v>1272</v>
      </c>
      <c r="S14" s="895">
        <f t="shared" si="0"/>
        <v>100</v>
      </c>
      <c r="T14" s="894" t="s">
        <v>1272</v>
      </c>
      <c r="U14" s="895">
        <f t="shared" si="1"/>
        <v>100</v>
      </c>
      <c r="V14" s="894" t="s">
        <v>1272</v>
      </c>
      <c r="W14" s="895">
        <f t="shared" si="2"/>
        <v>100</v>
      </c>
      <c r="X14" s="888"/>
      <c r="Y14" s="3002" t="s">
        <v>1283</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03"/>
      <c r="Q15" s="486"/>
      <c r="R15" s="894"/>
      <c r="S15" s="895"/>
      <c r="T15" s="894"/>
      <c r="U15" s="895"/>
      <c r="V15" s="894"/>
      <c r="W15" s="895"/>
      <c r="X15" s="888"/>
      <c r="Y15" s="3003"/>
      <c r="Z15" s="823"/>
      <c r="AA15" s="905">
        <v>1</v>
      </c>
      <c r="AB15" s="905">
        <v>1</v>
      </c>
      <c r="AC15" s="905">
        <v>1</v>
      </c>
    </row>
    <row r="16" spans="1:29" ht="15">
      <c r="A16" s="734"/>
      <c r="B16" s="758" t="s">
        <v>213</v>
      </c>
      <c r="C16" s="759">
        <f>IF(B1="工业",估价对象房地状况!G5,估价对象房地状况!C7)</f>
        <v>0</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03"/>
      <c r="Q16" s="486" t="str">
        <f>B16</f>
        <v>公共配套设施</v>
      </c>
      <c r="R16" s="894" t="s">
        <v>1272</v>
      </c>
      <c r="S16" s="895">
        <f>F16</f>
        <v>100</v>
      </c>
      <c r="T16" s="894" t="s">
        <v>1272</v>
      </c>
      <c r="U16" s="895">
        <f>H16</f>
        <v>100</v>
      </c>
      <c r="V16" s="894" t="s">
        <v>1272</v>
      </c>
      <c r="W16" s="895">
        <f>J16</f>
        <v>100</v>
      </c>
      <c r="X16" s="888"/>
      <c r="Y16" s="3003"/>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03"/>
      <c r="Q17" s="486"/>
      <c r="R17" s="894"/>
      <c r="S17" s="895"/>
      <c r="T17" s="894"/>
      <c r="U17" s="895"/>
      <c r="V17" s="894"/>
      <c r="W17" s="895"/>
      <c r="X17" s="888"/>
      <c r="Y17" s="3003"/>
      <c r="Z17" s="823"/>
      <c r="AA17" s="905">
        <v>1</v>
      </c>
      <c r="AB17" s="905">
        <v>1</v>
      </c>
      <c r="AC17" s="905">
        <v>1</v>
      </c>
    </row>
    <row r="18" spans="1:29" ht="15">
      <c r="A18" s="734"/>
      <c r="B18" s="766" t="s">
        <v>214</v>
      </c>
      <c r="C18" s="759">
        <f>IF(B1="工业",估价对象房地状况!G6,估价对象房地状况!C8)</f>
        <v>0</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03"/>
      <c r="Q18" s="486" t="str">
        <f>B18</f>
        <v>基础设施水平</v>
      </c>
      <c r="R18" s="894" t="s">
        <v>1272</v>
      </c>
      <c r="S18" s="895">
        <f>F18</f>
        <v>100</v>
      </c>
      <c r="T18" s="894" t="s">
        <v>1272</v>
      </c>
      <c r="U18" s="895">
        <f>H18</f>
        <v>100</v>
      </c>
      <c r="V18" s="894" t="s">
        <v>1272</v>
      </c>
      <c r="W18" s="895">
        <f>J18</f>
        <v>100</v>
      </c>
      <c r="X18" s="888"/>
      <c r="Y18" s="3003"/>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03"/>
      <c r="Q19" s="486"/>
      <c r="R19" s="894"/>
      <c r="S19" s="895"/>
      <c r="T19" s="894"/>
      <c r="U19" s="895"/>
      <c r="V19" s="894"/>
      <c r="W19" s="895"/>
      <c r="X19" s="888"/>
      <c r="Y19" s="3003"/>
      <c r="Z19" s="823"/>
      <c r="AA19" s="905">
        <v>1</v>
      </c>
      <c r="AB19" s="905">
        <v>1</v>
      </c>
      <c r="AC19" s="905">
        <v>1</v>
      </c>
    </row>
    <row r="20" spans="1:29" ht="15">
      <c r="A20" s="734"/>
      <c r="B20" s="1091" t="s">
        <v>567</v>
      </c>
      <c r="C20" s="759">
        <f>IF(B1="工业",估价对象房地状况!G7,估价对象房地状况!C9)</f>
        <v>0</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03"/>
      <c r="Q20" s="486" t="str">
        <f>B20</f>
        <v>自然及人文环境</v>
      </c>
      <c r="R20" s="894" t="s">
        <v>1272</v>
      </c>
      <c r="S20" s="895">
        <f>F20</f>
        <v>100</v>
      </c>
      <c r="T20" s="894" t="s">
        <v>1272</v>
      </c>
      <c r="U20" s="895">
        <f>H20</f>
        <v>100</v>
      </c>
      <c r="V20" s="894" t="s">
        <v>1272</v>
      </c>
      <c r="W20" s="895">
        <f>J20</f>
        <v>100</v>
      </c>
      <c r="X20" s="888"/>
      <c r="Y20" s="3003"/>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03"/>
      <c r="Q21" s="486"/>
      <c r="R21" s="894"/>
      <c r="S21" s="895"/>
      <c r="T21" s="894"/>
      <c r="U21" s="895"/>
      <c r="V21" s="894"/>
      <c r="W21" s="895"/>
      <c r="X21" s="888"/>
      <c r="Y21" s="3003"/>
      <c r="Z21" s="823"/>
      <c r="AA21" s="905">
        <v>1</v>
      </c>
      <c r="AB21" s="905">
        <v>1</v>
      </c>
      <c r="AC21" s="905">
        <v>1</v>
      </c>
    </row>
    <row r="22" spans="1:29" ht="15">
      <c r="A22" s="734"/>
      <c r="B22" s="1091" t="s">
        <v>1344</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03"/>
      <c r="Q22" s="486" t="str">
        <f>B22</f>
        <v>楼层</v>
      </c>
      <c r="R22" s="894" t="s">
        <v>1272</v>
      </c>
      <c r="S22" s="895">
        <f>F22</f>
        <v>100</v>
      </c>
      <c r="T22" s="894" t="s">
        <v>1272</v>
      </c>
      <c r="U22" s="895">
        <f>H22</f>
        <v>100</v>
      </c>
      <c r="V22" s="894" t="s">
        <v>1272</v>
      </c>
      <c r="W22" s="895">
        <f>J22</f>
        <v>100</v>
      </c>
      <c r="X22" s="888"/>
      <c r="Y22" s="3003"/>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03"/>
      <c r="Q23" s="486">
        <f>B23</f>
        <v>111</v>
      </c>
      <c r="R23" s="894" t="s">
        <v>1272</v>
      </c>
      <c r="S23" s="895">
        <f>F23</f>
        <v>100</v>
      </c>
      <c r="T23" s="894" t="s">
        <v>1272</v>
      </c>
      <c r="U23" s="895">
        <f>H23</f>
        <v>100</v>
      </c>
      <c r="V23" s="894" t="s">
        <v>1272</v>
      </c>
      <c r="W23" s="895">
        <f>J23</f>
        <v>100</v>
      </c>
      <c r="X23" s="888"/>
      <c r="Y23" s="3003"/>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03"/>
      <c r="Q24" s="486">
        <f t="shared" ref="Q24:Q34" si="11">B24</f>
        <v>111</v>
      </c>
      <c r="R24" s="894" t="s">
        <v>1272</v>
      </c>
      <c r="S24" s="895">
        <f>F24</f>
        <v>100</v>
      </c>
      <c r="T24" s="894" t="s">
        <v>1272</v>
      </c>
      <c r="U24" s="895">
        <f>H24</f>
        <v>100</v>
      </c>
      <c r="V24" s="894" t="s">
        <v>1272</v>
      </c>
      <c r="W24" s="895">
        <f>J24</f>
        <v>100</v>
      </c>
      <c r="X24" s="888"/>
      <c r="Y24" s="3003"/>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03"/>
      <c r="Q25" s="893">
        <f t="shared" si="11"/>
        <v>111</v>
      </c>
      <c r="R25" s="890" t="s">
        <v>1272</v>
      </c>
      <c r="S25" s="891">
        <f>F25</f>
        <v>100</v>
      </c>
      <c r="T25" s="890" t="s">
        <v>1272</v>
      </c>
      <c r="U25" s="891">
        <f>H25</f>
        <v>100</v>
      </c>
      <c r="V25" s="890" t="s">
        <v>1272</v>
      </c>
      <c r="W25" s="891">
        <f>J25</f>
        <v>100</v>
      </c>
      <c r="X25" s="892"/>
      <c r="Y25" s="3003"/>
      <c r="Z25" s="904">
        <f>Q25</f>
        <v>111</v>
      </c>
      <c r="AA25" s="905">
        <f t="shared" si="3"/>
        <v>1</v>
      </c>
      <c r="AB25" s="905">
        <f t="shared" si="4"/>
        <v>1</v>
      </c>
      <c r="AC25" s="905">
        <f t="shared" si="5"/>
        <v>1</v>
      </c>
    </row>
    <row r="26" spans="1:29" ht="28.5">
      <c r="A26" s="1097" t="s">
        <v>1287</v>
      </c>
      <c r="B26" s="727" t="s">
        <v>1293</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69" t="s">
        <v>1289</v>
      </c>
      <c r="Q26" s="486" t="str">
        <f t="shared" si="11"/>
        <v>公共部分装修</v>
      </c>
      <c r="R26" s="894" t="s">
        <v>1272</v>
      </c>
      <c r="S26" s="895">
        <f t="shared" ref="S26:S34" si="12">F26</f>
        <v>100</v>
      </c>
      <c r="T26" s="894" t="s">
        <v>1272</v>
      </c>
      <c r="U26" s="895">
        <f t="shared" ref="U26:U34" si="13">H26</f>
        <v>100</v>
      </c>
      <c r="V26" s="894" t="s">
        <v>1272</v>
      </c>
      <c r="W26" s="895">
        <f t="shared" ref="W26:W34" si="14">J26</f>
        <v>100</v>
      </c>
      <c r="X26" s="888"/>
      <c r="Y26" s="3004" t="s">
        <v>1289</v>
      </c>
      <c r="Z26" s="823" t="str">
        <f t="shared" ref="Z26:Z34" si="15">Q26</f>
        <v>公共部分装修</v>
      </c>
      <c r="AA26" s="905">
        <f t="shared" si="3"/>
        <v>1</v>
      </c>
      <c r="AB26" s="905">
        <f t="shared" si="4"/>
        <v>1</v>
      </c>
      <c r="AC26" s="905">
        <f t="shared" si="5"/>
        <v>1</v>
      </c>
    </row>
    <row r="27" spans="1:29" s="695" customFormat="1" ht="15">
      <c r="A27" s="790"/>
      <c r="B27" s="731" t="s">
        <v>1370</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04"/>
      <c r="Q27" s="1137" t="str">
        <f t="shared" si="11"/>
        <v>成新率</v>
      </c>
      <c r="R27" s="896" t="s">
        <v>1272</v>
      </c>
      <c r="S27" s="897" t="e">
        <f t="shared" si="12"/>
        <v>#N/A</v>
      </c>
      <c r="T27" s="896" t="s">
        <v>1272</v>
      </c>
      <c r="U27" s="897" t="e">
        <f t="shared" si="13"/>
        <v>#N/A</v>
      </c>
      <c r="V27" s="896" t="s">
        <v>1272</v>
      </c>
      <c r="W27" s="897" t="e">
        <f t="shared" si="14"/>
        <v>#N/A</v>
      </c>
      <c r="X27" s="898"/>
      <c r="Y27" s="3004"/>
      <c r="Z27" s="906" t="str">
        <f t="shared" si="15"/>
        <v>成新率</v>
      </c>
      <c r="AA27" s="905" t="e">
        <f t="shared" si="3"/>
        <v>#N/A</v>
      </c>
      <c r="AB27" s="905" t="e">
        <f t="shared" si="4"/>
        <v>#N/A</v>
      </c>
      <c r="AC27" s="905" t="e">
        <f t="shared" si="5"/>
        <v>#N/A</v>
      </c>
    </row>
    <row r="28" spans="1:29" ht="15">
      <c r="A28" s="782"/>
      <c r="B28" s="731" t="s">
        <v>1371</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04"/>
      <c r="Q28" s="486" t="str">
        <f t="shared" si="11"/>
        <v>物业等级</v>
      </c>
      <c r="R28" s="894" t="s">
        <v>1272</v>
      </c>
      <c r="S28" s="895">
        <f t="shared" si="12"/>
        <v>100</v>
      </c>
      <c r="T28" s="894" t="s">
        <v>1272</v>
      </c>
      <c r="U28" s="895">
        <f t="shared" si="13"/>
        <v>100</v>
      </c>
      <c r="V28" s="894" t="s">
        <v>1272</v>
      </c>
      <c r="W28" s="895">
        <f t="shared" si="14"/>
        <v>100</v>
      </c>
      <c r="X28" s="888"/>
      <c r="Y28" s="3004"/>
      <c r="Z28" s="823" t="str">
        <f t="shared" si="15"/>
        <v>物业等级</v>
      </c>
      <c r="AA28" s="905">
        <f t="shared" si="3"/>
        <v>1</v>
      </c>
      <c r="AB28" s="905">
        <f t="shared" si="4"/>
        <v>1</v>
      </c>
      <c r="AC28" s="905">
        <f t="shared" si="5"/>
        <v>1</v>
      </c>
    </row>
    <row r="29" spans="1:29" ht="15">
      <c r="A29" s="782"/>
      <c r="B29" s="731" t="s">
        <v>1379</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04"/>
      <c r="Q29" s="486" t="str">
        <f t="shared" si="11"/>
        <v>有无电梯</v>
      </c>
      <c r="R29" s="894" t="s">
        <v>1272</v>
      </c>
      <c r="S29" s="895">
        <f t="shared" si="12"/>
        <v>100</v>
      </c>
      <c r="T29" s="894" t="s">
        <v>1272</v>
      </c>
      <c r="U29" s="895">
        <f t="shared" si="13"/>
        <v>100</v>
      </c>
      <c r="V29" s="894" t="s">
        <v>1272</v>
      </c>
      <c r="W29" s="895">
        <f t="shared" si="14"/>
        <v>100</v>
      </c>
      <c r="X29" s="888"/>
      <c r="Y29" s="3004"/>
      <c r="Z29" s="823" t="str">
        <f t="shared" si="15"/>
        <v>有无电梯</v>
      </c>
      <c r="AA29" s="905">
        <f t="shared" si="3"/>
        <v>1</v>
      </c>
      <c r="AB29" s="905">
        <f t="shared" si="4"/>
        <v>1</v>
      </c>
      <c r="AC29" s="905">
        <f t="shared" si="5"/>
        <v>1</v>
      </c>
    </row>
    <row r="30" spans="1:29" ht="15">
      <c r="A30" s="782"/>
      <c r="B30" s="731" t="s">
        <v>797</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04"/>
      <c r="Q30" s="486" t="str">
        <f t="shared" si="11"/>
        <v>建筑面积</v>
      </c>
      <c r="R30" s="894" t="s">
        <v>1272</v>
      </c>
      <c r="S30" s="895" t="e">
        <f t="shared" si="12"/>
        <v>#N/A</v>
      </c>
      <c r="T30" s="894" t="s">
        <v>1272</v>
      </c>
      <c r="U30" s="895" t="e">
        <f t="shared" si="13"/>
        <v>#N/A</v>
      </c>
      <c r="V30" s="894" t="s">
        <v>1272</v>
      </c>
      <c r="W30" s="895" t="e">
        <f t="shared" si="14"/>
        <v>#N/A</v>
      </c>
      <c r="X30" s="888"/>
      <c r="Y30" s="3004"/>
      <c r="Z30" s="823" t="str">
        <f t="shared" si="15"/>
        <v>建筑面积</v>
      </c>
      <c r="AA30" s="905" t="e">
        <f t="shared" si="3"/>
        <v>#N/A</v>
      </c>
      <c r="AB30" s="905" t="e">
        <f t="shared" si="4"/>
        <v>#N/A</v>
      </c>
      <c r="AC30" s="905" t="e">
        <f t="shared" si="5"/>
        <v>#N/A</v>
      </c>
    </row>
    <row r="31" spans="1:29" s="693" customFormat="1" ht="15">
      <c r="A31" s="787"/>
      <c r="B31" s="731" t="s">
        <v>1380</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04"/>
      <c r="Q31" s="893" t="str">
        <f t="shared" si="11"/>
        <v>是否封闭</v>
      </c>
      <c r="R31" s="890" t="s">
        <v>1272</v>
      </c>
      <c r="S31" s="891">
        <f t="shared" si="12"/>
        <v>100</v>
      </c>
      <c r="T31" s="890" t="s">
        <v>1272</v>
      </c>
      <c r="U31" s="891">
        <f t="shared" si="13"/>
        <v>100</v>
      </c>
      <c r="V31" s="890" t="s">
        <v>1272</v>
      </c>
      <c r="W31" s="891">
        <f t="shared" si="14"/>
        <v>100</v>
      </c>
      <c r="X31" s="892"/>
      <c r="Y31" s="3004"/>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04" t="s">
        <v>1289</v>
      </c>
      <c r="Q32" s="486">
        <f t="shared" si="11"/>
        <v>111</v>
      </c>
      <c r="R32" s="894" t="s">
        <v>1272</v>
      </c>
      <c r="S32" s="895">
        <f t="shared" si="12"/>
        <v>100</v>
      </c>
      <c r="T32" s="894" t="s">
        <v>1272</v>
      </c>
      <c r="U32" s="895">
        <f t="shared" si="13"/>
        <v>100</v>
      </c>
      <c r="V32" s="894" t="s">
        <v>1272</v>
      </c>
      <c r="W32" s="895">
        <f t="shared" si="14"/>
        <v>100</v>
      </c>
      <c r="X32" s="888"/>
      <c r="Y32" s="3004" t="s">
        <v>1289</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04"/>
      <c r="Q33" s="486">
        <f t="shared" si="11"/>
        <v>111</v>
      </c>
      <c r="R33" s="894" t="s">
        <v>1272</v>
      </c>
      <c r="S33" s="895">
        <f t="shared" si="12"/>
        <v>100</v>
      </c>
      <c r="T33" s="894" t="s">
        <v>1272</v>
      </c>
      <c r="U33" s="895">
        <f t="shared" si="13"/>
        <v>100</v>
      </c>
      <c r="V33" s="894" t="s">
        <v>1272</v>
      </c>
      <c r="W33" s="895">
        <f t="shared" si="14"/>
        <v>100</v>
      </c>
      <c r="X33" s="888"/>
      <c r="Y33" s="3004"/>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04"/>
      <c r="Q34" s="486">
        <f t="shared" si="11"/>
        <v>111</v>
      </c>
      <c r="R34" s="894" t="s">
        <v>1272</v>
      </c>
      <c r="S34" s="895">
        <f t="shared" si="12"/>
        <v>100</v>
      </c>
      <c r="T34" s="894" t="s">
        <v>1272</v>
      </c>
      <c r="U34" s="895">
        <f t="shared" si="13"/>
        <v>100</v>
      </c>
      <c r="V34" s="894" t="s">
        <v>1272</v>
      </c>
      <c r="W34" s="895">
        <f t="shared" si="14"/>
        <v>100</v>
      </c>
      <c r="X34" s="888"/>
      <c r="Y34" s="3004"/>
      <c r="Z34" s="823">
        <f t="shared" si="15"/>
        <v>111</v>
      </c>
      <c r="AA34" s="905">
        <f t="shared" si="3"/>
        <v>1</v>
      </c>
      <c r="AB34" s="905">
        <f t="shared" si="4"/>
        <v>1</v>
      </c>
      <c r="AC34" s="905">
        <f t="shared" si="5"/>
        <v>1</v>
      </c>
    </row>
    <row r="35" spans="1:29" ht="15">
      <c r="A35" s="792" t="s">
        <v>1300</v>
      </c>
      <c r="B35" s="1108"/>
      <c r="C35" s="1109" t="s">
        <v>121</v>
      </c>
      <c r="D35" s="1110"/>
      <c r="E35" s="1111"/>
      <c r="F35" s="1112"/>
      <c r="G35" s="1113"/>
      <c r="H35" s="1114"/>
      <c r="I35" s="1111"/>
      <c r="J35" s="1114"/>
      <c r="K35" s="874"/>
      <c r="L35" s="875"/>
      <c r="M35" s="809"/>
      <c r="N35" s="851"/>
      <c r="O35" s="809"/>
      <c r="P35" s="2994" t="str">
        <f>A35</f>
        <v>成交单价（元/平方米）</v>
      </c>
      <c r="Q35" s="2994"/>
      <c r="R35" s="2995">
        <f>E35</f>
        <v>0</v>
      </c>
      <c r="S35" s="2995"/>
      <c r="T35" s="2995">
        <f>G35</f>
        <v>0</v>
      </c>
      <c r="U35" s="2995"/>
      <c r="V35" s="2995">
        <f>I35</f>
        <v>0</v>
      </c>
      <c r="W35" s="2995"/>
      <c r="X35" s="839"/>
      <c r="Y35" s="907"/>
      <c r="Z35" s="839"/>
      <c r="AA35" s="839"/>
      <c r="AB35" s="839"/>
      <c r="AC35" s="839"/>
    </row>
    <row r="36" spans="1:29" ht="15">
      <c r="A36" s="800" t="s">
        <v>1301</v>
      </c>
      <c r="B36" s="1115"/>
      <c r="C36" s="1116" t="e">
        <f>R37</f>
        <v>#DIV/0!</v>
      </c>
      <c r="D36" s="1117"/>
      <c r="E36" s="1118" t="e">
        <f>R36</f>
        <v>#DIV/0!</v>
      </c>
      <c r="F36" s="1118"/>
      <c r="G36" s="1116" t="e">
        <f>T36</f>
        <v>#DIV/0!</v>
      </c>
      <c r="H36" s="1117"/>
      <c r="I36" s="1118" t="e">
        <f>V36</f>
        <v>#DIV/0!</v>
      </c>
      <c r="J36" s="1117"/>
      <c r="K36" s="876"/>
      <c r="L36" s="875"/>
      <c r="M36" s="809"/>
      <c r="N36" s="851"/>
      <c r="O36" s="809"/>
      <c r="P36" s="2994" t="str">
        <f>A36</f>
        <v>比较价值（元/平方米）</v>
      </c>
      <c r="Q36" s="2994"/>
      <c r="R36" s="2995" t="e">
        <f>IF(E1="售价",ROUND(PRODUCT(R35,AA7:AA34),0),ROUND(PRODUCT(R35,AA7:AA34),1))</f>
        <v>#DIV/0!</v>
      </c>
      <c r="S36" s="2995"/>
      <c r="T36" s="2995" t="e">
        <f>IF(E1="售价",ROUND(PRODUCT(T35,AB7:AB34),0),ROUND(PRODUCT(T35,AB7:AB34),1))</f>
        <v>#DIV/0!</v>
      </c>
      <c r="U36" s="2995"/>
      <c r="V36" s="2995" t="e">
        <f>IF(E1="售价",ROUND(PRODUCT(V35,AC7:AC34),0),ROUND(PRODUCT(V35,AC7:AC34),1))</f>
        <v>#DIV/0!</v>
      </c>
      <c r="W36" s="2995"/>
      <c r="X36" s="839"/>
      <c r="Y36" s="839"/>
      <c r="Z36" s="839"/>
      <c r="AA36" s="839"/>
      <c r="AB36" s="839"/>
      <c r="AC36" s="839"/>
    </row>
    <row r="37" spans="1:29" ht="15">
      <c r="A37" s="806" t="s">
        <v>1302</v>
      </c>
      <c r="B37" s="807"/>
      <c r="C37" s="1119" t="e">
        <f>R37</f>
        <v>#DIV/0!</v>
      </c>
      <c r="D37" s="1119"/>
      <c r="E37" s="1119"/>
      <c r="F37" s="1119"/>
      <c r="G37" s="1119"/>
      <c r="H37" s="1119"/>
      <c r="I37" s="1119"/>
      <c r="J37" s="1119"/>
      <c r="K37" s="877"/>
      <c r="L37" s="875"/>
      <c r="M37" s="809"/>
      <c r="N37" s="809"/>
      <c r="O37" s="809"/>
      <c r="P37" s="3008" t="str">
        <f>A37</f>
        <v>估价对象XX用房的比较价值（楼面单价，元/平方米）</v>
      </c>
      <c r="Q37" s="3009"/>
      <c r="R37" s="3010" t="e">
        <f>IF(E1="售价",ROUND(AVERAGE(R36:V36),0),ROUND(AVERAGE(R36:V36),1))</f>
        <v>#DIV/0!</v>
      </c>
      <c r="S37" s="3010"/>
      <c r="T37" s="3010"/>
      <c r="U37" s="3010"/>
      <c r="V37" s="3010"/>
      <c r="W37" s="3010"/>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1303</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1304</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1305</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1306</v>
      </c>
      <c r="B45" s="839"/>
      <c r="C45" s="840"/>
      <c r="D45" s="840"/>
      <c r="E45" s="840"/>
      <c r="F45" s="841"/>
      <c r="G45" s="841"/>
      <c r="H45" s="840"/>
      <c r="I45" s="840"/>
      <c r="J45" s="840"/>
      <c r="K45" s="1133"/>
      <c r="L45" s="1134"/>
      <c r="M45" s="840"/>
      <c r="N45" s="840"/>
      <c r="O45" s="840"/>
      <c r="P45" s="887"/>
      <c r="Q45" s="899"/>
    </row>
    <row r="46" spans="1:29" s="698" customFormat="1" ht="15">
      <c r="A46" s="1120" t="s">
        <v>1270</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1307</v>
      </c>
      <c r="B48" s="915"/>
      <c r="C48" s="916"/>
      <c r="D48" s="917"/>
      <c r="E48" s="917"/>
      <c r="F48" s="917"/>
      <c r="G48" s="917"/>
      <c r="H48" s="917"/>
      <c r="I48" s="917"/>
      <c r="J48" s="917"/>
      <c r="K48" s="917"/>
      <c r="L48" s="917"/>
      <c r="M48" s="966"/>
      <c r="N48" s="917"/>
      <c r="O48" s="1136"/>
      <c r="P48" s="899"/>
      <c r="Q48" s="899"/>
    </row>
    <row r="49" spans="1:17" s="693" customFormat="1" ht="15">
      <c r="A49" s="918" t="s">
        <v>1273</v>
      </c>
      <c r="B49" s="919"/>
      <c r="C49" s="920" t="s">
        <v>1274</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1308</v>
      </c>
      <c r="B51" s="925" t="s">
        <v>1277</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1280</v>
      </c>
      <c r="C53" s="930" t="s">
        <v>1309</v>
      </c>
      <c r="D53" s="930" t="s">
        <v>1310</v>
      </c>
      <c r="E53" s="930" t="s">
        <v>1311</v>
      </c>
      <c r="F53" s="930" t="s">
        <v>1312</v>
      </c>
      <c r="G53" s="930" t="s">
        <v>1313</v>
      </c>
      <c r="H53" s="930" t="s">
        <v>1314</v>
      </c>
      <c r="I53" s="930" t="s">
        <v>1315</v>
      </c>
      <c r="J53" s="930"/>
      <c r="K53" s="980"/>
      <c r="L53" s="981"/>
      <c r="M53" s="982"/>
      <c r="N53" s="976"/>
      <c r="O53" s="976"/>
      <c r="P53" s="977"/>
      <c r="Q53" s="899"/>
    </row>
    <row r="54" spans="1:17" ht="15">
      <c r="A54" s="926"/>
      <c r="B54" s="931"/>
      <c r="C54" s="932" t="s">
        <v>1351</v>
      </c>
      <c r="D54" s="932" t="s">
        <v>1351</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1282</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1316</v>
      </c>
      <c r="D65" s="930" t="s">
        <v>1317</v>
      </c>
      <c r="E65" s="930" t="s">
        <v>1318</v>
      </c>
      <c r="F65" s="930" t="s">
        <v>1319</v>
      </c>
      <c r="G65" s="930" t="s">
        <v>1320</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567</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1344</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1287</v>
      </c>
      <c r="B77" s="925" t="s">
        <v>1293</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1370</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1371</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1379</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797</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1380</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1381</v>
      </c>
      <c r="B1" s="703"/>
      <c r="C1" s="704" t="s">
        <v>1382</v>
      </c>
      <c r="D1" s="705"/>
      <c r="E1" s="705"/>
      <c r="F1" s="706" t="s">
        <v>1255</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824</v>
      </c>
      <c r="B2" s="707" t="e">
        <f>F66</f>
        <v>#DIV/0!</v>
      </c>
      <c r="C2" s="708" t="s">
        <v>1383</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825</v>
      </c>
      <c r="B3" s="711" t="e">
        <f>ROUND(B2/'数据-取费表'!B5,0)</f>
        <v>#DIV/0!</v>
      </c>
      <c r="C3" s="708" t="s">
        <v>826</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1257</v>
      </c>
      <c r="B4" s="713"/>
      <c r="C4" s="2983" t="s">
        <v>1258</v>
      </c>
      <c r="D4" s="2984"/>
      <c r="E4" s="2985" t="s">
        <v>1259</v>
      </c>
      <c r="F4" s="2986"/>
      <c r="G4" s="2983" t="s">
        <v>1260</v>
      </c>
      <c r="H4" s="2984"/>
      <c r="I4" s="2983" t="s">
        <v>1261</v>
      </c>
      <c r="J4" s="2984"/>
      <c r="K4" s="849" t="s">
        <v>1262</v>
      </c>
      <c r="L4" s="850"/>
      <c r="M4" s="851"/>
      <c r="N4" s="851"/>
      <c r="O4" s="851"/>
      <c r="P4" s="3014" t="s">
        <v>1263</v>
      </c>
      <c r="Q4" s="3015"/>
      <c r="R4" s="3020" t="s">
        <v>1259</v>
      </c>
      <c r="S4" s="3021"/>
      <c r="T4" s="3020" t="s">
        <v>1260</v>
      </c>
      <c r="U4" s="3021"/>
      <c r="V4" s="3026" t="s">
        <v>1261</v>
      </c>
      <c r="W4" s="3026"/>
      <c r="X4" s="888"/>
      <c r="Y4" s="3020" t="s">
        <v>1263</v>
      </c>
      <c r="Z4" s="3021"/>
      <c r="AA4" s="3011" t="s">
        <v>1259</v>
      </c>
      <c r="AB4" s="3012" t="s">
        <v>1260</v>
      </c>
      <c r="AC4" s="3011" t="s">
        <v>1261</v>
      </c>
    </row>
    <row r="5" spans="1:30" ht="15">
      <c r="A5" s="714"/>
      <c r="B5" s="715"/>
      <c r="C5" s="3056" t="s">
        <v>1264</v>
      </c>
      <c r="D5" s="2988"/>
      <c r="E5" s="3057" t="s">
        <v>1265</v>
      </c>
      <c r="F5" s="3058"/>
      <c r="G5" s="3056" t="s">
        <v>1266</v>
      </c>
      <c r="H5" s="2988"/>
      <c r="I5" s="3056" t="s">
        <v>1267</v>
      </c>
      <c r="J5" s="2988"/>
      <c r="K5" s="849"/>
      <c r="L5" s="850"/>
      <c r="M5" s="851"/>
      <c r="N5" s="851"/>
      <c r="O5" s="851"/>
      <c r="P5" s="3016"/>
      <c r="Q5" s="3017"/>
      <c r="R5" s="3022"/>
      <c r="S5" s="3023"/>
      <c r="T5" s="3022"/>
      <c r="U5" s="3023"/>
      <c r="V5" s="3026"/>
      <c r="W5" s="3026"/>
      <c r="X5" s="888"/>
      <c r="Y5" s="3022"/>
      <c r="Z5" s="3023"/>
      <c r="AA5" s="3012"/>
      <c r="AB5" s="3012"/>
      <c r="AC5" s="3012"/>
    </row>
    <row r="6" spans="1:30" ht="15">
      <c r="A6" s="716"/>
      <c r="B6" s="717"/>
      <c r="C6" s="3059" t="s">
        <v>1268</v>
      </c>
      <c r="D6" s="2990"/>
      <c r="E6" s="3060" t="s">
        <v>1268</v>
      </c>
      <c r="F6" s="3061"/>
      <c r="G6" s="3059" t="s">
        <v>1268</v>
      </c>
      <c r="H6" s="2990"/>
      <c r="I6" s="3059" t="s">
        <v>1268</v>
      </c>
      <c r="J6" s="2990"/>
      <c r="K6" s="849" t="s">
        <v>1269</v>
      </c>
      <c r="L6" s="850"/>
      <c r="M6" s="851"/>
      <c r="N6" s="851"/>
      <c r="O6" s="851"/>
      <c r="P6" s="3018"/>
      <c r="Q6" s="3019"/>
      <c r="R6" s="3022"/>
      <c r="S6" s="3023"/>
      <c r="T6" s="3024"/>
      <c r="U6" s="3025"/>
      <c r="V6" s="3026"/>
      <c r="W6" s="3026"/>
      <c r="X6" s="888"/>
      <c r="Y6" s="3024"/>
      <c r="Z6" s="3025"/>
      <c r="AA6" s="3013"/>
      <c r="AB6" s="3013"/>
      <c r="AC6" s="3013"/>
    </row>
    <row r="7" spans="1:30" s="693" customFormat="1" ht="15">
      <c r="A7" s="718" t="s">
        <v>1270</v>
      </c>
      <c r="B7" s="719"/>
      <c r="C7" s="720">
        <f>'数据-取费表'!B2</f>
        <v>43199</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2991" t="s">
        <v>1271</v>
      </c>
      <c r="Q7" s="2992"/>
      <c r="R7" s="890" t="s">
        <v>1272</v>
      </c>
      <c r="S7" s="891">
        <f t="shared" ref="S7:S15" si="0">F7</f>
        <v>0</v>
      </c>
      <c r="T7" s="890" t="s">
        <v>1272</v>
      </c>
      <c r="U7" s="891">
        <f t="shared" ref="U7:U15" si="1">H7</f>
        <v>0</v>
      </c>
      <c r="V7" s="890" t="s">
        <v>1272</v>
      </c>
      <c r="W7" s="891">
        <f t="shared" ref="W7:W15" si="2">J7</f>
        <v>0</v>
      </c>
      <c r="X7" s="892"/>
      <c r="Y7" s="2991" t="s">
        <v>1271</v>
      </c>
      <c r="Z7" s="2993"/>
      <c r="AA7" s="903" t="e">
        <f>D7/F7</f>
        <v>#DIV/0!</v>
      </c>
      <c r="AB7" s="903" t="e">
        <f>D7/H7</f>
        <v>#DIV/0!</v>
      </c>
      <c r="AC7" s="903" t="e">
        <f>D7/J7</f>
        <v>#DIV/0!</v>
      </c>
    </row>
    <row r="8" spans="1:30" s="693" customFormat="1" ht="15">
      <c r="A8" s="718" t="s">
        <v>1273</v>
      </c>
      <c r="B8" s="719"/>
      <c r="C8" s="725" t="s">
        <v>1274</v>
      </c>
      <c r="D8" s="721">
        <v>100</v>
      </c>
      <c r="E8" s="725"/>
      <c r="F8" s="723">
        <f>SUMIF(73:73,E8,74:74)-SUMIF(73:73,C8,74:74)+100</f>
        <v>0</v>
      </c>
      <c r="G8" s="725"/>
      <c r="H8" s="721">
        <f>SUMIF(73:73,G8,74:74)-SUMIF(73:73,C8,74:74)+100</f>
        <v>0</v>
      </c>
      <c r="I8" s="725"/>
      <c r="J8" s="721">
        <f>SUMIF(73:73,I8,74:74)-SUMIF(73:73,C8,74:74)+100</f>
        <v>0</v>
      </c>
      <c r="K8" s="852"/>
      <c r="L8" s="853"/>
      <c r="M8" s="854"/>
      <c r="N8" s="854"/>
      <c r="O8" s="854"/>
      <c r="P8" s="2991" t="s">
        <v>1275</v>
      </c>
      <c r="Q8" s="2993"/>
      <c r="R8" s="890" t="s">
        <v>1272</v>
      </c>
      <c r="S8" s="891">
        <f t="shared" si="0"/>
        <v>0</v>
      </c>
      <c r="T8" s="890" t="s">
        <v>1272</v>
      </c>
      <c r="U8" s="891">
        <f t="shared" si="1"/>
        <v>0</v>
      </c>
      <c r="V8" s="890" t="s">
        <v>1272</v>
      </c>
      <c r="W8" s="891">
        <f t="shared" si="2"/>
        <v>0</v>
      </c>
      <c r="X8" s="892"/>
      <c r="Y8" s="2991" t="s">
        <v>1275</v>
      </c>
      <c r="Z8" s="2993"/>
      <c r="AA8" s="903" t="e">
        <f t="shared" ref="AA8:AA45" si="3">D8/F8</f>
        <v>#DIV/0!</v>
      </c>
      <c r="AB8" s="903" t="e">
        <f t="shared" ref="AB8:AB45" si="4">D8/H8</f>
        <v>#DIV/0!</v>
      </c>
      <c r="AC8" s="903" t="e">
        <f t="shared" ref="AC8:AC45" si="5">D8/J8</f>
        <v>#DIV/0!</v>
      </c>
    </row>
    <row r="9" spans="1:30" s="693" customFormat="1">
      <c r="A9" s="726" t="s">
        <v>1276</v>
      </c>
      <c r="B9" s="727" t="s">
        <v>1277</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2994" t="s">
        <v>1278</v>
      </c>
      <c r="Q9" s="893" t="str">
        <f t="shared" ref="Q9:Q15" si="6">B9</f>
        <v>用途</v>
      </c>
      <c r="R9" s="890" t="s">
        <v>1272</v>
      </c>
      <c r="S9" s="891">
        <f t="shared" si="0"/>
        <v>100</v>
      </c>
      <c r="T9" s="890" t="s">
        <v>1272</v>
      </c>
      <c r="U9" s="891">
        <f t="shared" si="1"/>
        <v>100</v>
      </c>
      <c r="V9" s="890" t="s">
        <v>1272</v>
      </c>
      <c r="W9" s="891">
        <f t="shared" si="2"/>
        <v>100</v>
      </c>
      <c r="X9" s="892"/>
      <c r="Y9" s="2942" t="s">
        <v>1279</v>
      </c>
      <c r="Z9" s="904" t="str">
        <f t="shared" ref="Z9:Z15" si="7">Q9</f>
        <v>用途</v>
      </c>
      <c r="AA9" s="903">
        <f t="shared" si="3"/>
        <v>1</v>
      </c>
      <c r="AB9" s="903">
        <f t="shared" si="4"/>
        <v>1</v>
      </c>
      <c r="AC9" s="903">
        <f t="shared" si="5"/>
        <v>1</v>
      </c>
    </row>
    <row r="10" spans="1:30" s="694" customFormat="1" ht="27">
      <c r="A10" s="730"/>
      <c r="B10" s="731" t="s">
        <v>1280</v>
      </c>
      <c r="C10" s="732"/>
      <c r="D10" s="733">
        <v>100</v>
      </c>
      <c r="E10" s="1025"/>
      <c r="F10" s="733">
        <f>ROUND(100/'数据-取费表'!B14,0)</f>
        <v>103</v>
      </c>
      <c r="G10" s="1026"/>
      <c r="H10" s="733">
        <f>ROUND(100/'数据-取费表'!B14,0)</f>
        <v>103</v>
      </c>
      <c r="I10" s="1026"/>
      <c r="J10" s="733">
        <f>ROUND(100/'数据-取费表'!B14,0)</f>
        <v>103</v>
      </c>
      <c r="K10" s="856"/>
      <c r="L10" s="857"/>
      <c r="M10" s="858"/>
      <c r="N10" s="858"/>
      <c r="O10" s="859"/>
      <c r="P10" s="2994"/>
      <c r="Q10" s="893" t="str">
        <f t="shared" si="6"/>
        <v>土地使用年限（年）</v>
      </c>
      <c r="R10" s="890" t="s">
        <v>1272</v>
      </c>
      <c r="S10" s="891">
        <f t="shared" si="0"/>
        <v>103</v>
      </c>
      <c r="T10" s="890" t="s">
        <v>1272</v>
      </c>
      <c r="U10" s="891">
        <f t="shared" si="1"/>
        <v>103</v>
      </c>
      <c r="V10" s="890" t="s">
        <v>1272</v>
      </c>
      <c r="W10" s="891">
        <f t="shared" si="2"/>
        <v>103</v>
      </c>
      <c r="X10" s="892"/>
      <c r="Y10" s="2942"/>
      <c r="Z10" s="904" t="str">
        <f t="shared" si="7"/>
        <v>土地使用年限（年）</v>
      </c>
      <c r="AA10" s="903">
        <f t="shared" si="3"/>
        <v>0.970873786407767</v>
      </c>
      <c r="AB10" s="903">
        <f t="shared" si="4"/>
        <v>0.970873786407767</v>
      </c>
      <c r="AC10" s="903">
        <f t="shared" si="5"/>
        <v>0.970873786407767</v>
      </c>
    </row>
    <row r="11" spans="1:30" ht="15">
      <c r="A11" s="734"/>
      <c r="B11" s="731" t="s">
        <v>1281</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2994"/>
      <c r="Q11" s="893" t="str">
        <f t="shared" si="6"/>
        <v>容积率</v>
      </c>
      <c r="R11" s="890" t="s">
        <v>1272</v>
      </c>
      <c r="S11" s="891" t="e">
        <f t="shared" si="0"/>
        <v>#N/A</v>
      </c>
      <c r="T11" s="890" t="s">
        <v>1272</v>
      </c>
      <c r="U11" s="891" t="e">
        <f t="shared" si="1"/>
        <v>#N/A</v>
      </c>
      <c r="V11" s="890" t="s">
        <v>1272</v>
      </c>
      <c r="W11" s="891" t="e">
        <f t="shared" si="2"/>
        <v>#N/A</v>
      </c>
      <c r="X11" s="892"/>
      <c r="Y11" s="2942"/>
      <c r="Z11" s="904" t="str">
        <f t="shared" si="7"/>
        <v>容积率</v>
      </c>
      <c r="AA11" s="903" t="e">
        <f t="shared" si="3"/>
        <v>#N/A</v>
      </c>
      <c r="AB11" s="903" t="e">
        <f t="shared" si="4"/>
        <v>#N/A</v>
      </c>
      <c r="AC11" s="903" t="e">
        <f t="shared" si="5"/>
        <v>#N/A</v>
      </c>
    </row>
    <row r="12" spans="1:30" s="693" customFormat="1" ht="15">
      <c r="A12" s="737"/>
      <c r="B12" s="738" t="s">
        <v>1384</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2994"/>
      <c r="Q12" s="893" t="str">
        <f t="shared" si="6"/>
        <v>配建</v>
      </c>
      <c r="R12" s="890" t="s">
        <v>1272</v>
      </c>
      <c r="S12" s="891">
        <f t="shared" si="0"/>
        <v>100</v>
      </c>
      <c r="T12" s="890" t="s">
        <v>1272</v>
      </c>
      <c r="U12" s="891">
        <f t="shared" si="1"/>
        <v>100</v>
      </c>
      <c r="V12" s="890" t="s">
        <v>1272</v>
      </c>
      <c r="W12" s="891">
        <f t="shared" si="2"/>
        <v>100</v>
      </c>
      <c r="X12" s="892"/>
      <c r="Y12" s="2942"/>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2994"/>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2994"/>
      <c r="Q14" s="893">
        <f t="shared" si="6"/>
        <v>111</v>
      </c>
      <c r="R14" s="890" t="s">
        <v>1272</v>
      </c>
      <c r="S14" s="891">
        <f t="shared" si="0"/>
        <v>100</v>
      </c>
      <c r="T14" s="890" t="s">
        <v>1272</v>
      </c>
      <c r="U14" s="891">
        <f t="shared" si="1"/>
        <v>100</v>
      </c>
      <c r="V14" s="890" t="s">
        <v>1272</v>
      </c>
      <c r="W14" s="891">
        <f t="shared" si="2"/>
        <v>100</v>
      </c>
      <c r="X14" s="892"/>
      <c r="Y14" s="2942"/>
      <c r="Z14" s="904">
        <f t="shared" si="7"/>
        <v>111</v>
      </c>
      <c r="AA14" s="903">
        <f t="shared" si="3"/>
        <v>1</v>
      </c>
      <c r="AB14" s="903">
        <f t="shared" si="4"/>
        <v>1</v>
      </c>
      <c r="AC14" s="903">
        <f t="shared" si="5"/>
        <v>1</v>
      </c>
    </row>
    <row r="15" spans="1:30" ht="15">
      <c r="A15" s="712" t="s">
        <v>1282</v>
      </c>
      <c r="B15" s="1027" t="s">
        <v>207</v>
      </c>
      <c r="C15" s="1028">
        <f>估价对象房地状况!C15</f>
        <v>0</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02" t="s">
        <v>1283</v>
      </c>
      <c r="Q15" s="486" t="str">
        <f t="shared" si="6"/>
        <v>居住社区成熟度</v>
      </c>
      <c r="R15" s="894" t="s">
        <v>1272</v>
      </c>
      <c r="S15" s="895">
        <f t="shared" si="0"/>
        <v>100</v>
      </c>
      <c r="T15" s="894" t="s">
        <v>1272</v>
      </c>
      <c r="U15" s="895">
        <f t="shared" si="1"/>
        <v>100</v>
      </c>
      <c r="V15" s="894" t="s">
        <v>1272</v>
      </c>
      <c r="W15" s="895">
        <f t="shared" si="2"/>
        <v>100</v>
      </c>
      <c r="X15" s="888"/>
      <c r="Y15" s="3002" t="s">
        <v>1283</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03"/>
      <c r="Q16" s="486"/>
      <c r="R16" s="894"/>
      <c r="S16" s="895"/>
      <c r="T16" s="894"/>
      <c r="U16" s="895"/>
      <c r="V16" s="894"/>
      <c r="W16" s="895"/>
      <c r="X16" s="888"/>
      <c r="Y16" s="3003"/>
      <c r="Z16" s="823"/>
      <c r="AA16" s="905">
        <v>1</v>
      </c>
      <c r="AB16" s="905">
        <v>1</v>
      </c>
      <c r="AC16" s="905">
        <v>1</v>
      </c>
    </row>
    <row r="17" spans="1:29" ht="15">
      <c r="A17" s="714"/>
      <c r="B17" s="1030" t="s">
        <v>208</v>
      </c>
      <c r="C17" s="1031">
        <f>估价对象房地状况!C16</f>
        <v>0</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03"/>
      <c r="Q17" s="486" t="str">
        <f>B17</f>
        <v>商业繁华度</v>
      </c>
      <c r="R17" s="894" t="s">
        <v>1272</v>
      </c>
      <c r="S17" s="895">
        <f>F17</f>
        <v>100</v>
      </c>
      <c r="T17" s="894" t="s">
        <v>1272</v>
      </c>
      <c r="U17" s="895">
        <f>H17</f>
        <v>100</v>
      </c>
      <c r="V17" s="894" t="s">
        <v>1272</v>
      </c>
      <c r="W17" s="895">
        <f>J17</f>
        <v>100</v>
      </c>
      <c r="X17" s="888"/>
      <c r="Y17" s="3003"/>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03"/>
      <c r="Q18" s="486"/>
      <c r="R18" s="894"/>
      <c r="S18" s="895"/>
      <c r="T18" s="894"/>
      <c r="U18" s="895"/>
      <c r="V18" s="894"/>
      <c r="W18" s="895"/>
      <c r="X18" s="888"/>
      <c r="Y18" s="3003"/>
      <c r="Z18" s="823"/>
      <c r="AA18" s="905">
        <v>1</v>
      </c>
      <c r="AB18" s="905">
        <v>1</v>
      </c>
      <c r="AC18" s="905">
        <v>1</v>
      </c>
    </row>
    <row r="19" spans="1:29" ht="15">
      <c r="A19" s="714"/>
      <c r="B19" s="1030" t="s">
        <v>209</v>
      </c>
      <c r="C19" s="1031">
        <f>估价对象房地状况!C17</f>
        <v>0</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03"/>
      <c r="Q19" s="486" t="str">
        <f>B19</f>
        <v>办公集聚程度</v>
      </c>
      <c r="R19" s="894" t="s">
        <v>1272</v>
      </c>
      <c r="S19" s="895">
        <f>F19</f>
        <v>100</v>
      </c>
      <c r="T19" s="894" t="s">
        <v>1272</v>
      </c>
      <c r="U19" s="895">
        <f>H19</f>
        <v>100</v>
      </c>
      <c r="V19" s="894" t="s">
        <v>1272</v>
      </c>
      <c r="W19" s="895">
        <f>J19</f>
        <v>100</v>
      </c>
      <c r="X19" s="888"/>
      <c r="Y19" s="3003"/>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03"/>
      <c r="Q20" s="486"/>
      <c r="R20" s="894"/>
      <c r="S20" s="895"/>
      <c r="T20" s="894"/>
      <c r="U20" s="895"/>
      <c r="V20" s="894"/>
      <c r="W20" s="895"/>
      <c r="X20" s="888"/>
      <c r="Y20" s="3003"/>
      <c r="Z20" s="823"/>
      <c r="AA20" s="905">
        <v>1</v>
      </c>
      <c r="AB20" s="905">
        <v>1</v>
      </c>
      <c r="AC20" s="905">
        <v>1</v>
      </c>
    </row>
    <row r="21" spans="1:29" ht="15">
      <c r="A21" s="714"/>
      <c r="B21" s="1030" t="s">
        <v>211</v>
      </c>
      <c r="C21" s="1036">
        <f>估价对象房地状况!C18</f>
        <v>0</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03"/>
      <c r="Q21" s="486" t="str">
        <f>B21</f>
        <v>交通便捷度</v>
      </c>
      <c r="R21" s="894" t="s">
        <v>1272</v>
      </c>
      <c r="S21" s="895">
        <f>F21</f>
        <v>100</v>
      </c>
      <c r="T21" s="894" t="s">
        <v>1272</v>
      </c>
      <c r="U21" s="895">
        <f>H21</f>
        <v>100</v>
      </c>
      <c r="V21" s="894" t="s">
        <v>1272</v>
      </c>
      <c r="W21" s="895">
        <f>J21</f>
        <v>100</v>
      </c>
      <c r="X21" s="888"/>
      <c r="Y21" s="3003"/>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03"/>
      <c r="Q22" s="486"/>
      <c r="R22" s="894"/>
      <c r="S22" s="895"/>
      <c r="T22" s="894"/>
      <c r="U22" s="895"/>
      <c r="V22" s="894"/>
      <c r="W22" s="895"/>
      <c r="X22" s="888"/>
      <c r="Y22" s="3003"/>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03"/>
      <c r="Q23" s="486" t="str">
        <f t="shared" ref="Q23:Q38" si="8">B23</f>
        <v>区域土地利用方向</v>
      </c>
      <c r="R23" s="894" t="s">
        <v>1272</v>
      </c>
      <c r="S23" s="895">
        <f>F23</f>
        <v>100</v>
      </c>
      <c r="T23" s="894" t="s">
        <v>1272</v>
      </c>
      <c r="U23" s="895">
        <f>H23</f>
        <v>100</v>
      </c>
      <c r="V23" s="894" t="s">
        <v>1272</v>
      </c>
      <c r="W23" s="895">
        <f>J23</f>
        <v>100</v>
      </c>
      <c r="X23" s="888"/>
      <c r="Y23" s="3003"/>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03"/>
      <c r="Q24" s="486"/>
      <c r="R24" s="894"/>
      <c r="S24" s="895"/>
      <c r="T24" s="894"/>
      <c r="U24" s="895"/>
      <c r="V24" s="894"/>
      <c r="W24" s="895"/>
      <c r="X24" s="888"/>
      <c r="Y24" s="3003"/>
      <c r="Z24" s="823"/>
      <c r="AA24" s="905"/>
      <c r="AB24" s="905"/>
      <c r="AC24" s="905"/>
    </row>
    <row r="25" spans="1:29" ht="27">
      <c r="A25" s="714"/>
      <c r="B25" s="1037" t="s">
        <v>570</v>
      </c>
      <c r="C25" s="1031">
        <f>估价对象房地状况!C20</f>
        <v>0</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03"/>
      <c r="Q25" s="486" t="str">
        <f t="shared" si="8"/>
        <v>自然及人文环境状况</v>
      </c>
      <c r="R25" s="894" t="s">
        <v>1272</v>
      </c>
      <c r="S25" s="895">
        <f>F25</f>
        <v>100</v>
      </c>
      <c r="T25" s="894" t="s">
        <v>1272</v>
      </c>
      <c r="U25" s="895">
        <f>H25</f>
        <v>100</v>
      </c>
      <c r="V25" s="894" t="s">
        <v>1272</v>
      </c>
      <c r="W25" s="895">
        <f>J25</f>
        <v>100</v>
      </c>
      <c r="X25" s="888"/>
      <c r="Y25" s="3003"/>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03"/>
      <c r="Q26" s="486"/>
      <c r="R26" s="894"/>
      <c r="S26" s="895"/>
      <c r="T26" s="894"/>
      <c r="U26" s="895"/>
      <c r="V26" s="894"/>
      <c r="W26" s="895"/>
      <c r="X26" s="888"/>
      <c r="Y26" s="3003"/>
      <c r="Z26" s="823"/>
      <c r="AA26" s="905">
        <v>1</v>
      </c>
      <c r="AB26" s="905">
        <v>1</v>
      </c>
      <c r="AC26" s="905">
        <v>1</v>
      </c>
    </row>
    <row r="27" spans="1:29" ht="15">
      <c r="A27" s="714"/>
      <c r="B27" s="1037" t="s">
        <v>213</v>
      </c>
      <c r="C27" s="1036">
        <f>估价对象房地状况!C21</f>
        <v>0</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03"/>
      <c r="Q27" s="893" t="str">
        <f t="shared" ref="Q27" si="9">B27</f>
        <v>公共配套设施</v>
      </c>
      <c r="R27" s="890" t="s">
        <v>1272</v>
      </c>
      <c r="S27" s="891">
        <f>F27</f>
        <v>100</v>
      </c>
      <c r="T27" s="890" t="s">
        <v>1272</v>
      </c>
      <c r="U27" s="891">
        <f>H27</f>
        <v>100</v>
      </c>
      <c r="V27" s="890" t="s">
        <v>1272</v>
      </c>
      <c r="W27" s="891">
        <f>J27</f>
        <v>100</v>
      </c>
      <c r="X27" s="888"/>
      <c r="Y27" s="3003"/>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03"/>
      <c r="Q28" s="486"/>
      <c r="R28" s="894"/>
      <c r="S28" s="895"/>
      <c r="T28" s="894"/>
      <c r="U28" s="895"/>
      <c r="V28" s="894"/>
      <c r="W28" s="895"/>
      <c r="X28" s="888"/>
      <c r="Y28" s="3003"/>
      <c r="Z28" s="904"/>
      <c r="AA28" s="905">
        <v>1</v>
      </c>
      <c r="AB28" s="905">
        <v>1</v>
      </c>
      <c r="AC28" s="905">
        <v>1</v>
      </c>
    </row>
    <row r="29" spans="1:29" s="693" customFormat="1" ht="15">
      <c r="A29" s="764"/>
      <c r="B29" s="1037" t="s">
        <v>214</v>
      </c>
      <c r="C29" s="1041">
        <f>估价对象房地状况!C22</f>
        <v>0</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03"/>
      <c r="Q29" s="893" t="str">
        <f t="shared" si="8"/>
        <v>基础设施水平</v>
      </c>
      <c r="R29" s="890" t="s">
        <v>1272</v>
      </c>
      <c r="S29" s="891">
        <f>F29</f>
        <v>100</v>
      </c>
      <c r="T29" s="890" t="s">
        <v>1272</v>
      </c>
      <c r="U29" s="891">
        <f>H29</f>
        <v>100</v>
      </c>
      <c r="V29" s="890" t="s">
        <v>1272</v>
      </c>
      <c r="W29" s="891">
        <f>J29</f>
        <v>100</v>
      </c>
      <c r="X29" s="892"/>
      <c r="Y29" s="3003"/>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03"/>
      <c r="Q30" s="893"/>
      <c r="R30" s="890"/>
      <c r="S30" s="891"/>
      <c r="T30" s="890"/>
      <c r="U30" s="891"/>
      <c r="V30" s="890"/>
      <c r="W30" s="891"/>
      <c r="X30" s="892"/>
      <c r="Y30" s="3003"/>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03"/>
      <c r="Q31" s="486" t="str">
        <f t="shared" si="8"/>
        <v>临街状况</v>
      </c>
      <c r="R31" s="894" t="s">
        <v>1272</v>
      </c>
      <c r="S31" s="895">
        <f t="shared" ref="S31:S45" si="10">F31</f>
        <v>100</v>
      </c>
      <c r="T31" s="894" t="s">
        <v>1272</v>
      </c>
      <c r="U31" s="895">
        <f t="shared" ref="U31:U45" si="11">H31</f>
        <v>100</v>
      </c>
      <c r="V31" s="894" t="s">
        <v>1272</v>
      </c>
      <c r="W31" s="895">
        <f t="shared" ref="W31:W45" si="12">J31</f>
        <v>100</v>
      </c>
      <c r="X31" s="888"/>
      <c r="Y31" s="3003"/>
      <c r="Z31" s="823" t="str">
        <f t="shared" ref="Z31:Z45" si="13">Q31</f>
        <v>临街状况</v>
      </c>
      <c r="AA31" s="905">
        <f t="shared" si="3"/>
        <v>1</v>
      </c>
      <c r="AB31" s="905">
        <f t="shared" si="4"/>
        <v>1</v>
      </c>
      <c r="AC31" s="905">
        <f t="shared" si="5"/>
        <v>1</v>
      </c>
    </row>
    <row r="32" spans="1:29" ht="27">
      <c r="A32" s="714"/>
      <c r="B32" s="1037" t="s">
        <v>568</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03"/>
      <c r="Q32" s="486" t="str">
        <f t="shared" si="8"/>
        <v>毗邻道路的类型与等级</v>
      </c>
      <c r="R32" s="894" t="s">
        <v>1272</v>
      </c>
      <c r="S32" s="895">
        <f t="shared" si="10"/>
        <v>100</v>
      </c>
      <c r="T32" s="894" t="s">
        <v>1272</v>
      </c>
      <c r="U32" s="895">
        <f t="shared" si="11"/>
        <v>100</v>
      </c>
      <c r="V32" s="894" t="s">
        <v>1272</v>
      </c>
      <c r="W32" s="895">
        <f t="shared" si="12"/>
        <v>100</v>
      </c>
      <c r="X32" s="888"/>
      <c r="Y32" s="3003"/>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03"/>
      <c r="Q33" s="486"/>
      <c r="R33" s="894"/>
      <c r="S33" s="895"/>
      <c r="T33" s="894"/>
      <c r="U33" s="895"/>
      <c r="V33" s="894"/>
      <c r="W33" s="895"/>
      <c r="X33" s="888"/>
      <c r="Y33" s="3003"/>
      <c r="Z33" s="823"/>
      <c r="AA33" s="905">
        <v>1</v>
      </c>
      <c r="AB33" s="905">
        <v>1</v>
      </c>
      <c r="AC33" s="905">
        <v>1</v>
      </c>
    </row>
    <row r="34" spans="1:29" ht="15">
      <c r="A34" s="714"/>
      <c r="B34" s="1042" t="s">
        <v>571</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03"/>
      <c r="Q34" s="486" t="str">
        <f t="shared" si="8"/>
        <v>土地级别</v>
      </c>
      <c r="R34" s="894" t="s">
        <v>1272</v>
      </c>
      <c r="S34" s="895">
        <f t="shared" si="10"/>
        <v>100</v>
      </c>
      <c r="T34" s="894" t="s">
        <v>1272</v>
      </c>
      <c r="U34" s="895">
        <f t="shared" si="11"/>
        <v>100</v>
      </c>
      <c r="V34" s="894" t="s">
        <v>1272</v>
      </c>
      <c r="W34" s="895">
        <f t="shared" si="12"/>
        <v>100</v>
      </c>
      <c r="X34" s="888"/>
      <c r="Y34" s="3003"/>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03"/>
      <c r="Q35" s="486">
        <f t="shared" si="8"/>
        <v>111</v>
      </c>
      <c r="R35" s="894" t="s">
        <v>1272</v>
      </c>
      <c r="S35" s="895">
        <f t="shared" si="10"/>
        <v>100</v>
      </c>
      <c r="T35" s="894" t="s">
        <v>1272</v>
      </c>
      <c r="U35" s="895">
        <f t="shared" si="11"/>
        <v>100</v>
      </c>
      <c r="V35" s="894" t="s">
        <v>1272</v>
      </c>
      <c r="W35" s="895">
        <f t="shared" si="12"/>
        <v>100</v>
      </c>
      <c r="X35" s="888"/>
      <c r="Y35" s="3003"/>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69" t="s">
        <v>1289</v>
      </c>
      <c r="Q36" s="486">
        <f t="shared" si="8"/>
        <v>111</v>
      </c>
      <c r="R36" s="894" t="s">
        <v>1272</v>
      </c>
      <c r="S36" s="895">
        <f t="shared" si="10"/>
        <v>100</v>
      </c>
      <c r="T36" s="894" t="s">
        <v>1272</v>
      </c>
      <c r="U36" s="895">
        <f t="shared" si="11"/>
        <v>100</v>
      </c>
      <c r="V36" s="894" t="s">
        <v>1272</v>
      </c>
      <c r="W36" s="895">
        <f t="shared" si="12"/>
        <v>100</v>
      </c>
      <c r="X36" s="888"/>
      <c r="Y36" s="3004" t="s">
        <v>1289</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04"/>
      <c r="Q37" s="486">
        <f t="shared" si="8"/>
        <v>111</v>
      </c>
      <c r="R37" s="896" t="s">
        <v>1272</v>
      </c>
      <c r="S37" s="897">
        <f t="shared" si="10"/>
        <v>100</v>
      </c>
      <c r="T37" s="896" t="s">
        <v>1272</v>
      </c>
      <c r="U37" s="897">
        <f t="shared" si="11"/>
        <v>100</v>
      </c>
      <c r="V37" s="896" t="s">
        <v>1272</v>
      </c>
      <c r="W37" s="897">
        <f t="shared" si="12"/>
        <v>100</v>
      </c>
      <c r="X37" s="898"/>
      <c r="Y37" s="3004"/>
      <c r="Z37" s="906">
        <f t="shared" si="13"/>
        <v>111</v>
      </c>
      <c r="AA37" s="905">
        <f t="shared" si="3"/>
        <v>1</v>
      </c>
      <c r="AB37" s="905">
        <f t="shared" si="4"/>
        <v>1</v>
      </c>
      <c r="AC37" s="905">
        <f t="shared" si="5"/>
        <v>1</v>
      </c>
    </row>
    <row r="38" spans="1:29" ht="15">
      <c r="A38" s="712" t="s">
        <v>1287</v>
      </c>
      <c r="B38" s="783" t="s">
        <v>1385</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04"/>
      <c r="Q38" s="486" t="str">
        <f t="shared" si="8"/>
        <v>宗地面积</v>
      </c>
      <c r="R38" s="894" t="s">
        <v>1272</v>
      </c>
      <c r="S38" s="895" t="e">
        <f t="shared" si="10"/>
        <v>#N/A</v>
      </c>
      <c r="T38" s="894" t="s">
        <v>1272</v>
      </c>
      <c r="U38" s="895" t="e">
        <f t="shared" si="11"/>
        <v>#N/A</v>
      </c>
      <c r="V38" s="894" t="s">
        <v>1272</v>
      </c>
      <c r="W38" s="895" t="e">
        <f t="shared" si="12"/>
        <v>#N/A</v>
      </c>
      <c r="X38" s="888"/>
      <c r="Y38" s="3004"/>
      <c r="Z38" s="823" t="str">
        <f t="shared" si="13"/>
        <v>宗地面积</v>
      </c>
      <c r="AA38" s="905" t="e">
        <f t="shared" si="3"/>
        <v>#N/A</v>
      </c>
      <c r="AB38" s="905" t="e">
        <f t="shared" si="4"/>
        <v>#N/A</v>
      </c>
      <c r="AC38" s="905" t="e">
        <f t="shared" si="5"/>
        <v>#N/A</v>
      </c>
    </row>
    <row r="39" spans="1:29" ht="15">
      <c r="A39" s="782"/>
      <c r="B39" s="731" t="s">
        <v>1386</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04"/>
      <c r="Q39" s="486" t="str">
        <f t="shared" ref="Q39:Q45" si="14">B39</f>
        <v>宗地形状</v>
      </c>
      <c r="R39" s="894" t="s">
        <v>1272</v>
      </c>
      <c r="S39" s="895">
        <f t="shared" si="10"/>
        <v>100</v>
      </c>
      <c r="T39" s="894" t="s">
        <v>1272</v>
      </c>
      <c r="U39" s="895">
        <f t="shared" si="11"/>
        <v>100</v>
      </c>
      <c r="V39" s="894" t="s">
        <v>1272</v>
      </c>
      <c r="W39" s="895">
        <f t="shared" si="12"/>
        <v>100</v>
      </c>
      <c r="X39" s="888"/>
      <c r="Y39" s="3004"/>
      <c r="Z39" s="823" t="str">
        <f t="shared" si="13"/>
        <v>宗地形状</v>
      </c>
      <c r="AA39" s="905">
        <f t="shared" si="3"/>
        <v>1</v>
      </c>
      <c r="AB39" s="905">
        <f t="shared" si="4"/>
        <v>1</v>
      </c>
      <c r="AC39" s="905">
        <f t="shared" si="5"/>
        <v>1</v>
      </c>
    </row>
    <row r="40" spans="1:29" ht="15">
      <c r="A40" s="782"/>
      <c r="B40" s="731" t="s">
        <v>1387</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04"/>
      <c r="Q40" s="486" t="str">
        <f t="shared" si="14"/>
        <v>临街宽度及深度</v>
      </c>
      <c r="R40" s="894" t="s">
        <v>1272</v>
      </c>
      <c r="S40" s="895">
        <f t="shared" si="10"/>
        <v>100</v>
      </c>
      <c r="T40" s="894" t="s">
        <v>1272</v>
      </c>
      <c r="U40" s="895">
        <f t="shared" si="11"/>
        <v>100</v>
      </c>
      <c r="V40" s="894" t="s">
        <v>1272</v>
      </c>
      <c r="W40" s="895">
        <f t="shared" si="12"/>
        <v>100</v>
      </c>
      <c r="X40" s="888"/>
      <c r="Y40" s="3004"/>
      <c r="Z40" s="823" t="str">
        <f t="shared" si="13"/>
        <v>临街宽度及深度</v>
      </c>
      <c r="AA40" s="905">
        <f t="shared" si="3"/>
        <v>1</v>
      </c>
      <c r="AB40" s="905">
        <f t="shared" si="4"/>
        <v>1</v>
      </c>
      <c r="AC40" s="905">
        <f t="shared" si="5"/>
        <v>1</v>
      </c>
    </row>
    <row r="41" spans="1:29" s="693" customFormat="1" ht="15">
      <c r="A41" s="787"/>
      <c r="B41" s="731" t="s">
        <v>1388</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04"/>
      <c r="Q41" s="486" t="str">
        <f t="shared" si="14"/>
        <v>宗地开发程度</v>
      </c>
      <c r="R41" s="890" t="s">
        <v>1272</v>
      </c>
      <c r="S41" s="891">
        <f t="shared" si="10"/>
        <v>100</v>
      </c>
      <c r="T41" s="890" t="s">
        <v>1272</v>
      </c>
      <c r="U41" s="891">
        <f t="shared" si="11"/>
        <v>100</v>
      </c>
      <c r="V41" s="890" t="s">
        <v>1272</v>
      </c>
      <c r="W41" s="891">
        <f t="shared" si="12"/>
        <v>100</v>
      </c>
      <c r="X41" s="892"/>
      <c r="Y41" s="3004"/>
      <c r="Z41" s="904" t="str">
        <f t="shared" si="13"/>
        <v>宗地开发程度</v>
      </c>
      <c r="AA41" s="903">
        <f t="shared" si="3"/>
        <v>1</v>
      </c>
      <c r="AB41" s="903">
        <f t="shared" si="4"/>
        <v>1</v>
      </c>
      <c r="AC41" s="903">
        <f t="shared" si="5"/>
        <v>1</v>
      </c>
    </row>
    <row r="42" spans="1:29" ht="15">
      <c r="A42" s="782"/>
      <c r="B42" s="731" t="s">
        <v>1389</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04" t="s">
        <v>1289</v>
      </c>
      <c r="Q42" s="486" t="str">
        <f t="shared" si="14"/>
        <v>工程地质条件</v>
      </c>
      <c r="R42" s="894" t="s">
        <v>1272</v>
      </c>
      <c r="S42" s="895">
        <f t="shared" si="10"/>
        <v>100</v>
      </c>
      <c r="T42" s="894" t="s">
        <v>1272</v>
      </c>
      <c r="U42" s="895">
        <f t="shared" si="11"/>
        <v>100</v>
      </c>
      <c r="V42" s="894" t="s">
        <v>1272</v>
      </c>
      <c r="W42" s="895">
        <f t="shared" si="12"/>
        <v>100</v>
      </c>
      <c r="X42" s="888"/>
      <c r="Y42" s="3004" t="s">
        <v>1289</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04"/>
      <c r="Q43" s="486">
        <f t="shared" si="14"/>
        <v>111</v>
      </c>
      <c r="R43" s="894" t="s">
        <v>1272</v>
      </c>
      <c r="S43" s="895">
        <f t="shared" si="10"/>
        <v>100</v>
      </c>
      <c r="T43" s="894" t="s">
        <v>1272</v>
      </c>
      <c r="U43" s="895">
        <f t="shared" si="11"/>
        <v>100</v>
      </c>
      <c r="V43" s="894" t="s">
        <v>1272</v>
      </c>
      <c r="W43" s="895">
        <f t="shared" si="12"/>
        <v>100</v>
      </c>
      <c r="X43" s="888"/>
      <c r="Y43" s="3004"/>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04"/>
      <c r="Q44" s="486">
        <f t="shared" si="14"/>
        <v>111</v>
      </c>
      <c r="R44" s="894" t="s">
        <v>1272</v>
      </c>
      <c r="S44" s="895">
        <f t="shared" si="10"/>
        <v>100</v>
      </c>
      <c r="T44" s="894" t="s">
        <v>1272</v>
      </c>
      <c r="U44" s="895">
        <f t="shared" si="11"/>
        <v>100</v>
      </c>
      <c r="V44" s="894" t="s">
        <v>1272</v>
      </c>
      <c r="W44" s="895">
        <f t="shared" si="12"/>
        <v>100</v>
      </c>
      <c r="X44" s="888"/>
      <c r="Y44" s="3004"/>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04"/>
      <c r="Q45" s="486">
        <f t="shared" si="14"/>
        <v>111</v>
      </c>
      <c r="R45" s="896" t="s">
        <v>1272</v>
      </c>
      <c r="S45" s="897">
        <f t="shared" si="10"/>
        <v>100</v>
      </c>
      <c r="T45" s="896" t="s">
        <v>1272</v>
      </c>
      <c r="U45" s="897">
        <f t="shared" si="11"/>
        <v>100</v>
      </c>
      <c r="V45" s="896" t="s">
        <v>1272</v>
      </c>
      <c r="W45" s="897">
        <f t="shared" si="12"/>
        <v>100</v>
      </c>
      <c r="X45" s="898"/>
      <c r="Y45" s="3004"/>
      <c r="Z45" s="906">
        <f t="shared" si="13"/>
        <v>111</v>
      </c>
      <c r="AA45" s="905">
        <f t="shared" si="3"/>
        <v>1</v>
      </c>
      <c r="AB45" s="905">
        <f t="shared" si="4"/>
        <v>1</v>
      </c>
      <c r="AC45" s="905">
        <f t="shared" si="5"/>
        <v>1</v>
      </c>
    </row>
    <row r="46" spans="1:29" ht="15">
      <c r="A46" s="792" t="s">
        <v>1375</v>
      </c>
      <c r="B46" s="793" t="s">
        <v>1390</v>
      </c>
      <c r="C46" s="794" t="s">
        <v>121</v>
      </c>
      <c r="D46" s="795"/>
      <c r="E46" s="796"/>
      <c r="F46" s="797"/>
      <c r="G46" s="798"/>
      <c r="H46" s="799"/>
      <c r="I46" s="796"/>
      <c r="J46" s="799"/>
      <c r="K46" s="874"/>
      <c r="L46" s="875"/>
      <c r="M46" s="809"/>
      <c r="N46" s="851"/>
      <c r="O46" s="809"/>
      <c r="P46" s="2994" t="str">
        <f>A46</f>
        <v>成交单价</v>
      </c>
      <c r="Q46" s="2994"/>
      <c r="R46" s="3026">
        <f>E46</f>
        <v>0</v>
      </c>
      <c r="S46" s="3026"/>
      <c r="T46" s="3026">
        <f>G46</f>
        <v>0</v>
      </c>
      <c r="U46" s="3026"/>
      <c r="V46" s="3026">
        <f>I46</f>
        <v>0</v>
      </c>
      <c r="W46" s="3026"/>
      <c r="X46" s="839"/>
      <c r="Y46" s="907"/>
      <c r="Z46" s="839"/>
      <c r="AA46" s="839"/>
      <c r="AB46" s="839"/>
      <c r="AC46" s="839"/>
    </row>
    <row r="47" spans="1:29" ht="15">
      <c r="A47" s="800" t="s">
        <v>1301</v>
      </c>
      <c r="B47" s="801"/>
      <c r="C47" s="802" t="e">
        <f>R48</f>
        <v>#DIV/0!</v>
      </c>
      <c r="D47" s="803"/>
      <c r="E47" s="802" t="e">
        <f>R47</f>
        <v>#DIV/0!</v>
      </c>
      <c r="F47" s="804"/>
      <c r="G47" s="805" t="e">
        <f>T47</f>
        <v>#DIV/0!</v>
      </c>
      <c r="H47" s="803"/>
      <c r="I47" s="802" t="e">
        <f>V47</f>
        <v>#DIV/0!</v>
      </c>
      <c r="J47" s="803"/>
      <c r="K47" s="876"/>
      <c r="L47" s="875"/>
      <c r="M47" s="809"/>
      <c r="N47" s="809"/>
      <c r="O47" s="809"/>
      <c r="P47" s="2994" t="str">
        <f>A47</f>
        <v>比较价值（元/平方米）</v>
      </c>
      <c r="Q47" s="2994"/>
      <c r="R47" s="3070" t="e">
        <f>ROUND(PRODUCT(R46,AA7:AA45),0)</f>
        <v>#DIV/0!</v>
      </c>
      <c r="S47" s="3070"/>
      <c r="T47" s="3070" t="e">
        <f>ROUND(PRODUCT(T46,AB7:AB45),0)</f>
        <v>#DIV/0!</v>
      </c>
      <c r="U47" s="3070"/>
      <c r="V47" s="3070" t="e">
        <f>ROUND(PRODUCT(V46,AC7:AC45),0)</f>
        <v>#DIV/0!</v>
      </c>
      <c r="W47" s="3070"/>
      <c r="X47" s="839"/>
      <c r="Y47" s="839"/>
      <c r="Z47" s="839"/>
      <c r="AA47" s="839"/>
      <c r="AB47" s="839"/>
      <c r="AC47" s="839"/>
    </row>
    <row r="48" spans="1:29" ht="15">
      <c r="A48" s="806" t="s">
        <v>1302</v>
      </c>
      <c r="B48" s="807"/>
      <c r="C48" s="808" t="e">
        <f>R48</f>
        <v>#DIV/0!</v>
      </c>
      <c r="D48" s="808"/>
      <c r="E48" s="808"/>
      <c r="F48" s="808"/>
      <c r="G48" s="808"/>
      <c r="H48" s="808"/>
      <c r="I48" s="808"/>
      <c r="J48" s="808"/>
      <c r="K48" s="877"/>
      <c r="L48" s="875"/>
      <c r="M48" s="809"/>
      <c r="N48" s="809"/>
      <c r="O48" s="809"/>
      <c r="P48" s="3008" t="str">
        <f>A48</f>
        <v>估价对象XX用房的比较价值（楼面单价，元/平方米）</v>
      </c>
      <c r="Q48" s="3009"/>
      <c r="R48" s="3071" t="e">
        <f>ROUND(AVERAGE(R47:V47),0)</f>
        <v>#DIV/0!</v>
      </c>
      <c r="S48" s="3071"/>
      <c r="T48" s="3071"/>
      <c r="U48" s="3071"/>
      <c r="V48" s="3071"/>
      <c r="W48" s="3071"/>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1303</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1304</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1305</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1391</v>
      </c>
      <c r="B55" s="818" t="s">
        <v>1392</v>
      </c>
      <c r="C55" s="819" t="s">
        <v>1393</v>
      </c>
      <c r="D55" s="820" t="s">
        <v>1394</v>
      </c>
      <c r="E55" s="821" t="s">
        <v>1395</v>
      </c>
      <c r="F55" s="822" t="s">
        <v>1396</v>
      </c>
      <c r="G55" s="1049" t="s">
        <v>1397</v>
      </c>
      <c r="H55" s="1049">
        <f>项目基本情况!G8</f>
        <v>0</v>
      </c>
      <c r="I55" s="1054" t="s">
        <v>1398</v>
      </c>
      <c r="J55" s="1055"/>
      <c r="K55" s="880"/>
      <c r="L55" s="880"/>
      <c r="M55" s="809"/>
      <c r="N55" s="809"/>
      <c r="O55" s="809"/>
    </row>
    <row r="56" spans="1:15" s="697" customFormat="1">
      <c r="A56" s="824" t="s">
        <v>1399</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1400</v>
      </c>
      <c r="B57" s="830" t="e">
        <f>ROUND($C$48*C57*D57,0)</f>
        <v>#DIV/0!</v>
      </c>
      <c r="C57" s="431">
        <f>IF($C$55="北京市系数",G57,H57)</f>
        <v>0.8</v>
      </c>
      <c r="D57" s="831">
        <v>0.25</v>
      </c>
      <c r="E57" s="827">
        <v>0</v>
      </c>
      <c r="F57" s="828" t="e">
        <f t="shared" si="15"/>
        <v>#DIV/0!</v>
      </c>
      <c r="G57" s="514">
        <f>SUMIF(修正!$A$45:$A$56,项目基本情况!$F$9,修正!B45:B56)</f>
        <v>0.8</v>
      </c>
      <c r="H57" s="832"/>
      <c r="I57" s="809"/>
      <c r="J57" s="879"/>
      <c r="K57" s="880"/>
      <c r="L57" s="880"/>
      <c r="M57" s="809"/>
      <c r="N57" s="809"/>
      <c r="O57" s="1056"/>
    </row>
    <row r="58" spans="1:15" s="697" customFormat="1">
      <c r="A58" s="829" t="s">
        <v>1401</v>
      </c>
      <c r="B58" s="830" t="e">
        <f t="shared" ref="B58:B65" si="16">ROUND($C$48*C58*D58,0)</f>
        <v>#DIV/0!</v>
      </c>
      <c r="C58" s="431">
        <f t="shared" ref="C58:C65" si="17">IF($C$55="北京市系数",G58,H58)</f>
        <v>0.5</v>
      </c>
      <c r="D58" s="831">
        <v>0.25</v>
      </c>
      <c r="E58" s="827">
        <v>0</v>
      </c>
      <c r="F58" s="828" t="e">
        <f t="shared" si="15"/>
        <v>#DIV/0!</v>
      </c>
      <c r="G58" s="514">
        <f>SUMIF(修正!$A$45:$A$56,项目基本情况!$F$9,修正!C45:C56)</f>
        <v>0.5</v>
      </c>
      <c r="H58" s="832"/>
      <c r="I58" s="814"/>
      <c r="J58" s="814"/>
      <c r="K58" s="881"/>
      <c r="L58" s="882"/>
      <c r="M58" s="814"/>
      <c r="N58" s="814"/>
      <c r="O58" s="1056"/>
    </row>
    <row r="59" spans="1:15" s="697" customFormat="1">
      <c r="A59" s="829" t="s">
        <v>1402</v>
      </c>
      <c r="B59" s="830" t="e">
        <f t="shared" si="16"/>
        <v>#DIV/0!</v>
      </c>
      <c r="C59" s="431">
        <f t="shared" si="17"/>
        <v>0.36</v>
      </c>
      <c r="D59" s="831">
        <v>0.25</v>
      </c>
      <c r="E59" s="827">
        <v>0</v>
      </c>
      <c r="F59" s="828" t="e">
        <f t="shared" si="15"/>
        <v>#DIV/0!</v>
      </c>
      <c r="G59" s="514">
        <f>SUMIF(修正!$A$45:$A$56,项目基本情况!$F$9,修正!D45:D56)</f>
        <v>0.36</v>
      </c>
      <c r="H59" s="832"/>
      <c r="I59" s="809"/>
      <c r="J59" s="879"/>
      <c r="K59" s="880"/>
      <c r="L59" s="880"/>
      <c r="M59" s="809"/>
      <c r="N59" s="809"/>
      <c r="O59" s="1056"/>
    </row>
    <row r="60" spans="1:15" s="697" customFormat="1">
      <c r="A60" s="829" t="s">
        <v>1403</v>
      </c>
      <c r="B60" s="830" t="e">
        <f t="shared" si="16"/>
        <v>#DIV/0!</v>
      </c>
      <c r="C60" s="431">
        <f t="shared" si="17"/>
        <v>0.3</v>
      </c>
      <c r="D60" s="831">
        <v>0.25</v>
      </c>
      <c r="E60" s="827">
        <v>0</v>
      </c>
      <c r="F60" s="828" t="e">
        <f t="shared" si="15"/>
        <v>#DIV/0!</v>
      </c>
      <c r="G60" s="514">
        <f>SUMIF(修正!$A$45:$A$56,项目基本情况!$F$9,修正!E45:E56)</f>
        <v>0.3</v>
      </c>
      <c r="H60" s="832"/>
      <c r="I60" s="814"/>
      <c r="J60" s="814"/>
      <c r="K60" s="881"/>
      <c r="L60" s="882"/>
      <c r="M60" s="814"/>
      <c r="N60" s="814"/>
      <c r="O60" s="1056"/>
    </row>
    <row r="61" spans="1:15" s="697" customFormat="1">
      <c r="A61" s="829" t="s">
        <v>1404</v>
      </c>
      <c r="B61" s="830" t="e">
        <f t="shared" si="16"/>
        <v>#DIV/0!</v>
      </c>
      <c r="C61" s="431">
        <f t="shared" si="17"/>
        <v>0.3</v>
      </c>
      <c r="D61" s="831">
        <v>0.25</v>
      </c>
      <c r="E61" s="827">
        <v>0</v>
      </c>
      <c r="F61" s="828" t="e">
        <f t="shared" si="15"/>
        <v>#DIV/0!</v>
      </c>
      <c r="G61" s="514">
        <f>SUMIF(修正!A45:A56,项目基本情况!F9,修正!F45:F56)</f>
        <v>0.3</v>
      </c>
      <c r="H61" s="832"/>
      <c r="I61" s="809"/>
      <c r="J61" s="879"/>
      <c r="K61" s="880"/>
      <c r="L61" s="880"/>
      <c r="M61" s="809"/>
      <c r="N61" s="809"/>
      <c r="O61" s="1056"/>
    </row>
    <row r="62" spans="1:15" s="697" customFormat="1">
      <c r="A62" s="829" t="s">
        <v>1405</v>
      </c>
      <c r="B62" s="830" t="e">
        <f t="shared" si="16"/>
        <v>#DIV/0!</v>
      </c>
      <c r="C62" s="431">
        <f t="shared" si="17"/>
        <v>0.3</v>
      </c>
      <c r="D62" s="831">
        <v>0.25</v>
      </c>
      <c r="E62" s="827">
        <v>0</v>
      </c>
      <c r="F62" s="828" t="e">
        <f t="shared" si="15"/>
        <v>#DIV/0!</v>
      </c>
      <c r="G62" s="514">
        <f>SUMIF(修正!A45:A56,项目基本情况!F9,修正!G45:G56)</f>
        <v>0.3</v>
      </c>
      <c r="H62" s="832"/>
      <c r="I62" s="814"/>
      <c r="J62" s="814"/>
      <c r="K62" s="881"/>
      <c r="L62" s="882"/>
      <c r="M62" s="814"/>
      <c r="N62" s="814"/>
      <c r="O62" s="1056"/>
    </row>
    <row r="63" spans="1:15" s="697" customFormat="1">
      <c r="A63" s="829" t="s">
        <v>1406</v>
      </c>
      <c r="B63" s="830" t="e">
        <f t="shared" si="16"/>
        <v>#DIV/0!</v>
      </c>
      <c r="C63" s="431">
        <f t="shared" si="17"/>
        <v>0.25</v>
      </c>
      <c r="D63" s="831">
        <v>0.25</v>
      </c>
      <c r="E63" s="827">
        <v>0</v>
      </c>
      <c r="F63" s="828" t="e">
        <f t="shared" si="15"/>
        <v>#DIV/0!</v>
      </c>
      <c r="G63" s="514">
        <f>SUMIF(修正!A45:A56,项目基本情况!F9,修正!H45:H56)</f>
        <v>0.25</v>
      </c>
      <c r="H63" s="832"/>
      <c r="I63" s="809"/>
      <c r="J63" s="879"/>
      <c r="K63" s="880"/>
      <c r="L63" s="880"/>
      <c r="M63" s="809"/>
      <c r="N63" s="809"/>
      <c r="O63" s="1056"/>
    </row>
    <row r="64" spans="1:15" s="697" customFormat="1">
      <c r="A64" s="829" t="s">
        <v>1407</v>
      </c>
      <c r="B64" s="830" t="e">
        <f t="shared" si="16"/>
        <v>#DIV/0!</v>
      </c>
      <c r="C64" s="431">
        <f t="shared" si="17"/>
        <v>0.25</v>
      </c>
      <c r="D64" s="831">
        <v>0.25</v>
      </c>
      <c r="E64" s="827">
        <v>0</v>
      </c>
      <c r="F64" s="828" t="e">
        <f t="shared" si="15"/>
        <v>#DIV/0!</v>
      </c>
      <c r="G64" s="514">
        <f>G63</f>
        <v>0.25</v>
      </c>
      <c r="H64" s="832"/>
      <c r="I64" s="814"/>
      <c r="J64" s="814"/>
      <c r="K64" s="881"/>
      <c r="L64" s="882"/>
      <c r="M64" s="814"/>
      <c r="N64" s="814"/>
      <c r="O64" s="1056"/>
    </row>
    <row r="65" spans="1:17" s="697" customFormat="1">
      <c r="A65" s="829" t="s">
        <v>1408</v>
      </c>
      <c r="B65" s="830" t="e">
        <f t="shared" si="16"/>
        <v>#DIV/0!</v>
      </c>
      <c r="C65" s="431">
        <f t="shared" si="17"/>
        <v>0.25</v>
      </c>
      <c r="D65" s="831">
        <v>0.25</v>
      </c>
      <c r="E65" s="827">
        <v>0</v>
      </c>
      <c r="F65" s="828" t="e">
        <f t="shared" si="15"/>
        <v>#DIV/0!</v>
      </c>
      <c r="G65" s="514">
        <f>G63</f>
        <v>0.25</v>
      </c>
      <c r="H65" s="832"/>
      <c r="I65" s="809"/>
      <c r="J65" s="879"/>
      <c r="K65" s="880"/>
      <c r="L65" s="880"/>
      <c r="M65" s="809"/>
      <c r="N65" s="809"/>
      <c r="O65" s="1056"/>
    </row>
    <row r="66" spans="1:17" s="697" customFormat="1" ht="12.75">
      <c r="A66" s="833" t="s">
        <v>1409</v>
      </c>
      <c r="B66" s="834" t="s">
        <v>1351</v>
      </c>
      <c r="C66" s="834" t="s">
        <v>1351</v>
      </c>
      <c r="D66" s="834" t="s">
        <v>1351</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1306</v>
      </c>
      <c r="B69" s="839"/>
      <c r="C69" s="840"/>
      <c r="D69" s="840"/>
      <c r="E69" s="840"/>
      <c r="F69" s="841"/>
      <c r="G69" s="841"/>
      <c r="H69" s="840"/>
      <c r="I69" s="884"/>
      <c r="J69" s="884"/>
      <c r="K69" s="885"/>
      <c r="L69" s="886"/>
      <c r="M69" s="884"/>
      <c r="N69" s="884"/>
      <c r="O69" s="884"/>
      <c r="P69" s="887"/>
      <c r="Q69" s="899"/>
    </row>
    <row r="70" spans="1:17" s="1023" customFormat="1" ht="15">
      <c r="A70" s="908" t="s">
        <v>1410</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1411</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1307</v>
      </c>
      <c r="B72" s="915"/>
      <c r="C72" s="916"/>
      <c r="D72" s="917"/>
      <c r="E72" s="917"/>
      <c r="F72" s="917"/>
      <c r="G72" s="917"/>
      <c r="H72" s="917"/>
      <c r="I72" s="917"/>
      <c r="J72" s="917"/>
      <c r="K72" s="917"/>
      <c r="L72" s="917"/>
      <c r="M72" s="966"/>
      <c r="N72" s="917"/>
      <c r="O72" s="967"/>
      <c r="P72" s="899"/>
      <c r="Q72" s="899"/>
    </row>
    <row r="73" spans="1:17" s="693" customFormat="1" ht="15">
      <c r="A73" s="918" t="s">
        <v>1273</v>
      </c>
      <c r="B73" s="919"/>
      <c r="C73" s="920" t="s">
        <v>1274</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1308</v>
      </c>
      <c r="B75" s="925" t="s">
        <v>1277</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1280</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1281</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1282</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570</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1316</v>
      </c>
      <c r="D102" s="930" t="s">
        <v>1317</v>
      </c>
      <c r="E102" s="930" t="s">
        <v>1318</v>
      </c>
      <c r="F102" s="930" t="s">
        <v>1319</v>
      </c>
      <c r="G102" s="930" t="s">
        <v>1320</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1412</v>
      </c>
      <c r="D104" s="930" t="s">
        <v>1413</v>
      </c>
      <c r="E104" s="930" t="s">
        <v>1414</v>
      </c>
      <c r="F104" s="930" t="s">
        <v>1415</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568</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571</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1287</v>
      </c>
      <c r="B116" s="925" t="s">
        <v>1385</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1386</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1387</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1388</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1389</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1381</v>
      </c>
      <c r="B1" s="703"/>
      <c r="C1" s="704" t="s">
        <v>1358</v>
      </c>
      <c r="D1" s="705"/>
      <c r="E1" s="705"/>
      <c r="F1" s="706" t="s">
        <v>1255</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824</v>
      </c>
      <c r="B2" s="707" t="e">
        <f>F61</f>
        <v>#DIV/0!</v>
      </c>
      <c r="C2" s="708" t="s">
        <v>1383</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825</v>
      </c>
      <c r="B3" s="711" t="e">
        <f>ROUND(B2/'数据-取费表'!B5,0)</f>
        <v>#DIV/0!</v>
      </c>
      <c r="C3" s="708" t="s">
        <v>826</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1257</v>
      </c>
      <c r="B4" s="713"/>
      <c r="C4" s="2983" t="s">
        <v>1258</v>
      </c>
      <c r="D4" s="2984"/>
      <c r="E4" s="2985" t="s">
        <v>1259</v>
      </c>
      <c r="F4" s="2986"/>
      <c r="G4" s="2983" t="s">
        <v>1260</v>
      </c>
      <c r="H4" s="2984"/>
      <c r="I4" s="2983" t="s">
        <v>1261</v>
      </c>
      <c r="J4" s="2984"/>
      <c r="K4" s="849" t="s">
        <v>1262</v>
      </c>
      <c r="L4" s="850"/>
      <c r="M4" s="851"/>
      <c r="N4" s="851"/>
      <c r="O4" s="851"/>
      <c r="P4" s="3014" t="s">
        <v>1263</v>
      </c>
      <c r="Q4" s="3015"/>
      <c r="R4" s="3020" t="s">
        <v>1259</v>
      </c>
      <c r="S4" s="3021"/>
      <c r="T4" s="3020" t="s">
        <v>1260</v>
      </c>
      <c r="U4" s="3021"/>
      <c r="V4" s="3026" t="s">
        <v>1261</v>
      </c>
      <c r="W4" s="3026"/>
      <c r="X4" s="888"/>
      <c r="Y4" s="3020" t="s">
        <v>1263</v>
      </c>
      <c r="Z4" s="3021"/>
      <c r="AA4" s="3011" t="s">
        <v>1259</v>
      </c>
      <c r="AB4" s="3012" t="s">
        <v>1260</v>
      </c>
      <c r="AC4" s="3011" t="s">
        <v>1261</v>
      </c>
    </row>
    <row r="5" spans="1:29" ht="15">
      <c r="A5" s="714"/>
      <c r="B5" s="715"/>
      <c r="C5" s="3056" t="s">
        <v>1264</v>
      </c>
      <c r="D5" s="2988"/>
      <c r="E5" s="3057" t="s">
        <v>1265</v>
      </c>
      <c r="F5" s="3058"/>
      <c r="G5" s="3056" t="s">
        <v>1266</v>
      </c>
      <c r="H5" s="2988"/>
      <c r="I5" s="3056" t="s">
        <v>1267</v>
      </c>
      <c r="J5" s="2988"/>
      <c r="K5" s="849"/>
      <c r="L5" s="850"/>
      <c r="M5" s="851"/>
      <c r="N5" s="851"/>
      <c r="O5" s="851"/>
      <c r="P5" s="3016"/>
      <c r="Q5" s="3017"/>
      <c r="R5" s="3022"/>
      <c r="S5" s="3023"/>
      <c r="T5" s="3022"/>
      <c r="U5" s="3023"/>
      <c r="V5" s="3026"/>
      <c r="W5" s="3026"/>
      <c r="X5" s="888"/>
      <c r="Y5" s="3022"/>
      <c r="Z5" s="3023"/>
      <c r="AA5" s="3012"/>
      <c r="AB5" s="3012"/>
      <c r="AC5" s="3012"/>
    </row>
    <row r="6" spans="1:29" ht="15">
      <c r="A6" s="716"/>
      <c r="B6" s="717"/>
      <c r="C6" s="3059" t="s">
        <v>1268</v>
      </c>
      <c r="D6" s="2990"/>
      <c r="E6" s="3060" t="s">
        <v>1268</v>
      </c>
      <c r="F6" s="3061"/>
      <c r="G6" s="3059" t="s">
        <v>1268</v>
      </c>
      <c r="H6" s="2990"/>
      <c r="I6" s="3059" t="s">
        <v>1268</v>
      </c>
      <c r="J6" s="2990"/>
      <c r="K6" s="849" t="s">
        <v>1269</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1270</v>
      </c>
      <c r="B7" s="719"/>
      <c r="C7" s="720">
        <f>'数据-取费表'!B2</f>
        <v>43199</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2991" t="s">
        <v>1271</v>
      </c>
      <c r="Q7" s="2992"/>
      <c r="R7" s="890" t="s">
        <v>1272</v>
      </c>
      <c r="S7" s="891">
        <f t="shared" ref="S7:S15" si="0">F7</f>
        <v>0</v>
      </c>
      <c r="T7" s="890" t="s">
        <v>1272</v>
      </c>
      <c r="U7" s="891">
        <f t="shared" ref="U7:U15" si="1">H7</f>
        <v>0</v>
      </c>
      <c r="V7" s="890" t="s">
        <v>1272</v>
      </c>
      <c r="W7" s="891">
        <f t="shared" ref="W7:W15" si="2">J7</f>
        <v>0</v>
      </c>
      <c r="X7" s="892"/>
      <c r="Y7" s="2991" t="s">
        <v>1271</v>
      </c>
      <c r="Z7" s="2993"/>
      <c r="AA7" s="903" t="e">
        <f>D7/F7</f>
        <v>#DIV/0!</v>
      </c>
      <c r="AB7" s="903" t="e">
        <f>D7/H7</f>
        <v>#DIV/0!</v>
      </c>
      <c r="AC7" s="903" t="e">
        <f>D7/J7</f>
        <v>#DIV/0!</v>
      </c>
    </row>
    <row r="8" spans="1:29" s="693" customFormat="1" ht="15">
      <c r="A8" s="718" t="s">
        <v>1273</v>
      </c>
      <c r="B8" s="719"/>
      <c r="C8" s="725" t="s">
        <v>1274</v>
      </c>
      <c r="D8" s="721">
        <v>100</v>
      </c>
      <c r="E8" s="725"/>
      <c r="F8" s="723">
        <f>SUMIF(68:68,E8,69:69)-SUMIF(68:68,C8,69:69)+100</f>
        <v>0</v>
      </c>
      <c r="G8" s="725"/>
      <c r="H8" s="721">
        <f>SUMIF(68:68,G8,69:69)-SUMIF(68:68,C8,69:69)+100</f>
        <v>0</v>
      </c>
      <c r="I8" s="725"/>
      <c r="J8" s="721">
        <f>SUMIF(68:68,I8,69:69)-SUMIF(68:68,C8,69:69)+100</f>
        <v>0</v>
      </c>
      <c r="K8" s="852"/>
      <c r="L8" s="853"/>
      <c r="M8" s="854"/>
      <c r="N8" s="854"/>
      <c r="O8" s="854"/>
      <c r="P8" s="2991" t="s">
        <v>1275</v>
      </c>
      <c r="Q8" s="2993"/>
      <c r="R8" s="890" t="s">
        <v>1272</v>
      </c>
      <c r="S8" s="891">
        <f t="shared" si="0"/>
        <v>0</v>
      </c>
      <c r="T8" s="890" t="s">
        <v>1272</v>
      </c>
      <c r="U8" s="891">
        <f t="shared" si="1"/>
        <v>0</v>
      </c>
      <c r="V8" s="890" t="s">
        <v>1272</v>
      </c>
      <c r="W8" s="891">
        <f t="shared" si="2"/>
        <v>0</v>
      </c>
      <c r="X8" s="892"/>
      <c r="Y8" s="2991" t="s">
        <v>1275</v>
      </c>
      <c r="Z8" s="2993"/>
      <c r="AA8" s="903" t="e">
        <f t="shared" ref="AA8:AA40" si="3">D8/F8</f>
        <v>#DIV/0!</v>
      </c>
      <c r="AB8" s="903" t="e">
        <f t="shared" ref="AB8:AB40" si="4">D8/H8</f>
        <v>#DIV/0!</v>
      </c>
      <c r="AC8" s="903" t="e">
        <f t="shared" ref="AC8:AC40" si="5">D8/J8</f>
        <v>#DIV/0!</v>
      </c>
    </row>
    <row r="9" spans="1:29" s="693" customFormat="1">
      <c r="A9" s="726" t="s">
        <v>1276</v>
      </c>
      <c r="B9" s="727" t="s">
        <v>1277</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2994" t="s">
        <v>1278</v>
      </c>
      <c r="Q9" s="893" t="str">
        <f t="shared" ref="Q9:Q15" si="6">B9</f>
        <v>用途</v>
      </c>
      <c r="R9" s="890" t="s">
        <v>1272</v>
      </c>
      <c r="S9" s="891">
        <f t="shared" si="0"/>
        <v>100</v>
      </c>
      <c r="T9" s="890" t="s">
        <v>1272</v>
      </c>
      <c r="U9" s="891">
        <f t="shared" si="1"/>
        <v>100</v>
      </c>
      <c r="V9" s="890" t="s">
        <v>1272</v>
      </c>
      <c r="W9" s="891">
        <f t="shared" si="2"/>
        <v>100</v>
      </c>
      <c r="X9" s="892"/>
      <c r="Y9" s="2942" t="s">
        <v>1279</v>
      </c>
      <c r="Z9" s="904" t="str">
        <f t="shared" ref="Z9:Z15" si="7">Q9</f>
        <v>用途</v>
      </c>
      <c r="AA9" s="903">
        <f t="shared" si="3"/>
        <v>1</v>
      </c>
      <c r="AB9" s="903">
        <f t="shared" si="4"/>
        <v>1</v>
      </c>
      <c r="AC9" s="903">
        <f t="shared" si="5"/>
        <v>1</v>
      </c>
    </row>
    <row r="10" spans="1:29" s="694" customFormat="1" ht="27">
      <c r="A10" s="730"/>
      <c r="B10" s="731" t="s">
        <v>1280</v>
      </c>
      <c r="C10" s="732"/>
      <c r="D10" s="733">
        <v>100</v>
      </c>
      <c r="E10" s="732"/>
      <c r="F10" s="733">
        <f>ROUND(100/'数据-取费表'!B14,0)</f>
        <v>103</v>
      </c>
      <c r="G10" s="732"/>
      <c r="H10" s="733">
        <f>ROUND(100/'数据-取费表'!B14,0)</f>
        <v>103</v>
      </c>
      <c r="I10" s="732"/>
      <c r="J10" s="733">
        <f>ROUND(100/'数据-取费表'!B14,0)</f>
        <v>103</v>
      </c>
      <c r="K10" s="856"/>
      <c r="L10" s="857"/>
      <c r="M10" s="858"/>
      <c r="N10" s="858"/>
      <c r="O10" s="859"/>
      <c r="P10" s="2994"/>
      <c r="Q10" s="893" t="str">
        <f t="shared" si="6"/>
        <v>土地使用年限（年）</v>
      </c>
      <c r="R10" s="890" t="s">
        <v>1272</v>
      </c>
      <c r="S10" s="891">
        <f t="shared" si="0"/>
        <v>103</v>
      </c>
      <c r="T10" s="890" t="s">
        <v>1272</v>
      </c>
      <c r="U10" s="891">
        <f t="shared" si="1"/>
        <v>103</v>
      </c>
      <c r="V10" s="890" t="s">
        <v>1272</v>
      </c>
      <c r="W10" s="891">
        <f t="shared" si="2"/>
        <v>103</v>
      </c>
      <c r="X10" s="892"/>
      <c r="Y10" s="2942"/>
      <c r="Z10" s="904" t="str">
        <f t="shared" si="7"/>
        <v>土地使用年限（年）</v>
      </c>
      <c r="AA10" s="903">
        <f t="shared" si="3"/>
        <v>0.970873786407767</v>
      </c>
      <c r="AB10" s="903">
        <f t="shared" si="4"/>
        <v>0.970873786407767</v>
      </c>
      <c r="AC10" s="903">
        <f t="shared" si="5"/>
        <v>0.970873786407767</v>
      </c>
    </row>
    <row r="11" spans="1:29" ht="15">
      <c r="A11" s="734"/>
      <c r="B11" s="731" t="s">
        <v>1281</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2994"/>
      <c r="Q11" s="893" t="str">
        <f t="shared" si="6"/>
        <v>容积率</v>
      </c>
      <c r="R11" s="890" t="s">
        <v>1272</v>
      </c>
      <c r="S11" s="891" t="e">
        <f t="shared" si="0"/>
        <v>#N/A</v>
      </c>
      <c r="T11" s="890" t="s">
        <v>1272</v>
      </c>
      <c r="U11" s="891" t="e">
        <f t="shared" si="1"/>
        <v>#N/A</v>
      </c>
      <c r="V11" s="890" t="s">
        <v>1272</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2994"/>
      <c r="Q12" s="893">
        <f t="shared" si="6"/>
        <v>111</v>
      </c>
      <c r="R12" s="890" t="s">
        <v>1272</v>
      </c>
      <c r="S12" s="891">
        <f t="shared" si="0"/>
        <v>100</v>
      </c>
      <c r="T12" s="890" t="s">
        <v>1272</v>
      </c>
      <c r="U12" s="891">
        <f t="shared" si="1"/>
        <v>100</v>
      </c>
      <c r="V12" s="890" t="s">
        <v>1272</v>
      </c>
      <c r="W12" s="891">
        <f t="shared" si="2"/>
        <v>100</v>
      </c>
      <c r="X12" s="892"/>
      <c r="Y12" s="2942"/>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2994"/>
      <c r="Q13" s="893">
        <f t="shared" si="6"/>
        <v>111</v>
      </c>
      <c r="R13" s="890" t="s">
        <v>1272</v>
      </c>
      <c r="S13" s="891">
        <f t="shared" si="0"/>
        <v>100</v>
      </c>
      <c r="T13" s="890" t="s">
        <v>1272</v>
      </c>
      <c r="U13" s="891">
        <f t="shared" si="1"/>
        <v>100</v>
      </c>
      <c r="V13" s="890" t="s">
        <v>1272</v>
      </c>
      <c r="W13" s="891">
        <f t="shared" si="2"/>
        <v>100</v>
      </c>
      <c r="X13" s="892"/>
      <c r="Y13" s="2942"/>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2994"/>
      <c r="Q14" s="893">
        <f t="shared" si="6"/>
        <v>111</v>
      </c>
      <c r="R14" s="890" t="s">
        <v>1272</v>
      </c>
      <c r="S14" s="891">
        <f t="shared" si="0"/>
        <v>100</v>
      </c>
      <c r="T14" s="890" t="s">
        <v>1272</v>
      </c>
      <c r="U14" s="891">
        <f t="shared" si="1"/>
        <v>100</v>
      </c>
      <c r="V14" s="890" t="s">
        <v>1272</v>
      </c>
      <c r="W14" s="891">
        <f t="shared" si="2"/>
        <v>100</v>
      </c>
      <c r="X14" s="892"/>
      <c r="Y14" s="2942"/>
      <c r="Z14" s="904">
        <f t="shared" si="7"/>
        <v>111</v>
      </c>
      <c r="AA14" s="903">
        <f t="shared" si="3"/>
        <v>1</v>
      </c>
      <c r="AB14" s="903">
        <f t="shared" si="4"/>
        <v>1</v>
      </c>
      <c r="AC14" s="903">
        <f t="shared" si="5"/>
        <v>1</v>
      </c>
    </row>
    <row r="15" spans="1:29" ht="57">
      <c r="A15" s="748" t="s">
        <v>1282</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02" t="s">
        <v>1283</v>
      </c>
      <c r="Q15" s="486" t="str">
        <f t="shared" si="6"/>
        <v>产业集聚程度</v>
      </c>
      <c r="R15" s="894" t="s">
        <v>1272</v>
      </c>
      <c r="S15" s="895">
        <f t="shared" si="0"/>
        <v>100</v>
      </c>
      <c r="T15" s="894" t="s">
        <v>1272</v>
      </c>
      <c r="U15" s="895">
        <f t="shared" si="1"/>
        <v>100</v>
      </c>
      <c r="V15" s="894" t="s">
        <v>1272</v>
      </c>
      <c r="W15" s="895">
        <f t="shared" si="2"/>
        <v>100</v>
      </c>
      <c r="X15" s="888"/>
      <c r="Y15" s="3002" t="s">
        <v>1283</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03"/>
      <c r="Q16" s="486"/>
      <c r="R16" s="894"/>
      <c r="S16" s="895"/>
      <c r="T16" s="894"/>
      <c r="U16" s="895"/>
      <c r="V16" s="894"/>
      <c r="W16" s="895"/>
      <c r="X16" s="888"/>
      <c r="Y16" s="3003"/>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03"/>
      <c r="Q17" s="486" t="str">
        <f>B17</f>
        <v>交通便捷度</v>
      </c>
      <c r="R17" s="894" t="s">
        <v>1272</v>
      </c>
      <c r="S17" s="895">
        <f>F17</f>
        <v>100</v>
      </c>
      <c r="T17" s="894" t="s">
        <v>1272</v>
      </c>
      <c r="U17" s="895">
        <f>H17</f>
        <v>100</v>
      </c>
      <c r="V17" s="894" t="s">
        <v>1272</v>
      </c>
      <c r="W17" s="895">
        <f>J17</f>
        <v>100</v>
      </c>
      <c r="X17" s="888"/>
      <c r="Y17" s="3003"/>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03"/>
      <c r="Q18" s="486"/>
      <c r="R18" s="894"/>
      <c r="S18" s="895"/>
      <c r="T18" s="894"/>
      <c r="U18" s="895"/>
      <c r="V18" s="894"/>
      <c r="W18" s="895"/>
      <c r="X18" s="888"/>
      <c r="Y18" s="3003"/>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03"/>
      <c r="Q19" s="486" t="str">
        <f t="shared" ref="Q19:Q34" si="8">B19</f>
        <v>区域土地利用方向</v>
      </c>
      <c r="R19" s="894" t="s">
        <v>1272</v>
      </c>
      <c r="S19" s="895">
        <f>F19</f>
        <v>100</v>
      </c>
      <c r="T19" s="894" t="s">
        <v>1272</v>
      </c>
      <c r="U19" s="895">
        <f>H19</f>
        <v>100</v>
      </c>
      <c r="V19" s="894" t="s">
        <v>1272</v>
      </c>
      <c r="W19" s="895">
        <f>J19</f>
        <v>100</v>
      </c>
      <c r="X19" s="888"/>
      <c r="Y19" s="3003"/>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03"/>
      <c r="Q20" s="486"/>
      <c r="R20" s="894"/>
      <c r="S20" s="895"/>
      <c r="T20" s="894"/>
      <c r="U20" s="895"/>
      <c r="V20" s="894"/>
      <c r="W20" s="895"/>
      <c r="X20" s="888"/>
      <c r="Y20" s="3003"/>
      <c r="Z20" s="823"/>
      <c r="AA20" s="905"/>
      <c r="AB20" s="905"/>
      <c r="AC20" s="905"/>
    </row>
    <row r="21" spans="1:29" ht="71.25">
      <c r="A21" s="714"/>
      <c r="B21" s="758" t="s">
        <v>565</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03"/>
      <c r="Q21" s="486" t="str">
        <f t="shared" si="8"/>
        <v>环境状况</v>
      </c>
      <c r="R21" s="894" t="s">
        <v>1272</v>
      </c>
      <c r="S21" s="895">
        <f>F21</f>
        <v>100</v>
      </c>
      <c r="T21" s="894" t="s">
        <v>1272</v>
      </c>
      <c r="U21" s="895">
        <f>H21</f>
        <v>100</v>
      </c>
      <c r="V21" s="894" t="s">
        <v>1272</v>
      </c>
      <c r="W21" s="895">
        <f>J21</f>
        <v>100</v>
      </c>
      <c r="X21" s="888"/>
      <c r="Y21" s="3003"/>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03"/>
      <c r="Q22" s="486"/>
      <c r="R22" s="894"/>
      <c r="S22" s="895"/>
      <c r="T22" s="894"/>
      <c r="U22" s="895"/>
      <c r="V22" s="894"/>
      <c r="W22" s="895"/>
      <c r="X22" s="888"/>
      <c r="Y22" s="3003"/>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03"/>
      <c r="Q23" s="893" t="str">
        <f t="shared" si="8"/>
        <v>公共配套设施</v>
      </c>
      <c r="R23" s="890" t="s">
        <v>1272</v>
      </c>
      <c r="S23" s="891">
        <f>F23</f>
        <v>100</v>
      </c>
      <c r="T23" s="890" t="s">
        <v>1272</v>
      </c>
      <c r="U23" s="891">
        <f>H23</f>
        <v>100</v>
      </c>
      <c r="V23" s="890" t="s">
        <v>1272</v>
      </c>
      <c r="W23" s="891">
        <f>J23</f>
        <v>100</v>
      </c>
      <c r="X23" s="892"/>
      <c r="Y23" s="3003"/>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03"/>
      <c r="Q24" s="893"/>
      <c r="R24" s="890"/>
      <c r="S24" s="891"/>
      <c r="T24" s="890"/>
      <c r="U24" s="891"/>
      <c r="V24" s="890"/>
      <c r="W24" s="891"/>
      <c r="X24" s="892"/>
      <c r="Y24" s="3003"/>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03"/>
      <c r="Q25" s="893" t="str">
        <f t="shared" ref="Q25" si="9">B25</f>
        <v>基础设施水平</v>
      </c>
      <c r="R25" s="890" t="s">
        <v>1272</v>
      </c>
      <c r="S25" s="891">
        <f>F25</f>
        <v>100</v>
      </c>
      <c r="T25" s="890" t="s">
        <v>1272</v>
      </c>
      <c r="U25" s="891">
        <f>H25</f>
        <v>100</v>
      </c>
      <c r="V25" s="890" t="s">
        <v>1272</v>
      </c>
      <c r="W25" s="891">
        <f>J25</f>
        <v>100</v>
      </c>
      <c r="X25" s="892"/>
      <c r="Y25" s="3003"/>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03"/>
      <c r="Q26" s="893"/>
      <c r="R26" s="890"/>
      <c r="S26" s="891"/>
      <c r="T26" s="890"/>
      <c r="U26" s="891"/>
      <c r="V26" s="890"/>
      <c r="W26" s="891"/>
      <c r="X26" s="892"/>
      <c r="Y26" s="3003"/>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03"/>
      <c r="Q27" s="486" t="str">
        <f t="shared" si="8"/>
        <v>临街状况</v>
      </c>
      <c r="R27" s="894" t="s">
        <v>1272</v>
      </c>
      <c r="S27" s="895">
        <f t="shared" ref="S27:S40" si="10">F27</f>
        <v>100</v>
      </c>
      <c r="T27" s="894" t="s">
        <v>1272</v>
      </c>
      <c r="U27" s="895">
        <f t="shared" ref="U27:U40" si="11">H27</f>
        <v>100</v>
      </c>
      <c r="V27" s="894" t="s">
        <v>1272</v>
      </c>
      <c r="W27" s="895">
        <f t="shared" ref="W27:W40" si="12">J27</f>
        <v>100</v>
      </c>
      <c r="X27" s="888"/>
      <c r="Y27" s="3003"/>
      <c r="Z27" s="823" t="str">
        <f t="shared" ref="Z27:Z40" si="13">Q27</f>
        <v>临街状况</v>
      </c>
      <c r="AA27" s="905">
        <f t="shared" si="3"/>
        <v>1</v>
      </c>
      <c r="AB27" s="905">
        <f t="shared" si="4"/>
        <v>1</v>
      </c>
      <c r="AC27" s="905">
        <f t="shared" si="5"/>
        <v>1</v>
      </c>
    </row>
    <row r="28" spans="1:29" ht="27">
      <c r="A28" s="734"/>
      <c r="B28" s="766" t="s">
        <v>568</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03"/>
      <c r="Q28" s="486" t="str">
        <f t="shared" si="8"/>
        <v>毗邻道路的类型与等级</v>
      </c>
      <c r="R28" s="894" t="s">
        <v>1272</v>
      </c>
      <c r="S28" s="895">
        <f t="shared" si="10"/>
        <v>100</v>
      </c>
      <c r="T28" s="894" t="s">
        <v>1272</v>
      </c>
      <c r="U28" s="895">
        <f t="shared" si="11"/>
        <v>100</v>
      </c>
      <c r="V28" s="894" t="s">
        <v>1272</v>
      </c>
      <c r="W28" s="895">
        <f t="shared" si="12"/>
        <v>100</v>
      </c>
      <c r="X28" s="888"/>
      <c r="Y28" s="3003"/>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03"/>
      <c r="Q29" s="486"/>
      <c r="R29" s="894"/>
      <c r="S29" s="895"/>
      <c r="T29" s="894"/>
      <c r="U29" s="895"/>
      <c r="V29" s="894"/>
      <c r="W29" s="895"/>
      <c r="X29" s="888"/>
      <c r="Y29" s="3003"/>
      <c r="Z29" s="823"/>
      <c r="AA29" s="905">
        <v>1</v>
      </c>
      <c r="AB29" s="905">
        <v>1</v>
      </c>
      <c r="AC29" s="905">
        <v>1</v>
      </c>
    </row>
    <row r="30" spans="1:29" ht="15">
      <c r="A30" s="734"/>
      <c r="B30" s="771" t="s">
        <v>571</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03"/>
      <c r="Q30" s="486" t="str">
        <f t="shared" si="8"/>
        <v>土地级别</v>
      </c>
      <c r="R30" s="894" t="s">
        <v>1272</v>
      </c>
      <c r="S30" s="895">
        <f t="shared" si="10"/>
        <v>100</v>
      </c>
      <c r="T30" s="894" t="s">
        <v>1272</v>
      </c>
      <c r="U30" s="895">
        <f t="shared" si="11"/>
        <v>100</v>
      </c>
      <c r="V30" s="894" t="s">
        <v>1272</v>
      </c>
      <c r="W30" s="895">
        <f t="shared" si="12"/>
        <v>100</v>
      </c>
      <c r="X30" s="888"/>
      <c r="Y30" s="3003"/>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03"/>
      <c r="Q31" s="486">
        <f t="shared" si="8"/>
        <v>111</v>
      </c>
      <c r="R31" s="894" t="s">
        <v>1272</v>
      </c>
      <c r="S31" s="895">
        <f t="shared" si="10"/>
        <v>100</v>
      </c>
      <c r="T31" s="894" t="s">
        <v>1272</v>
      </c>
      <c r="U31" s="895">
        <f t="shared" si="11"/>
        <v>100</v>
      </c>
      <c r="V31" s="894" t="s">
        <v>1272</v>
      </c>
      <c r="W31" s="895">
        <f t="shared" si="12"/>
        <v>100</v>
      </c>
      <c r="X31" s="888"/>
      <c r="Y31" s="3003"/>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69" t="s">
        <v>1289</v>
      </c>
      <c r="Q32" s="486">
        <f t="shared" si="8"/>
        <v>111</v>
      </c>
      <c r="R32" s="894" t="s">
        <v>1272</v>
      </c>
      <c r="S32" s="895">
        <f t="shared" si="10"/>
        <v>100</v>
      </c>
      <c r="T32" s="894" t="s">
        <v>1272</v>
      </c>
      <c r="U32" s="895">
        <f t="shared" si="11"/>
        <v>100</v>
      </c>
      <c r="V32" s="894" t="s">
        <v>1272</v>
      </c>
      <c r="W32" s="895">
        <f t="shared" si="12"/>
        <v>100</v>
      </c>
      <c r="X32" s="888"/>
      <c r="Y32" s="3004" t="s">
        <v>1289</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04"/>
      <c r="Q33" s="486">
        <f t="shared" si="8"/>
        <v>111</v>
      </c>
      <c r="R33" s="896" t="s">
        <v>1272</v>
      </c>
      <c r="S33" s="897">
        <f t="shared" si="10"/>
        <v>100</v>
      </c>
      <c r="T33" s="896" t="s">
        <v>1272</v>
      </c>
      <c r="U33" s="897">
        <f t="shared" si="11"/>
        <v>100</v>
      </c>
      <c r="V33" s="896" t="s">
        <v>1272</v>
      </c>
      <c r="W33" s="897">
        <f t="shared" si="12"/>
        <v>100</v>
      </c>
      <c r="X33" s="898"/>
      <c r="Y33" s="3004"/>
      <c r="Z33" s="906">
        <f t="shared" si="13"/>
        <v>111</v>
      </c>
      <c r="AA33" s="905">
        <f t="shared" si="3"/>
        <v>1</v>
      </c>
      <c r="AB33" s="905">
        <f t="shared" si="4"/>
        <v>1</v>
      </c>
      <c r="AC33" s="905">
        <f t="shared" si="5"/>
        <v>1</v>
      </c>
    </row>
    <row r="34" spans="1:29" ht="15">
      <c r="A34" s="782" t="s">
        <v>1287</v>
      </c>
      <c r="B34" s="783" t="s">
        <v>1385</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04"/>
      <c r="Q34" s="486" t="str">
        <f t="shared" si="8"/>
        <v>宗地面积</v>
      </c>
      <c r="R34" s="894" t="s">
        <v>1272</v>
      </c>
      <c r="S34" s="895" t="e">
        <f t="shared" si="10"/>
        <v>#N/A</v>
      </c>
      <c r="T34" s="894" t="s">
        <v>1272</v>
      </c>
      <c r="U34" s="895" t="e">
        <f t="shared" si="11"/>
        <v>#N/A</v>
      </c>
      <c r="V34" s="894" t="s">
        <v>1272</v>
      </c>
      <c r="W34" s="895" t="e">
        <f t="shared" si="12"/>
        <v>#N/A</v>
      </c>
      <c r="X34" s="888"/>
      <c r="Y34" s="3004"/>
      <c r="Z34" s="823" t="str">
        <f t="shared" si="13"/>
        <v>宗地面积</v>
      </c>
      <c r="AA34" s="905" t="e">
        <f t="shared" si="3"/>
        <v>#N/A</v>
      </c>
      <c r="AB34" s="905" t="e">
        <f t="shared" si="4"/>
        <v>#N/A</v>
      </c>
      <c r="AC34" s="905" t="e">
        <f t="shared" si="5"/>
        <v>#N/A</v>
      </c>
    </row>
    <row r="35" spans="1:29" ht="15">
      <c r="A35" s="782"/>
      <c r="B35" s="731" t="s">
        <v>1386</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04"/>
      <c r="Q35" s="486" t="str">
        <f t="shared" ref="Q35:Q40" si="14">B35</f>
        <v>宗地形状</v>
      </c>
      <c r="R35" s="894" t="s">
        <v>1272</v>
      </c>
      <c r="S35" s="895">
        <f t="shared" si="10"/>
        <v>100</v>
      </c>
      <c r="T35" s="894" t="s">
        <v>1272</v>
      </c>
      <c r="U35" s="895">
        <f t="shared" si="11"/>
        <v>100</v>
      </c>
      <c r="V35" s="894" t="s">
        <v>1272</v>
      </c>
      <c r="W35" s="895">
        <f t="shared" si="12"/>
        <v>100</v>
      </c>
      <c r="X35" s="888"/>
      <c r="Y35" s="3004"/>
      <c r="Z35" s="823" t="str">
        <f t="shared" si="13"/>
        <v>宗地形状</v>
      </c>
      <c r="AA35" s="905">
        <f t="shared" si="3"/>
        <v>1</v>
      </c>
      <c r="AB35" s="905">
        <f t="shared" si="4"/>
        <v>1</v>
      </c>
      <c r="AC35" s="905">
        <f t="shared" si="5"/>
        <v>1</v>
      </c>
    </row>
    <row r="36" spans="1:29" s="693" customFormat="1" ht="15">
      <c r="A36" s="787"/>
      <c r="B36" s="731" t="s">
        <v>1388</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04"/>
      <c r="Q36" s="486" t="str">
        <f t="shared" si="14"/>
        <v>宗地开发程度</v>
      </c>
      <c r="R36" s="890" t="s">
        <v>1272</v>
      </c>
      <c r="S36" s="891">
        <f t="shared" si="10"/>
        <v>100</v>
      </c>
      <c r="T36" s="890" t="s">
        <v>1272</v>
      </c>
      <c r="U36" s="891">
        <f t="shared" si="11"/>
        <v>100</v>
      </c>
      <c r="V36" s="890" t="s">
        <v>1272</v>
      </c>
      <c r="W36" s="891">
        <f t="shared" si="12"/>
        <v>100</v>
      </c>
      <c r="X36" s="892"/>
      <c r="Y36" s="3004"/>
      <c r="Z36" s="904" t="str">
        <f t="shared" si="13"/>
        <v>宗地开发程度</v>
      </c>
      <c r="AA36" s="903">
        <f t="shared" si="3"/>
        <v>1</v>
      </c>
      <c r="AB36" s="903">
        <f t="shared" si="4"/>
        <v>1</v>
      </c>
      <c r="AC36" s="903">
        <f t="shared" si="5"/>
        <v>1</v>
      </c>
    </row>
    <row r="37" spans="1:29" ht="15">
      <c r="A37" s="782"/>
      <c r="B37" s="731" t="s">
        <v>1389</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04" t="s">
        <v>1289</v>
      </c>
      <c r="Q37" s="486" t="str">
        <f t="shared" si="14"/>
        <v>工程地质条件</v>
      </c>
      <c r="R37" s="894" t="s">
        <v>1272</v>
      </c>
      <c r="S37" s="895">
        <f t="shared" si="10"/>
        <v>100</v>
      </c>
      <c r="T37" s="894" t="s">
        <v>1272</v>
      </c>
      <c r="U37" s="895">
        <f t="shared" si="11"/>
        <v>100</v>
      </c>
      <c r="V37" s="894" t="s">
        <v>1272</v>
      </c>
      <c r="W37" s="895">
        <f t="shared" si="12"/>
        <v>100</v>
      </c>
      <c r="X37" s="888"/>
      <c r="Y37" s="3004" t="s">
        <v>1289</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04"/>
      <c r="Q38" s="486">
        <f t="shared" si="14"/>
        <v>111</v>
      </c>
      <c r="R38" s="894" t="s">
        <v>1272</v>
      </c>
      <c r="S38" s="895">
        <f t="shared" si="10"/>
        <v>100</v>
      </c>
      <c r="T38" s="894" t="s">
        <v>1272</v>
      </c>
      <c r="U38" s="895">
        <f t="shared" si="11"/>
        <v>100</v>
      </c>
      <c r="V38" s="894" t="s">
        <v>1272</v>
      </c>
      <c r="W38" s="895">
        <f t="shared" si="12"/>
        <v>100</v>
      </c>
      <c r="X38" s="888"/>
      <c r="Y38" s="3004"/>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04"/>
      <c r="Q39" s="486">
        <f t="shared" si="14"/>
        <v>111</v>
      </c>
      <c r="R39" s="894" t="s">
        <v>1272</v>
      </c>
      <c r="S39" s="895">
        <f t="shared" si="10"/>
        <v>100</v>
      </c>
      <c r="T39" s="894" t="s">
        <v>1272</v>
      </c>
      <c r="U39" s="895">
        <f t="shared" si="11"/>
        <v>100</v>
      </c>
      <c r="V39" s="894" t="s">
        <v>1272</v>
      </c>
      <c r="W39" s="895">
        <f t="shared" si="12"/>
        <v>100</v>
      </c>
      <c r="X39" s="888"/>
      <c r="Y39" s="3004"/>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04"/>
      <c r="Q40" s="486">
        <f t="shared" si="14"/>
        <v>111</v>
      </c>
      <c r="R40" s="896" t="s">
        <v>1272</v>
      </c>
      <c r="S40" s="897">
        <f t="shared" si="10"/>
        <v>100</v>
      </c>
      <c r="T40" s="896" t="s">
        <v>1272</v>
      </c>
      <c r="U40" s="897">
        <f t="shared" si="11"/>
        <v>100</v>
      </c>
      <c r="V40" s="896" t="s">
        <v>1272</v>
      </c>
      <c r="W40" s="897">
        <f t="shared" si="12"/>
        <v>100</v>
      </c>
      <c r="X40" s="898"/>
      <c r="Y40" s="3004"/>
      <c r="Z40" s="906">
        <f t="shared" si="13"/>
        <v>111</v>
      </c>
      <c r="AA40" s="905">
        <f t="shared" si="3"/>
        <v>1</v>
      </c>
      <c r="AB40" s="905">
        <f t="shared" si="4"/>
        <v>1</v>
      </c>
      <c r="AC40" s="905">
        <f t="shared" si="5"/>
        <v>1</v>
      </c>
    </row>
    <row r="41" spans="1:29" ht="15">
      <c r="A41" s="792" t="s">
        <v>1375</v>
      </c>
      <c r="B41" s="793" t="s">
        <v>1416</v>
      </c>
      <c r="C41" s="794" t="s">
        <v>121</v>
      </c>
      <c r="D41" s="795"/>
      <c r="E41" s="796"/>
      <c r="F41" s="797"/>
      <c r="G41" s="798"/>
      <c r="H41" s="799"/>
      <c r="I41" s="796"/>
      <c r="J41" s="799"/>
      <c r="K41" s="874"/>
      <c r="L41" s="875"/>
      <c r="M41" s="851"/>
      <c r="N41" s="851"/>
      <c r="O41" s="809"/>
      <c r="P41" s="2994" t="str">
        <f>A41</f>
        <v>成交单价</v>
      </c>
      <c r="Q41" s="2994"/>
      <c r="R41" s="3026">
        <f>E41</f>
        <v>0</v>
      </c>
      <c r="S41" s="3026"/>
      <c r="T41" s="3026">
        <f>G41</f>
        <v>0</v>
      </c>
      <c r="U41" s="3026"/>
      <c r="V41" s="3026">
        <f>I41</f>
        <v>0</v>
      </c>
      <c r="W41" s="3026"/>
      <c r="X41" s="839"/>
      <c r="Y41" s="907"/>
      <c r="Z41" s="839"/>
      <c r="AA41" s="839"/>
      <c r="AB41" s="839"/>
      <c r="AC41" s="839"/>
    </row>
    <row r="42" spans="1:29" ht="15">
      <c r="A42" s="800" t="s">
        <v>1301</v>
      </c>
      <c r="B42" s="801"/>
      <c r="C42" s="802" t="e">
        <f>R43</f>
        <v>#DIV/0!</v>
      </c>
      <c r="D42" s="803"/>
      <c r="E42" s="802" t="e">
        <f>R42</f>
        <v>#DIV/0!</v>
      </c>
      <c r="F42" s="804"/>
      <c r="G42" s="805" t="e">
        <f>T42</f>
        <v>#DIV/0!</v>
      </c>
      <c r="H42" s="803"/>
      <c r="I42" s="802" t="e">
        <f>V42</f>
        <v>#DIV/0!</v>
      </c>
      <c r="J42" s="803"/>
      <c r="K42" s="876"/>
      <c r="L42" s="875"/>
      <c r="M42" s="851"/>
      <c r="N42" s="851"/>
      <c r="O42" s="809"/>
      <c r="P42" s="2994" t="str">
        <f>A42</f>
        <v>比较价值（元/平方米）</v>
      </c>
      <c r="Q42" s="2994"/>
      <c r="R42" s="3070" t="e">
        <f>ROUND(PRODUCT(R41,AA7:AA40),0)</f>
        <v>#DIV/0!</v>
      </c>
      <c r="S42" s="3070"/>
      <c r="T42" s="3070" t="e">
        <f>ROUND(PRODUCT(T41,AB7:AB40),0)</f>
        <v>#DIV/0!</v>
      </c>
      <c r="U42" s="3070"/>
      <c r="V42" s="3070" t="e">
        <f>ROUND(PRODUCT(V41,AC7:AC40),0)</f>
        <v>#DIV/0!</v>
      </c>
      <c r="W42" s="3070"/>
      <c r="X42" s="839"/>
      <c r="Y42" s="839"/>
      <c r="Z42" s="839"/>
      <c r="AA42" s="839"/>
      <c r="AB42" s="839"/>
      <c r="AC42" s="839"/>
    </row>
    <row r="43" spans="1:29" ht="15">
      <c r="A43" s="806" t="s">
        <v>1302</v>
      </c>
      <c r="B43" s="807"/>
      <c r="C43" s="808" t="e">
        <f>R43</f>
        <v>#DIV/0!</v>
      </c>
      <c r="D43" s="808"/>
      <c r="E43" s="808"/>
      <c r="F43" s="808"/>
      <c r="G43" s="808"/>
      <c r="H43" s="808"/>
      <c r="I43" s="808"/>
      <c r="J43" s="808"/>
      <c r="K43" s="877"/>
      <c r="L43" s="875"/>
      <c r="M43" s="851"/>
      <c r="N43" s="851"/>
      <c r="O43" s="809"/>
      <c r="P43" s="3008" t="str">
        <f>A43</f>
        <v>估价对象XX用房的比较价值（楼面单价，元/平方米）</v>
      </c>
      <c r="Q43" s="3009"/>
      <c r="R43" s="3071" t="e">
        <f>ROUND(AVERAGE(R42:V42),0)</f>
        <v>#DIV/0!</v>
      </c>
      <c r="S43" s="3071"/>
      <c r="T43" s="3071"/>
      <c r="U43" s="3071"/>
      <c r="V43" s="3071"/>
      <c r="W43" s="3071"/>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1303</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1304</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1305</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1391</v>
      </c>
      <c r="B50" s="818" t="s">
        <v>1392</v>
      </c>
      <c r="C50" s="819" t="s">
        <v>1393</v>
      </c>
      <c r="D50" s="820" t="s">
        <v>1394</v>
      </c>
      <c r="E50" s="821" t="s">
        <v>1395</v>
      </c>
      <c r="F50" s="822" t="s">
        <v>1396</v>
      </c>
      <c r="G50" s="823" t="s">
        <v>1417</v>
      </c>
      <c r="H50" s="823">
        <f>项目基本情况!G8</f>
        <v>0</v>
      </c>
      <c r="I50" s="883" t="s">
        <v>1398</v>
      </c>
      <c r="J50" s="879"/>
      <c r="K50" s="880"/>
      <c r="L50" s="880"/>
      <c r="M50" s="809"/>
      <c r="N50" s="809"/>
      <c r="O50" s="809"/>
    </row>
    <row r="51" spans="1:17" s="697" customFormat="1">
      <c r="A51" s="824" t="s">
        <v>1399</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1400</v>
      </c>
      <c r="B52" s="830" t="e">
        <f>ROUND($C$43*C52*D52,0)</f>
        <v>#DIV/0!</v>
      </c>
      <c r="C52" s="431">
        <f>IF($C$50="北京市系数",G52,H52)</f>
        <v>0.8</v>
      </c>
      <c r="D52" s="831">
        <v>0.25</v>
      </c>
      <c r="E52" s="827">
        <v>0</v>
      </c>
      <c r="F52" s="828" t="e">
        <f t="shared" si="15"/>
        <v>#DIV/0!</v>
      </c>
      <c r="G52" s="514">
        <f>SUMIF(修正!$A$45:$A$56,项目基本情况!$F$9,修正!B45:B56)</f>
        <v>0.8</v>
      </c>
      <c r="H52" s="832"/>
      <c r="I52" s="809"/>
      <c r="J52" s="879"/>
      <c r="K52" s="880"/>
      <c r="L52" s="880"/>
      <c r="M52" s="809"/>
      <c r="N52" s="809"/>
      <c r="O52" s="809"/>
    </row>
    <row r="53" spans="1:17" s="697" customFormat="1">
      <c r="A53" s="829" t="s">
        <v>1401</v>
      </c>
      <c r="B53" s="830" t="e">
        <f t="shared" ref="B53:B60" si="16">ROUND($C$43*C53*D53,0)</f>
        <v>#DIV/0!</v>
      </c>
      <c r="C53" s="431">
        <f t="shared" ref="C53:C60" si="17">IF($C$50="北京市系数",G53,H53)</f>
        <v>0.5</v>
      </c>
      <c r="D53" s="831">
        <v>0.25</v>
      </c>
      <c r="E53" s="827">
        <v>0</v>
      </c>
      <c r="F53" s="828" t="e">
        <f t="shared" si="15"/>
        <v>#DIV/0!</v>
      </c>
      <c r="G53" s="514">
        <f>SUMIF(修正!$A$45:$A$56,项目基本情况!$F$9,修正!C45:C56)</f>
        <v>0.5</v>
      </c>
      <c r="H53" s="832"/>
      <c r="I53" s="814"/>
      <c r="J53" s="879"/>
      <c r="K53" s="880"/>
      <c r="L53" s="880"/>
      <c r="M53" s="809"/>
      <c r="N53" s="809"/>
      <c r="O53" s="809"/>
    </row>
    <row r="54" spans="1:17" s="697" customFormat="1">
      <c r="A54" s="829" t="s">
        <v>1402</v>
      </c>
      <c r="B54" s="830" t="e">
        <f t="shared" si="16"/>
        <v>#DIV/0!</v>
      </c>
      <c r="C54" s="431">
        <f t="shared" si="17"/>
        <v>0.36</v>
      </c>
      <c r="D54" s="831">
        <v>0.25</v>
      </c>
      <c r="E54" s="827">
        <v>0</v>
      </c>
      <c r="F54" s="828" t="e">
        <f t="shared" si="15"/>
        <v>#DIV/0!</v>
      </c>
      <c r="G54" s="514">
        <f>SUMIF(修正!$A$45:$A$56,项目基本情况!$F$9,修正!D45:D56)</f>
        <v>0.36</v>
      </c>
      <c r="H54" s="832"/>
      <c r="I54" s="809"/>
      <c r="J54" s="879"/>
      <c r="K54" s="880"/>
      <c r="L54" s="880"/>
      <c r="M54" s="809"/>
      <c r="N54" s="809"/>
      <c r="O54" s="809"/>
    </row>
    <row r="55" spans="1:17" s="697" customFormat="1">
      <c r="A55" s="829" t="s">
        <v>1403</v>
      </c>
      <c r="B55" s="830" t="e">
        <f t="shared" si="16"/>
        <v>#DIV/0!</v>
      </c>
      <c r="C55" s="431">
        <f t="shared" si="17"/>
        <v>0.3</v>
      </c>
      <c r="D55" s="831">
        <v>0.25</v>
      </c>
      <c r="E55" s="827">
        <v>0</v>
      </c>
      <c r="F55" s="828" t="e">
        <f t="shared" si="15"/>
        <v>#DIV/0!</v>
      </c>
      <c r="G55" s="514">
        <f>SUMIF(修正!$A$45:$A$56,项目基本情况!$F$9,修正!E45:E56)</f>
        <v>0.3</v>
      </c>
      <c r="H55" s="832"/>
      <c r="I55" s="814"/>
      <c r="J55" s="879"/>
      <c r="K55" s="880"/>
      <c r="L55" s="880"/>
      <c r="M55" s="809"/>
      <c r="N55" s="809"/>
      <c r="O55" s="809"/>
    </row>
    <row r="56" spans="1:17" s="697" customFormat="1">
      <c r="A56" s="829" t="s">
        <v>1404</v>
      </c>
      <c r="B56" s="830" t="e">
        <f t="shared" si="16"/>
        <v>#DIV/0!</v>
      </c>
      <c r="C56" s="431">
        <f t="shared" si="17"/>
        <v>0.25</v>
      </c>
      <c r="D56" s="831">
        <v>0.25</v>
      </c>
      <c r="E56" s="827">
        <v>0</v>
      </c>
      <c r="F56" s="828" t="e">
        <f t="shared" si="15"/>
        <v>#DIV/0!</v>
      </c>
      <c r="G56" s="514">
        <f>SUMIF(修正!A40:A51,项目基本情况!F9,修正!F45:F56)</f>
        <v>0.25</v>
      </c>
      <c r="H56" s="832"/>
      <c r="I56" s="809"/>
      <c r="J56" s="879"/>
      <c r="K56" s="880"/>
      <c r="L56" s="880"/>
      <c r="M56" s="809"/>
      <c r="N56" s="809"/>
      <c r="O56" s="809"/>
    </row>
    <row r="57" spans="1:17" s="697" customFormat="1">
      <c r="A57" s="829" t="s">
        <v>1405</v>
      </c>
      <c r="B57" s="830" t="e">
        <f t="shared" si="16"/>
        <v>#DIV/0!</v>
      </c>
      <c r="C57" s="431">
        <f t="shared" si="17"/>
        <v>0.25</v>
      </c>
      <c r="D57" s="831">
        <v>0.25</v>
      </c>
      <c r="E57" s="827">
        <v>0</v>
      </c>
      <c r="F57" s="828" t="e">
        <f t="shared" si="15"/>
        <v>#DIV/0!</v>
      </c>
      <c r="G57" s="514">
        <f>SUMIF(修正!A40:A51,项目基本情况!F9,修正!G45:G56)</f>
        <v>0.25</v>
      </c>
      <c r="H57" s="832"/>
      <c r="I57" s="814"/>
      <c r="J57" s="879"/>
      <c r="K57" s="880"/>
      <c r="L57" s="880"/>
      <c r="M57" s="809"/>
      <c r="N57" s="809"/>
      <c r="O57" s="809"/>
    </row>
    <row r="58" spans="1:17" s="697" customFormat="1">
      <c r="A58" s="829" t="s">
        <v>1406</v>
      </c>
      <c r="B58" s="830" t="e">
        <f t="shared" si="16"/>
        <v>#DIV/0!</v>
      </c>
      <c r="C58" s="431">
        <f t="shared" si="17"/>
        <v>0.2</v>
      </c>
      <c r="D58" s="831">
        <v>0.25</v>
      </c>
      <c r="E58" s="827">
        <v>0</v>
      </c>
      <c r="F58" s="828" t="e">
        <f t="shared" si="15"/>
        <v>#DIV/0!</v>
      </c>
      <c r="G58" s="514">
        <f>SUMIF(修正!A40:A51,项目基本情况!F9,修正!H45:H56)</f>
        <v>0.2</v>
      </c>
      <c r="H58" s="832"/>
      <c r="I58" s="809"/>
      <c r="J58" s="879"/>
      <c r="K58" s="880"/>
      <c r="L58" s="880"/>
      <c r="M58" s="809"/>
      <c r="N58" s="809"/>
      <c r="O58" s="809"/>
    </row>
    <row r="59" spans="1:17" s="697" customFormat="1">
      <c r="A59" s="829" t="s">
        <v>1407</v>
      </c>
      <c r="B59" s="830" t="e">
        <f t="shared" si="16"/>
        <v>#DIV/0!</v>
      </c>
      <c r="C59" s="431">
        <f t="shared" si="17"/>
        <v>0.2</v>
      </c>
      <c r="D59" s="831">
        <v>0.25</v>
      </c>
      <c r="E59" s="827">
        <v>0</v>
      </c>
      <c r="F59" s="828" t="e">
        <f t="shared" si="15"/>
        <v>#DIV/0!</v>
      </c>
      <c r="G59" s="514">
        <f>G58</f>
        <v>0.2</v>
      </c>
      <c r="H59" s="832"/>
      <c r="I59" s="814"/>
      <c r="J59" s="879"/>
      <c r="K59" s="880"/>
      <c r="L59" s="880"/>
      <c r="M59" s="809"/>
      <c r="N59" s="809"/>
      <c r="O59" s="809"/>
    </row>
    <row r="60" spans="1:17" s="697" customFormat="1">
      <c r="A60" s="829" t="s">
        <v>1408</v>
      </c>
      <c r="B60" s="830" t="e">
        <f t="shared" si="16"/>
        <v>#DIV/0!</v>
      </c>
      <c r="C60" s="431">
        <f t="shared" si="17"/>
        <v>0.2</v>
      </c>
      <c r="D60" s="831">
        <v>0.25</v>
      </c>
      <c r="E60" s="827">
        <v>0</v>
      </c>
      <c r="F60" s="828" t="e">
        <f t="shared" si="15"/>
        <v>#DIV/0!</v>
      </c>
      <c r="G60" s="514">
        <f>G58</f>
        <v>0.2</v>
      </c>
      <c r="H60" s="832"/>
      <c r="I60" s="809"/>
      <c r="J60" s="879"/>
      <c r="K60" s="880"/>
      <c r="L60" s="880"/>
      <c r="M60" s="809"/>
      <c r="N60" s="809"/>
      <c r="O60" s="809"/>
    </row>
    <row r="61" spans="1:17" s="697" customFormat="1">
      <c r="A61" s="833" t="s">
        <v>1409</v>
      </c>
      <c r="B61" s="834" t="s">
        <v>1351</v>
      </c>
      <c r="C61" s="834" t="s">
        <v>1351</v>
      </c>
      <c r="D61" s="834" t="s">
        <v>1351</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1306</v>
      </c>
      <c r="B64" s="839"/>
      <c r="C64" s="840"/>
      <c r="D64" s="840"/>
      <c r="E64" s="840"/>
      <c r="F64" s="841"/>
      <c r="G64" s="841"/>
      <c r="H64" s="840"/>
      <c r="I64" s="884"/>
      <c r="J64" s="884"/>
      <c r="K64" s="885"/>
      <c r="L64" s="886"/>
      <c r="M64" s="884"/>
      <c r="N64" s="884"/>
      <c r="O64" s="884"/>
      <c r="P64" s="887"/>
      <c r="Q64" s="899"/>
    </row>
    <row r="65" spans="1:17" s="698" customFormat="1" ht="15">
      <c r="A65" s="908" t="s">
        <v>1410</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559</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1307</v>
      </c>
      <c r="B67" s="915"/>
      <c r="C67" s="916"/>
      <c r="D67" s="917"/>
      <c r="E67" s="917"/>
      <c r="F67" s="917"/>
      <c r="G67" s="917"/>
      <c r="H67" s="917"/>
      <c r="I67" s="917"/>
      <c r="J67" s="917"/>
      <c r="K67" s="917"/>
      <c r="L67" s="917"/>
      <c r="M67" s="966"/>
      <c r="N67" s="917"/>
      <c r="O67" s="967"/>
      <c r="P67" s="899"/>
      <c r="Q67" s="899"/>
    </row>
    <row r="68" spans="1:17" s="693" customFormat="1" ht="15">
      <c r="A68" s="918" t="s">
        <v>1273</v>
      </c>
      <c r="B68" s="919"/>
      <c r="C68" s="920" t="s">
        <v>1274</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1308</v>
      </c>
      <c r="B70" s="925" t="s">
        <v>1277</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1280</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1281</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1282</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570</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1316</v>
      </c>
      <c r="D93" s="930" t="s">
        <v>1317</v>
      </c>
      <c r="E93" s="930" t="s">
        <v>1318</v>
      </c>
      <c r="F93" s="930" t="s">
        <v>1319</v>
      </c>
      <c r="G93" s="930" t="s">
        <v>1320</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1412</v>
      </c>
      <c r="D95" s="930" t="s">
        <v>1413</v>
      </c>
      <c r="E95" s="930" t="s">
        <v>1414</v>
      </c>
      <c r="F95" s="930" t="s">
        <v>1415</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568</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571</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1287</v>
      </c>
      <c r="B107" s="925" t="s">
        <v>1385</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1386</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1388</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1389</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4" customWidth="1"/>
    <col min="2" max="3" width="12.5" style="2634" customWidth="1"/>
    <col min="4" max="6" width="8.125" style="2634"/>
    <col min="7" max="7" width="17.5" style="2634" customWidth="1"/>
    <col min="8" max="16384" width="8.125" style="2634"/>
  </cols>
  <sheetData>
    <row r="1" spans="1:7" ht="23.25">
      <c r="A1" s="2681" t="s">
        <v>78</v>
      </c>
      <c r="B1" s="2682"/>
      <c r="C1" s="2682"/>
      <c r="D1" s="2682"/>
      <c r="E1" s="2682"/>
      <c r="F1" s="2682"/>
      <c r="G1" s="2682"/>
    </row>
    <row r="2" spans="1:7">
      <c r="A2" s="2683"/>
    </row>
    <row r="3" spans="1:7" s="2679" customFormat="1" ht="18">
      <c r="A3" s="2684" t="str">
        <f>IF(ISNUMBER(FIND("公司",项目基本情况!B4)),项目基本情况!B4&amp;"：",项目基本情况!B4&amp;"  先生/女士：")</f>
        <v xml:space="preserve">  先生/女士：</v>
      </c>
      <c r="B3" s="2685"/>
      <c r="C3" s="2685"/>
      <c r="D3" s="2685"/>
      <c r="E3" s="2685"/>
      <c r="F3" s="2685"/>
      <c r="G3" s="2685"/>
    </row>
    <row r="4" spans="1:7" ht="18">
      <c r="A4" s="2686" t="str">
        <f>IF(ISNUMBER(FIND("公司",A3)),"受贵公司委托，我公司对"&amp;项目基本情况!I1&amp;"进行了预评估。","受您的委托，我公司对"&amp;项目基本情况!I1&amp;"进行了预评估。")</f>
        <v>受您的委托，我公司对北京市房地产进行了预评估。</v>
      </c>
      <c r="B4" s="2686"/>
      <c r="C4" s="2686"/>
      <c r="D4" s="2686"/>
      <c r="E4" s="2686"/>
      <c r="F4" s="2686"/>
      <c r="G4" s="2686"/>
    </row>
    <row r="5" spans="1:7" ht="18.75">
      <c r="A5" s="2687" t="s">
        <v>79</v>
      </c>
    </row>
    <row r="6" spans="1:7" s="2680" customFormat="1" ht="36">
      <c r="A6" s="268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估价对象为北京市房地产，为李树华所有。根据《房屋所有权证》[]，估价对象建筑面积为95.95平方米。估价对象用途为。</v>
      </c>
      <c r="B6" s="2686"/>
      <c r="C6" s="2686"/>
      <c r="D6" s="2686"/>
      <c r="E6" s="2686"/>
      <c r="F6" s="2686"/>
      <c r="G6" s="2686"/>
    </row>
    <row r="7" spans="1:7" ht="18.75">
      <c r="A7" s="2687" t="s">
        <v>80</v>
      </c>
    </row>
    <row r="8" spans="1:7" ht="54">
      <c r="A8" s="2688" t="str">
        <f>IF(项目基本情况!D4="抵押",IF(项目基本情况!B4=项目基本情况!B5,定义!C51,定义!B51),定义!D51)</f>
        <v>李树华拟使用北京市房地产作为抵押担保物，向办理贷款手续。特委托北京康正宏基房地产评估有限公司对上述抵押物进行评估。本次评估为确定房地产抵押贷款额度提供参考依据而评估房地产抵押价值。</v>
      </c>
      <c r="B8" s="2689"/>
      <c r="C8" s="2686"/>
      <c r="D8" s="2686"/>
      <c r="E8" s="2686"/>
      <c r="F8" s="2686"/>
      <c r="G8" s="2686"/>
    </row>
    <row r="9" spans="1:7" ht="18.75">
      <c r="A9" s="2685" t="s">
        <v>81</v>
      </c>
      <c r="B9" s="2690"/>
    </row>
    <row r="10" spans="1:7" ht="18">
      <c r="A10" s="2691" t="str">
        <f>TEXT(项目基本情况!D2,"yyyy年m月d日;;")&amp;IF(项目基本情况!B2=项目基本情况!D2,"（评估专业人员实地查勘之日）","")</f>
        <v>2018年4月9日</v>
      </c>
      <c r="B10" s="2692"/>
      <c r="C10" s="2692"/>
      <c r="D10" s="2692"/>
      <c r="E10" s="2692"/>
      <c r="F10" s="2692"/>
      <c r="G10" s="2692"/>
    </row>
    <row r="11" spans="1:7" ht="18.75">
      <c r="A11" s="2685" t="s">
        <v>82</v>
      </c>
    </row>
    <row r="12" spans="1:7" ht="75">
      <c r="A12" s="2686" t="s">
        <v>83</v>
      </c>
      <c r="B12" s="2686"/>
      <c r="C12" s="2686"/>
      <c r="D12" s="2686"/>
      <c r="E12" s="2686"/>
      <c r="F12" s="2686"/>
      <c r="G12" s="2686"/>
    </row>
    <row r="13" spans="1:7" ht="36">
      <c r="A13" s="268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本次估价的“房地产价值”是指在正常市场情况下，在价值时点2018年4月9日，估价对象规划用途为，假定未设立法定优先受偿款下的房地产市场价值。</v>
      </c>
      <c r="B13" s="2686"/>
      <c r="C13" s="2686"/>
      <c r="D13" s="2686"/>
      <c r="E13" s="2686"/>
      <c r="F13" s="2686"/>
      <c r="G13" s="2686"/>
    </row>
    <row r="14" spans="1:7" ht="36">
      <c r="A14" s="268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3"/>
      <c r="C14" s="2693"/>
      <c r="D14" s="2693"/>
      <c r="E14" s="2693"/>
      <c r="F14" s="2693"/>
      <c r="G14" s="2693"/>
    </row>
    <row r="15" spans="1:7" ht="56.25">
      <c r="A15" s="2686" t="s">
        <v>84</v>
      </c>
      <c r="B15" s="2686"/>
      <c r="C15" s="2686"/>
      <c r="D15" s="2686"/>
      <c r="E15" s="2686"/>
      <c r="F15" s="2686"/>
      <c r="G15" s="2686"/>
    </row>
    <row r="16" spans="1:7" ht="18">
      <c r="A16" s="2689" t="str">
        <f>IF(项目基本情况!D5="房地产市场价值","——",IF(项目基本情况!G5="——","",定义!C57))</f>
        <v/>
      </c>
      <c r="B16" s="2693"/>
      <c r="C16" s="2693"/>
      <c r="D16" s="2693"/>
      <c r="E16" s="2693"/>
      <c r="F16" s="2693"/>
      <c r="G16" s="2693"/>
    </row>
    <row r="17" spans="1:1" ht="18.75">
      <c r="A17" s="2685" t="s">
        <v>85</v>
      </c>
    </row>
    <row r="18" spans="1:1" ht="18">
      <c r="A18" s="264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1418</v>
      </c>
      <c r="B1" s="391"/>
      <c r="C1" s="392" t="s">
        <v>1256</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1419</v>
      </c>
      <c r="S1" s="634" t="s">
        <v>1420</v>
      </c>
      <c r="T1" s="634" t="s">
        <v>1421</v>
      </c>
      <c r="U1" s="634" t="s">
        <v>1422</v>
      </c>
      <c r="V1" s="634" t="s">
        <v>1423</v>
      </c>
      <c r="W1" s="635"/>
      <c r="X1" s="635"/>
      <c r="Y1" s="635"/>
      <c r="Z1" s="635"/>
      <c r="AA1" s="635"/>
      <c r="AB1" s="635"/>
      <c r="AC1" s="642"/>
      <c r="AD1" s="643"/>
      <c r="AE1" s="643"/>
      <c r="AF1" s="643"/>
      <c r="AG1" s="643"/>
      <c r="AH1" s="643"/>
      <c r="AI1" s="643"/>
      <c r="AJ1" s="653"/>
    </row>
    <row r="2" spans="1:36" ht="24.75">
      <c r="A2" s="394" t="s">
        <v>824</v>
      </c>
      <c r="B2" s="395" t="e">
        <f>C26</f>
        <v>#DIV/0!</v>
      </c>
      <c r="C2" s="396" t="s">
        <v>1383</v>
      </c>
      <c r="D2" s="397" t="s">
        <v>1424</v>
      </c>
      <c r="E2" s="398"/>
      <c r="F2" s="397" t="s">
        <v>1425</v>
      </c>
      <c r="G2" s="399" t="str">
        <f>项目基本情况!F9</f>
        <v>二级</v>
      </c>
      <c r="H2" s="400" t="s">
        <v>1426</v>
      </c>
      <c r="I2" s="399" t="str">
        <f>项目基本情况!F10</f>
        <v>Ⅱ—15</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825</v>
      </c>
      <c r="B3" s="395" t="e">
        <f>ROUND(B2/D1,0)</f>
        <v>#DIV/0!</v>
      </c>
      <c r="C3" s="396" t="s">
        <v>826</v>
      </c>
      <c r="D3" s="397" t="s">
        <v>1427</v>
      </c>
      <c r="E3" s="402"/>
      <c r="F3" s="403" t="s">
        <v>1428</v>
      </c>
      <c r="G3" s="404">
        <f>项目基本情况!C15</f>
        <v>0</v>
      </c>
      <c r="H3" s="405" t="s">
        <v>1429</v>
      </c>
      <c r="I3" s="566">
        <v>7</v>
      </c>
      <c r="J3" s="562" t="s">
        <v>1430</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72"/>
      <c r="B4" s="3073"/>
      <c r="C4" s="3073"/>
      <c r="D4" s="3074"/>
      <c r="E4" s="3074"/>
      <c r="F4" s="3074"/>
      <c r="G4" s="3074"/>
      <c r="H4" s="3074"/>
      <c r="I4" s="3074"/>
      <c r="J4" s="3075"/>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1431</v>
      </c>
      <c r="B5" s="407" t="s">
        <v>1432</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1433</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1434</v>
      </c>
      <c r="C6" s="414">
        <f>SUMIF(L1:L12,G2,M1:M12)</f>
        <v>0</v>
      </c>
      <c r="D6" s="415" t="s">
        <v>1435</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80" t="str">
        <f>IF(E2="商业",IF(C8="不临58条商业街","",2),"")</f>
        <v/>
      </c>
      <c r="B7" s="418" t="s">
        <v>1436</v>
      </c>
      <c r="C7" s="419" t="e">
        <f>IF(C8="不临58条商业街",1,ROUND(1+(1.6*E8+1.2*E9+0.8*E10+0.4*E11)*C9,4))</f>
        <v>#DIV/0!</v>
      </c>
      <c r="D7" s="420" t="s">
        <v>1437</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1438</v>
      </c>
      <c r="X7" s="638" t="str">
        <f>G2</f>
        <v>二级</v>
      </c>
      <c r="Y7" s="638" t="s">
        <v>1428</v>
      </c>
      <c r="Z7" s="646">
        <f>G3</f>
        <v>0</v>
      </c>
      <c r="AA7" s="635"/>
      <c r="AB7" s="635"/>
      <c r="AC7" s="642"/>
      <c r="AD7" s="643"/>
      <c r="AE7" s="643"/>
      <c r="AF7" s="643"/>
      <c r="AG7" s="643"/>
      <c r="AH7" s="643"/>
      <c r="AI7" s="643"/>
      <c r="AJ7" s="653"/>
    </row>
    <row r="8" spans="1:36" ht="15">
      <c r="A8" s="3081"/>
      <c r="B8" s="405" t="s">
        <v>1439</v>
      </c>
      <c r="C8" s="425"/>
      <c r="D8" s="426" t="s">
        <v>1440</v>
      </c>
      <c r="E8" s="427" t="e">
        <f>ROUND(C11/E7,4)</f>
        <v>#DIV/0!</v>
      </c>
      <c r="F8" s="428" t="s">
        <v>1441</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76" t="s">
        <v>1442</v>
      </c>
      <c r="X8" s="3077"/>
      <c r="Y8" s="647" t="s">
        <v>1443</v>
      </c>
      <c r="Z8" s="647" t="s">
        <v>1444</v>
      </c>
      <c r="AA8" s="647" t="s">
        <v>1445</v>
      </c>
      <c r="AB8" s="647" t="s">
        <v>1446</v>
      </c>
      <c r="AC8" s="647" t="s">
        <v>1447</v>
      </c>
      <c r="AD8" s="647" t="s">
        <v>1448</v>
      </c>
      <c r="AE8" s="647" t="s">
        <v>1449</v>
      </c>
      <c r="AF8" s="647" t="s">
        <v>1450</v>
      </c>
      <c r="AG8" s="647" t="s">
        <v>1451</v>
      </c>
      <c r="AH8" s="647" t="s">
        <v>1452</v>
      </c>
      <c r="AI8" s="647" t="s">
        <v>1453</v>
      </c>
      <c r="AJ8" s="647" t="s">
        <v>1454</v>
      </c>
    </row>
    <row r="9" spans="1:36" ht="15">
      <c r="A9" s="3081"/>
      <c r="B9" s="405" t="s">
        <v>1455</v>
      </c>
      <c r="C9" s="430">
        <f>SUMIF(修正!C59:C119,C8,修正!E59:E119)</f>
        <v>0</v>
      </c>
      <c r="D9" s="431" t="s">
        <v>1456</v>
      </c>
      <c r="E9" s="431" t="e">
        <f>ROUND(C11/E7,4)</f>
        <v>#DIV/0!</v>
      </c>
      <c r="F9" s="428" t="s">
        <v>1457</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93" t="s">
        <v>1458</v>
      </c>
      <c r="X9" s="639" t="s">
        <v>1459</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81"/>
      <c r="B10" s="405" t="s">
        <v>1460</v>
      </c>
      <c r="C10" s="431">
        <f>SUMIF(修正!C59:C119,C8,修正!F59:F119)</f>
        <v>0</v>
      </c>
      <c r="D10" s="431" t="s">
        <v>1461</v>
      </c>
      <c r="E10" s="431" t="e">
        <f>ROUND(C11/E7,4)</f>
        <v>#DIV/0!</v>
      </c>
      <c r="F10" s="428" t="s">
        <v>1462</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93"/>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81"/>
      <c r="B11" s="432" t="s">
        <v>1463</v>
      </c>
      <c r="C11" s="433">
        <f>C10/4</f>
        <v>0</v>
      </c>
      <c r="D11" s="433" t="s">
        <v>1464</v>
      </c>
      <c r="E11" s="433" t="e">
        <f>ROUND(C11/E7,4)</f>
        <v>#DIV/0!</v>
      </c>
      <c r="F11" s="434" t="s">
        <v>1465</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93" t="s">
        <v>1466</v>
      </c>
      <c r="X11" s="640" t="s">
        <v>1428</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80" t="str">
        <f>IF(E2="住宅",2,"")</f>
        <v/>
      </c>
      <c r="B12" s="436" t="s">
        <v>1467</v>
      </c>
      <c r="C12" s="419">
        <f>ROUND(C15*D15*E15*F15*G15*H15*I15*J15,4)</f>
        <v>1.32</v>
      </c>
      <c r="D12" s="437" t="s">
        <v>1468</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93"/>
      <c r="X12" s="641" t="s">
        <v>1469</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82"/>
      <c r="B13" s="440" t="s">
        <v>1470</v>
      </c>
      <c r="C13" s="441" t="s">
        <v>1471</v>
      </c>
      <c r="D13" s="442" t="s">
        <v>1472</v>
      </c>
      <c r="E13" s="442" t="s">
        <v>1473</v>
      </c>
      <c r="F13" s="443" t="s">
        <v>1474</v>
      </c>
      <c r="G13" s="444" t="s">
        <v>1475</v>
      </c>
      <c r="H13" s="444" t="s">
        <v>1475</v>
      </c>
      <c r="I13" s="444" t="s">
        <v>1475</v>
      </c>
      <c r="J13" s="578" t="s">
        <v>1475</v>
      </c>
      <c r="L13" s="388"/>
      <c r="M13" s="388"/>
      <c r="N13" s="388"/>
      <c r="O13" s="388"/>
      <c r="P13" s="388"/>
      <c r="Q13" s="388"/>
      <c r="R13" s="634">
        <v>12</v>
      </c>
      <c r="S13" s="636"/>
      <c r="T13" s="634" t="e">
        <f t="shared" si="0"/>
        <v>#DIV/0!</v>
      </c>
      <c r="U13" s="636"/>
      <c r="V13" s="634" t="e">
        <f t="shared" si="1"/>
        <v>#DIV/0!</v>
      </c>
      <c r="W13" s="3093"/>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82"/>
      <c r="B14" s="445"/>
      <c r="C14" s="446" t="s">
        <v>1476</v>
      </c>
      <c r="D14" s="447" t="s">
        <v>1477</v>
      </c>
      <c r="E14" s="447" t="s">
        <v>1477</v>
      </c>
      <c r="F14" s="448" t="s">
        <v>1478</v>
      </c>
      <c r="G14" s="449" t="s">
        <v>1479</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83"/>
      <c r="B15" s="451" t="s">
        <v>1230</v>
      </c>
      <c r="C15" s="452">
        <f>IF(C14="有",1.1,1)</f>
        <v>1.1000000000000001</v>
      </c>
      <c r="D15" s="452">
        <f>IF(D14="有",1.1,1)</f>
        <v>1</v>
      </c>
      <c r="E15" s="452">
        <f>IF(E14="有",1.1,1)</f>
        <v>1</v>
      </c>
      <c r="F15" s="452">
        <f>IF(F14="500米范围内",1.2,IF(F14="500-1000米",1.1,1))</f>
        <v>1.2</v>
      </c>
      <c r="G15" s="453">
        <v>1</v>
      </c>
      <c r="H15" s="453">
        <v>1</v>
      </c>
      <c r="I15" s="453">
        <v>1</v>
      </c>
      <c r="J15" s="581">
        <v>1</v>
      </c>
      <c r="L15" s="582" t="s">
        <v>1480</v>
      </c>
      <c r="M15" s="426" t="s">
        <v>1481</v>
      </c>
      <c r="N15" s="426" t="s">
        <v>1482</v>
      </c>
      <c r="O15" s="426" t="s">
        <v>1483</v>
      </c>
      <c r="P15" s="583" t="s">
        <v>1484</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80" t="b">
        <f>IF(E2="办公",2,IF(E2="工业",2,IF(E2="住宅",3,IF(E2="商业",IF(C8="不临58条商业街",2,3)))))</f>
        <v>0</v>
      </c>
      <c r="B16" s="418" t="s">
        <v>1485</v>
      </c>
      <c r="C16" s="454" t="e">
        <f>ROUND(SUM(G17:J17)/C17,0)</f>
        <v>#DIV/0!</v>
      </c>
      <c r="D16" s="455" t="s">
        <v>1486</v>
      </c>
      <c r="E16" s="456"/>
      <c r="F16" s="457"/>
      <c r="G16" s="458"/>
      <c r="H16" s="458"/>
      <c r="I16" s="458"/>
      <c r="J16" s="584"/>
      <c r="L16" s="585" t="s">
        <v>1487</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81"/>
      <c r="B17" s="459" t="s">
        <v>1488</v>
      </c>
      <c r="C17" s="460">
        <f>SUMPRODUCT((修正!A2:A5=E2)*(修正!B1:M1=G2)*(修正!B2:M5))</f>
        <v>0</v>
      </c>
      <c r="D17" s="461" t="s">
        <v>1489</v>
      </c>
      <c r="E17" s="433" t="str">
        <f>IF(OR(G2="八级",G2="九级",G2="十级",G2="十一级",G2="十二级"),"五通一平","七通一平")</f>
        <v>七通一平</v>
      </c>
      <c r="F17" s="460" t="s">
        <v>1490</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1491</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1492</v>
      </c>
      <c r="B18" s="463" t="s">
        <v>1493</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1494</v>
      </c>
      <c r="B19" s="463" t="s">
        <v>1495</v>
      </c>
      <c r="C19" s="469" t="e">
        <f>ROUND(IF(H19="按公示增长率计算",SUMPRODUCT((地价!A3:A21=YEAR(G19)&amp;"-"&amp;ROUNDUP(MONTH(G19)/3,0))*(地价!X2:AB2=E2)*(地价!X3:AB21)),IF(H19="地价指数",M20/M19,(1+I19)^O19)),4)</f>
        <v>#DIV/0!</v>
      </c>
      <c r="D19" s="470" t="s">
        <v>1496</v>
      </c>
      <c r="E19" s="471">
        <v>41640</v>
      </c>
      <c r="F19" s="470" t="s">
        <v>1497</v>
      </c>
      <c r="G19" s="472">
        <f>'数据-取费表'!B2</f>
        <v>43199</v>
      </c>
      <c r="H19" s="473" t="s">
        <v>1498</v>
      </c>
      <c r="I19" s="593" t="str">
        <f>IF(H19="季度增幅（自定义）",SUMIF(N21:N24,E2,O21:O24),"")</f>
        <v/>
      </c>
      <c r="J19" s="591"/>
      <c r="K19" s="592"/>
      <c r="L19" s="594" t="s">
        <v>1499</v>
      </c>
      <c r="M19" s="595">
        <f>ROUND(SUMIF(地价!B2:F2,E2,地价!B21:F21),0)</f>
        <v>0</v>
      </c>
      <c r="N19" s="596" t="s">
        <v>1500</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1501</v>
      </c>
      <c r="B20" s="475" t="s">
        <v>1502</v>
      </c>
      <c r="C20" s="476" t="e">
        <f>ROUND(POWER(1+G20,J20-I20)*(POWER(1+G20,I20)-1)/(POWER(1+G20,J20)-1),4)</f>
        <v>#DIV/0!</v>
      </c>
      <c r="D20" s="477" t="s">
        <v>1503</v>
      </c>
      <c r="E20" s="478">
        <f ca="1">存贷款利率!D4/100</f>
        <v>4.3499999999999997E-2</v>
      </c>
      <c r="F20" s="477" t="s">
        <v>1491</v>
      </c>
      <c r="G20" s="479">
        <f>SUMIF(M15:P15,E2,M17:P17)</f>
        <v>0</v>
      </c>
      <c r="H20" s="477" t="s">
        <v>1504</v>
      </c>
      <c r="I20" s="598">
        <f>'数据-取费表'!B13</f>
        <v>58</v>
      </c>
      <c r="J20" s="599">
        <f>IF(E2="住宅",70,IF(E2="商业",40,50))</f>
        <v>50</v>
      </c>
      <c r="K20" s="592"/>
      <c r="L20" s="600" t="s">
        <v>1505</v>
      </c>
      <c r="M20" s="601">
        <f>ROUND(SUMPRODUCT((地价!A4:A21=YEAR(G19)&amp;"-"&amp;ROUNDUP(MONTH(G19)/3,0))*(地价!B2:F2=E2)*(地价!B4:F21)),0)</f>
        <v>0</v>
      </c>
      <c r="N20" s="602" t="s">
        <v>1506</v>
      </c>
      <c r="O20" s="603" t="s">
        <v>1507</v>
      </c>
      <c r="P20" s="604" t="s">
        <v>1508</v>
      </c>
      <c r="R20" s="388"/>
      <c r="S20" s="388"/>
      <c r="T20" s="388"/>
      <c r="U20" s="388"/>
      <c r="V20" s="388"/>
      <c r="W20" s="388"/>
      <c r="X20" s="388"/>
      <c r="Y20" s="388"/>
      <c r="Z20" s="388"/>
      <c r="AA20" s="388"/>
      <c r="AB20" s="388"/>
      <c r="AC20" s="388"/>
      <c r="AD20" s="388"/>
      <c r="AE20" s="592"/>
      <c r="AF20" s="592"/>
    </row>
    <row r="21" spans="1:37" s="383" customFormat="1" ht="14.25">
      <c r="A21" s="480" t="s">
        <v>1509</v>
      </c>
      <c r="B21" s="481" t="s">
        <v>1510</v>
      </c>
      <c r="C21" s="482" t="b">
        <f>IF(B21="容积率修正",IF(G3&lt;=10,D22,J22),C23)</f>
        <v>0</v>
      </c>
      <c r="D21" s="483"/>
      <c r="E21" s="483"/>
      <c r="F21" s="483"/>
      <c r="G21" s="483"/>
      <c r="H21" s="483"/>
      <c r="I21" s="483"/>
      <c r="J21" s="605"/>
      <c r="K21" s="592"/>
      <c r="N21" s="606" t="s">
        <v>1511</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1512</v>
      </c>
      <c r="C22" s="486" t="s">
        <v>1513</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1514</v>
      </c>
      <c r="J22" s="609" t="str">
        <f>IF(G3&gt;10,D113,"——")</f>
        <v>——</v>
      </c>
      <c r="K22" s="592"/>
      <c r="N22" s="606" t="s">
        <v>1515</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1516</v>
      </c>
      <c r="C23" s="487" t="e">
        <f>ROUND(IF(G3&gt;1,IF(I3&lt;7,SUMPRODUCT((B93:B98=I3)*(C92:N92=G2)*(C93:N98)),SUMIF(C92:N92,G2,C100:N100)),IF(I3&lt;7,SUMPRODUCT((B102:B107=I3)*(C92:N92=G2)*(C102:N107)),SUMIF(C92:N92,G2,C109:N109))),4)</f>
        <v>#DIV/0!</v>
      </c>
      <c r="D23" s="450"/>
      <c r="E23" s="450"/>
      <c r="F23" s="488"/>
      <c r="G23" s="489"/>
      <c r="H23" s="490"/>
      <c r="I23" s="610"/>
      <c r="J23" s="611"/>
      <c r="N23" s="606" t="s">
        <v>1517</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1518</v>
      </c>
      <c r="B24" s="492" t="s">
        <v>1519</v>
      </c>
      <c r="C24" s="493">
        <f>SUMIF(A46:A88,E2,B46:B88)</f>
        <v>0</v>
      </c>
      <c r="D24" s="494"/>
      <c r="E24" s="495"/>
      <c r="F24" s="495"/>
      <c r="G24" s="495"/>
      <c r="H24" s="495"/>
      <c r="I24" s="495"/>
      <c r="J24" s="612"/>
      <c r="K24" s="592"/>
      <c r="N24" s="613" t="s">
        <v>1520</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1521</v>
      </c>
      <c r="B25" s="496" t="s">
        <v>1522</v>
      </c>
      <c r="C25" s="497"/>
      <c r="D25" s="423"/>
      <c r="E25" s="423"/>
      <c r="F25" s="498"/>
      <c r="G25" s="423"/>
      <c r="H25" s="423"/>
      <c r="I25" s="423"/>
      <c r="J25" s="571"/>
      <c r="L25" s="388"/>
      <c r="M25" s="388"/>
      <c r="N25" s="616" t="s">
        <v>1523</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1524</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1525</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1526</v>
      </c>
      <c r="C28" s="509" t="s">
        <v>1527</v>
      </c>
      <c r="D28" s="509" t="s">
        <v>1528</v>
      </c>
      <c r="E28" s="510" t="s">
        <v>1529</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1530</v>
      </c>
      <c r="C29" s="500" t="e">
        <f>ROUND(C5*C18*C19*C20*C21*C24,0)</f>
        <v>#DIV/0!</v>
      </c>
      <c r="D29" s="513"/>
      <c r="E29" s="514" t="e">
        <f>ROUND(C29*D29,0)</f>
        <v>#DIV/0!</v>
      </c>
      <c r="F29" s="515" t="s">
        <v>1531</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1532</v>
      </c>
      <c r="C30" s="452" t="e">
        <f>ROUND(IF(E2="工业",C29*M39,C29*M38),0)</f>
        <v>#DIV/0!</v>
      </c>
      <c r="D30" s="519"/>
      <c r="E30" s="514" t="e">
        <f>ROUND(C30*D30,0)</f>
        <v>#DIV/0!</v>
      </c>
      <c r="F30" s="520" t="s">
        <v>1533</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1534</v>
      </c>
      <c r="C31" s="524" t="s">
        <v>1535</v>
      </c>
      <c r="D31" s="439"/>
      <c r="E31" s="524"/>
      <c r="F31" s="524"/>
      <c r="G31" s="437" t="s">
        <v>1533</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1527</v>
      </c>
      <c r="D32" s="527" t="s">
        <v>1528</v>
      </c>
      <c r="E32" s="527" t="s">
        <v>1529</v>
      </c>
      <c r="F32" s="528" t="s">
        <v>1536</v>
      </c>
      <c r="G32" s="487" t="s">
        <v>1527</v>
      </c>
      <c r="H32" s="487" t="s">
        <v>1528</v>
      </c>
      <c r="I32" s="487" t="s">
        <v>1529</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84" t="s">
        <v>1537</v>
      </c>
      <c r="B33" s="529" t="s">
        <v>1538</v>
      </c>
      <c r="C33" s="500" t="e">
        <f>ROUND(D5*C19*C20*C24*F33,0)</f>
        <v>#DIV/0!</v>
      </c>
      <c r="D33" s="513"/>
      <c r="E33" s="431" t="e">
        <f t="shared" ref="E33:E39" si="6">ROUND(C33*D33,0)</f>
        <v>#DIV/0!</v>
      </c>
      <c r="F33" s="431">
        <f>SUMIF(修正!A45:A56,G2,修正!B45:B56)</f>
        <v>0.8</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85"/>
      <c r="B34" s="441" t="s">
        <v>1539</v>
      </c>
      <c r="C34" s="500" t="e">
        <f>ROUND(D5*C19*C20*C24*F34,0)</f>
        <v>#DIV/0!</v>
      </c>
      <c r="D34" s="513"/>
      <c r="E34" s="431" t="e">
        <f t="shared" si="6"/>
        <v>#DIV/0!</v>
      </c>
      <c r="F34" s="431">
        <f>SUMIF(修正!A45:A56,G2,修正!C45:C56)</f>
        <v>0.5</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85"/>
      <c r="B35" s="441" t="s">
        <v>1540</v>
      </c>
      <c r="C35" s="500" t="e">
        <f>ROUND(D5*C19*C20*C24*F35,0)</f>
        <v>#DIV/0!</v>
      </c>
      <c r="D35" s="513"/>
      <c r="E35" s="431" t="e">
        <f t="shared" si="6"/>
        <v>#DIV/0!</v>
      </c>
      <c r="F35" s="431">
        <f>SUMIF(修正!A45:A56,G2,修正!D45:D56)</f>
        <v>0.36</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86"/>
      <c r="B36" s="441" t="s">
        <v>1541</v>
      </c>
      <c r="C36" s="500" t="e">
        <f>ROUND(D5*C19*C20*C24*F36,0)</f>
        <v>#DIV/0!</v>
      </c>
      <c r="D36" s="513"/>
      <c r="E36" s="431" t="e">
        <f t="shared" si="6"/>
        <v>#DIV/0!</v>
      </c>
      <c r="F36" s="431">
        <f>SUMIF(修正!A45:A56,G2,修正!E45:E56)</f>
        <v>0.3</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1542</v>
      </c>
      <c r="C37" s="431" t="e">
        <f>ROUND(C5*C19*C20*C24*F37,0)</f>
        <v>#DIV/0!</v>
      </c>
      <c r="D37" s="513"/>
      <c r="E37" s="431" t="e">
        <f t="shared" si="6"/>
        <v>#DIV/0!</v>
      </c>
      <c r="F37" s="500">
        <f>SUMIF(修正!A45:A56,G2,修正!F45:F56)</f>
        <v>0.3</v>
      </c>
      <c r="G37" s="431" t="e">
        <f t="shared" si="7"/>
        <v>#DIV/0!</v>
      </c>
      <c r="H37" s="431">
        <f t="shared" si="9"/>
        <v>0</v>
      </c>
      <c r="I37" s="431" t="e">
        <f t="shared" si="8"/>
        <v>#DIV/0!</v>
      </c>
      <c r="J37" s="624"/>
      <c r="L37" s="626" t="s">
        <v>1543</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1544</v>
      </c>
      <c r="C38" s="431" t="e">
        <f>ROUND(C5*C19*C20*C24*F38,0)</f>
        <v>#DIV/0!</v>
      </c>
      <c r="D38" s="513"/>
      <c r="E38" s="431" t="e">
        <f t="shared" si="6"/>
        <v>#DIV/0!</v>
      </c>
      <c r="F38" s="500">
        <f>SUMIF(修正!A45:A56,G2,修正!G45:G56)</f>
        <v>0.3</v>
      </c>
      <c r="G38" s="431" t="e">
        <f t="shared" si="7"/>
        <v>#DIV/0!</v>
      </c>
      <c r="H38" s="431">
        <f t="shared" si="9"/>
        <v>0</v>
      </c>
      <c r="I38" s="431" t="e">
        <f t="shared" si="8"/>
        <v>#DIV/0!</v>
      </c>
      <c r="J38" s="624"/>
      <c r="L38" s="627" t="s">
        <v>1545</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1546</v>
      </c>
      <c r="C39" s="452" t="e">
        <f>ROUND(C5*C19*C20*C24*F39,0)</f>
        <v>#DIV/0!</v>
      </c>
      <c r="D39" s="519"/>
      <c r="E39" s="452" t="e">
        <f t="shared" si="6"/>
        <v>#DIV/0!</v>
      </c>
      <c r="F39" s="532">
        <f>SUMIF(修正!A45:A56,G2,修正!H45:H56)</f>
        <v>0.25</v>
      </c>
      <c r="G39" s="452" t="e">
        <f t="shared" si="7"/>
        <v>#DIV/0!</v>
      </c>
      <c r="H39" s="452">
        <f t="shared" si="9"/>
        <v>0</v>
      </c>
      <c r="I39" s="452" t="e">
        <f t="shared" si="8"/>
        <v>#DIV/0!</v>
      </c>
      <c r="J39" s="629"/>
      <c r="L39" s="630" t="s">
        <v>1484</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1547</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1548</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1549</v>
      </c>
      <c r="B47" s="327" t="s">
        <v>1550</v>
      </c>
      <c r="C47" s="327" t="s">
        <v>1551</v>
      </c>
      <c r="D47" s="327" t="s">
        <v>1552</v>
      </c>
      <c r="E47" s="328" t="s">
        <v>1553</v>
      </c>
      <c r="F47" s="544" t="s">
        <v>1554</v>
      </c>
      <c r="G47" s="327" t="s">
        <v>1230</v>
      </c>
      <c r="H47" s="545" t="s">
        <v>1555</v>
      </c>
      <c r="I47" s="327" t="s">
        <v>1556</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1557</v>
      </c>
      <c r="B48" s="546">
        <f>估价对象房地状况!C16</f>
        <v>0</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14.25">
      <c r="A49" s="543" t="s">
        <v>1558</v>
      </c>
      <c r="B49" s="551">
        <f>估价对象房地状况!C18</f>
        <v>0</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1559</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1560</v>
      </c>
      <c r="B51" s="552" t="s">
        <v>1561</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1562</v>
      </c>
      <c r="B52" s="551">
        <f>估价对象房地状况!C24</f>
        <v>0</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1563</v>
      </c>
      <c r="B53" s="553" t="s">
        <v>1564</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24">
      <c r="A54" s="554" t="s">
        <v>1565</v>
      </c>
      <c r="B54" s="555">
        <f>估价对象房地状况!C21</f>
        <v>0</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4">
      <c r="A55" s="554" t="s">
        <v>1566</v>
      </c>
      <c r="B55" s="551">
        <f>估价对象房地状况!C22</f>
        <v>0</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24">
      <c r="A56" s="556" t="s">
        <v>1567</v>
      </c>
      <c r="B56" s="557">
        <f>估价对象房地状况!C20</f>
        <v>0</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1568</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1549</v>
      </c>
      <c r="B58" s="551"/>
      <c r="C58" s="327" t="s">
        <v>1551</v>
      </c>
      <c r="D58" s="327" t="s">
        <v>1552</v>
      </c>
      <c r="E58" s="328" t="s">
        <v>1553</v>
      </c>
      <c r="F58" s="544" t="s">
        <v>1554</v>
      </c>
      <c r="G58" s="327" t="s">
        <v>1230</v>
      </c>
      <c r="H58" s="545" t="s">
        <v>1555</v>
      </c>
      <c r="I58" s="327" t="s">
        <v>1556</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1569</v>
      </c>
      <c r="B59" s="546">
        <f>估价对象房地状况!C17</f>
        <v>0</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14.25">
      <c r="A60" s="543" t="s">
        <v>1558</v>
      </c>
      <c r="B60" s="551">
        <f>估价对象房地状况!C18</f>
        <v>0</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1559</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1560</v>
      </c>
      <c r="B62" s="552" t="s">
        <v>1561</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1562</v>
      </c>
      <c r="B63" s="551">
        <f>估价对象房地状况!C24</f>
        <v>0</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1563</v>
      </c>
      <c r="B64" s="553" t="s">
        <v>1564</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24">
      <c r="A65" s="543" t="s">
        <v>1565</v>
      </c>
      <c r="B65" s="555">
        <f>估价对象房地状况!C21</f>
        <v>0</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4">
      <c r="A66" s="543" t="s">
        <v>1566</v>
      </c>
      <c r="B66" s="555">
        <f>估价对象房地状况!C22</f>
        <v>0</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24">
      <c r="A67" s="556" t="s">
        <v>1567</v>
      </c>
      <c r="B67" s="657">
        <f>估价对象房地状况!C20</f>
        <v>0</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1570</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1549</v>
      </c>
      <c r="B69" s="551"/>
      <c r="C69" s="327" t="s">
        <v>1551</v>
      </c>
      <c r="D69" s="327" t="s">
        <v>1552</v>
      </c>
      <c r="E69" s="328" t="s">
        <v>1553</v>
      </c>
      <c r="F69" s="544" t="s">
        <v>1554</v>
      </c>
      <c r="G69" s="327" t="s">
        <v>1230</v>
      </c>
      <c r="H69" s="545" t="s">
        <v>1555</v>
      </c>
      <c r="I69" s="327" t="s">
        <v>1556</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24">
      <c r="A70" s="543" t="s">
        <v>1571</v>
      </c>
      <c r="B70" s="546">
        <f>估价对象房地状况!C15</f>
        <v>0</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14.25">
      <c r="A71" s="543" t="s">
        <v>1558</v>
      </c>
      <c r="B71" s="551">
        <f>估价对象房地状况!C18</f>
        <v>0</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1559</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1572</v>
      </c>
      <c r="B73" s="551">
        <f>估价对象房地状况!C24</f>
        <v>0</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24">
      <c r="A74" s="543" t="s">
        <v>1565</v>
      </c>
      <c r="B74" s="555">
        <f>估价对象房地状况!C21</f>
        <v>0</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4">
      <c r="A75" s="543" t="s">
        <v>1566</v>
      </c>
      <c r="B75" s="555">
        <f>估价对象房地状况!C22</f>
        <v>0</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1563</v>
      </c>
      <c r="B76" s="553" t="s">
        <v>1564</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24">
      <c r="A77" s="543" t="s">
        <v>1567</v>
      </c>
      <c r="B77" s="546">
        <f>估价对象房地状况!C20</f>
        <v>0</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1573</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1574</v>
      </c>
      <c r="B79" s="558">
        <f>1+E81</f>
        <v>1</v>
      </c>
      <c r="C79" s="323"/>
      <c r="D79" s="323"/>
      <c r="E79" s="324"/>
      <c r="F79" s="542"/>
      <c r="G79" s="538"/>
      <c r="H79" s="538"/>
      <c r="I79" s="538"/>
      <c r="J79" s="537"/>
      <c r="K79" s="537"/>
      <c r="L79" s="537"/>
      <c r="M79" s="537"/>
      <c r="N79" s="537"/>
      <c r="Z79" s="387"/>
      <c r="AA79" s="385"/>
      <c r="AG79" s="389"/>
      <c r="AK79" s="385"/>
    </row>
    <row r="80" spans="1:37" ht="24.75">
      <c r="A80" s="543" t="s">
        <v>1549</v>
      </c>
      <c r="B80" s="551"/>
      <c r="C80" s="327" t="s">
        <v>1551</v>
      </c>
      <c r="D80" s="327" t="s">
        <v>1552</v>
      </c>
      <c r="E80" s="328" t="s">
        <v>1553</v>
      </c>
      <c r="F80" s="544" t="s">
        <v>1554</v>
      </c>
      <c r="G80" s="327" t="s">
        <v>1230</v>
      </c>
      <c r="H80" s="545" t="s">
        <v>1555</v>
      </c>
      <c r="I80" s="327" t="s">
        <v>1556</v>
      </c>
      <c r="J80" s="359" t="s">
        <v>228</v>
      </c>
      <c r="K80" s="359" t="s">
        <v>240</v>
      </c>
      <c r="L80" s="359" t="s">
        <v>251</v>
      </c>
      <c r="M80" s="359" t="s">
        <v>261</v>
      </c>
      <c r="N80" s="359" t="s">
        <v>268</v>
      </c>
      <c r="Z80" s="387"/>
      <c r="AA80" s="385"/>
      <c r="AG80" s="389"/>
      <c r="AK80" s="385"/>
    </row>
    <row r="81" spans="1:37" ht="38.25">
      <c r="A81" s="543" t="s">
        <v>1575</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1558</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1559</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1572</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1565</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1566</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1563</v>
      </c>
      <c r="B87" s="553" t="s">
        <v>1564</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1576</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78" t="s">
        <v>1577</v>
      </c>
      <c r="B90" s="3078"/>
      <c r="C90" s="3078"/>
      <c r="D90" s="3078"/>
      <c r="E90" s="3078"/>
      <c r="F90" s="3078"/>
      <c r="G90" s="3078"/>
      <c r="H90" s="3078"/>
      <c r="I90" s="3078"/>
      <c r="J90" s="3078"/>
      <c r="K90" s="663"/>
      <c r="L90" s="663"/>
      <c r="M90" s="663"/>
      <c r="N90" s="663"/>
    </row>
    <row r="91" spans="1:37">
      <c r="A91" s="3087" t="s">
        <v>1578</v>
      </c>
      <c r="B91" s="3087" t="s">
        <v>1579</v>
      </c>
      <c r="C91" s="515" t="s">
        <v>1580</v>
      </c>
      <c r="D91" s="516"/>
      <c r="E91" s="516"/>
      <c r="F91" s="516"/>
      <c r="G91" s="516"/>
      <c r="H91" s="516"/>
      <c r="I91" s="516"/>
      <c r="J91" s="685"/>
      <c r="K91" s="686"/>
      <c r="L91" s="686"/>
      <c r="M91" s="686"/>
      <c r="N91" s="686"/>
    </row>
    <row r="92" spans="1:37">
      <c r="A92" s="3087"/>
      <c r="B92" s="3087"/>
      <c r="C92" s="514" t="s">
        <v>1443</v>
      </c>
      <c r="D92" s="514" t="s">
        <v>1444</v>
      </c>
      <c r="E92" s="514" t="s">
        <v>1445</v>
      </c>
      <c r="F92" s="514" t="s">
        <v>1446</v>
      </c>
      <c r="G92" s="514" t="s">
        <v>1447</v>
      </c>
      <c r="H92" s="514" t="s">
        <v>1448</v>
      </c>
      <c r="I92" s="514" t="s">
        <v>1449</v>
      </c>
      <c r="J92" s="514" t="s">
        <v>1450</v>
      </c>
      <c r="K92" s="514" t="s">
        <v>1451</v>
      </c>
      <c r="L92" s="514" t="s">
        <v>1452</v>
      </c>
      <c r="M92" s="514" t="s">
        <v>1453</v>
      </c>
      <c r="N92" s="514" t="s">
        <v>1454</v>
      </c>
    </row>
    <row r="93" spans="1:37">
      <c r="A93" s="3088" t="s">
        <v>1581</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89"/>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89"/>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89"/>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89"/>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89"/>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89"/>
      <c r="B99" s="664" t="s">
        <v>1459</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90"/>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88" t="s">
        <v>1582</v>
      </c>
      <c r="B101" s="668" t="s">
        <v>1583</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89"/>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89"/>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89"/>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89"/>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89"/>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89"/>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89"/>
      <c r="B108" s="3091" t="s">
        <v>1469</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90"/>
      <c r="B109" s="3092"/>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79" t="s">
        <v>1584</v>
      </c>
      <c r="B110" s="3079"/>
      <c r="C110" s="3079"/>
      <c r="D110" s="3079"/>
      <c r="E110" s="3079"/>
      <c r="F110" s="3079"/>
      <c r="G110" s="3079"/>
      <c r="H110" s="3079"/>
      <c r="I110" s="3079"/>
      <c r="J110" s="3079"/>
      <c r="K110" s="670"/>
      <c r="L110" s="670"/>
      <c r="M110" s="670"/>
      <c r="N110" s="670"/>
    </row>
    <row r="113" spans="1:13" ht="24.75">
      <c r="A113" s="671" t="s">
        <v>1585</v>
      </c>
      <c r="B113" s="672">
        <f>G3</f>
        <v>0</v>
      </c>
      <c r="C113" s="673" t="s">
        <v>1586</v>
      </c>
      <c r="D113" s="674">
        <f>SUMPRODUCT((A115:A118=F113)*(B114:M114=H113)*B115:M118)</f>
        <v>0</v>
      </c>
      <c r="E113" s="675" t="s">
        <v>1480</v>
      </c>
      <c r="F113" s="676">
        <f>E2</f>
        <v>0</v>
      </c>
      <c r="G113" s="675" t="s">
        <v>1425</v>
      </c>
      <c r="H113" s="676" t="str">
        <f>G2</f>
        <v>二级</v>
      </c>
      <c r="I113" s="675"/>
      <c r="J113" s="687"/>
      <c r="K113" s="687"/>
      <c r="L113" s="687"/>
      <c r="M113" s="687"/>
    </row>
    <row r="114" spans="1:13">
      <c r="A114" s="677"/>
      <c r="B114" s="678" t="s">
        <v>1587</v>
      </c>
      <c r="C114" s="678" t="s">
        <v>1588</v>
      </c>
      <c r="D114" s="678" t="s">
        <v>1589</v>
      </c>
      <c r="E114" s="679" t="s">
        <v>1590</v>
      </c>
      <c r="F114" s="679" t="s">
        <v>1591</v>
      </c>
      <c r="G114" s="679" t="s">
        <v>1592</v>
      </c>
      <c r="H114" s="680" t="s">
        <v>1593</v>
      </c>
      <c r="I114" s="680" t="s">
        <v>1594</v>
      </c>
      <c r="J114" s="688" t="s">
        <v>1595</v>
      </c>
      <c r="K114" s="688" t="s">
        <v>1596</v>
      </c>
      <c r="L114" s="688" t="s">
        <v>1597</v>
      </c>
      <c r="M114" s="689" t="s">
        <v>1598</v>
      </c>
    </row>
    <row r="115" spans="1:13">
      <c r="A115" s="681" t="s">
        <v>1481</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1482</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1483</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1484</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94" t="s">
        <v>1599</v>
      </c>
      <c r="B1" s="3094"/>
    </row>
    <row r="2" spans="1:6">
      <c r="A2" s="274"/>
      <c r="B2" s="274"/>
    </row>
    <row r="3" spans="1:6">
      <c r="A3" s="274"/>
      <c r="B3" s="274"/>
      <c r="C3" s="362" t="s">
        <v>1600</v>
      </c>
      <c r="D3" s="362" t="s">
        <v>354</v>
      </c>
      <c r="E3" s="362" t="s">
        <v>403</v>
      </c>
      <c r="F3" s="362" t="s">
        <v>1601</v>
      </c>
    </row>
    <row r="4" spans="1:6">
      <c r="A4" s="363" t="s">
        <v>1602</v>
      </c>
      <c r="B4" s="364" t="s">
        <v>1603</v>
      </c>
      <c r="C4" s="362"/>
      <c r="D4" s="362"/>
      <c r="E4" s="362"/>
      <c r="F4" s="362"/>
    </row>
    <row r="5" spans="1:6">
      <c r="A5" s="280" t="s">
        <v>1604</v>
      </c>
      <c r="B5" s="281" t="s">
        <v>1605</v>
      </c>
      <c r="C5" s="365">
        <v>8.8999999999999996E-2</v>
      </c>
      <c r="D5" s="365">
        <v>7.3999999999999996E-2</v>
      </c>
      <c r="E5" s="365">
        <v>7.4999999999999997E-2</v>
      </c>
      <c r="F5" s="366">
        <v>0.1</v>
      </c>
    </row>
    <row r="6" spans="1:6">
      <c r="A6" s="280" t="s">
        <v>1604</v>
      </c>
      <c r="B6" s="285" t="s">
        <v>1606</v>
      </c>
      <c r="C6" s="367">
        <v>0.1</v>
      </c>
      <c r="D6" s="367">
        <v>9.0999999999999998E-2</v>
      </c>
      <c r="E6" s="367">
        <v>9.0999999999999998E-2</v>
      </c>
      <c r="F6" s="368">
        <v>0.1</v>
      </c>
    </row>
    <row r="7" spans="1:6">
      <c r="A7" s="280" t="s">
        <v>1604</v>
      </c>
      <c r="B7" s="289" t="s">
        <v>1607</v>
      </c>
      <c r="C7" s="367">
        <v>8.5999999999999993E-2</v>
      </c>
      <c r="D7" s="367">
        <v>9.6000000000000002E-2</v>
      </c>
      <c r="E7" s="367">
        <v>7.5999999999999998E-2</v>
      </c>
      <c r="F7" s="368">
        <v>0.1</v>
      </c>
    </row>
    <row r="8" spans="1:6">
      <c r="A8" s="280" t="s">
        <v>1604</v>
      </c>
      <c r="B8" s="285" t="s">
        <v>1608</v>
      </c>
      <c r="C8" s="367">
        <v>9.9000000000000005E-2</v>
      </c>
      <c r="D8" s="367">
        <v>9.8000000000000004E-2</v>
      </c>
      <c r="E8" s="367">
        <v>9.8000000000000004E-2</v>
      </c>
      <c r="F8" s="368">
        <v>0.1</v>
      </c>
    </row>
    <row r="9" spans="1:6">
      <c r="A9" s="298" t="s">
        <v>1604</v>
      </c>
      <c r="B9" s="290" t="s">
        <v>1609</v>
      </c>
      <c r="C9" s="369">
        <v>0.05</v>
      </c>
      <c r="D9" s="370"/>
      <c r="E9" s="370"/>
      <c r="F9" s="371"/>
    </row>
    <row r="10" spans="1:6">
      <c r="A10" s="280" t="s">
        <v>1610</v>
      </c>
      <c r="B10" s="281" t="s">
        <v>1611</v>
      </c>
      <c r="C10" s="365">
        <v>8.8999999999999996E-2</v>
      </c>
      <c r="D10" s="365">
        <v>7.2999999999999995E-2</v>
      </c>
      <c r="E10" s="365">
        <v>8.2000000000000003E-2</v>
      </c>
      <c r="F10" s="366">
        <v>0.1</v>
      </c>
    </row>
    <row r="11" spans="1:6">
      <c r="A11" s="280" t="s">
        <v>1610</v>
      </c>
      <c r="B11" s="289" t="s">
        <v>1612</v>
      </c>
      <c r="C11" s="367">
        <v>8.8999999999999996E-2</v>
      </c>
      <c r="D11" s="367">
        <v>7.2999999999999995E-2</v>
      </c>
      <c r="E11" s="367">
        <v>8.2000000000000003E-2</v>
      </c>
      <c r="F11" s="368">
        <v>0.1</v>
      </c>
    </row>
    <row r="12" spans="1:6">
      <c r="A12" s="280" t="s">
        <v>1610</v>
      </c>
      <c r="B12" s="289" t="s">
        <v>1613</v>
      </c>
      <c r="C12" s="367">
        <v>6.0999999999999999E-2</v>
      </c>
      <c r="D12" s="367">
        <v>7.0999999999999994E-2</v>
      </c>
      <c r="E12" s="367">
        <v>9.6000000000000002E-2</v>
      </c>
      <c r="F12" s="368">
        <v>0.1</v>
      </c>
    </row>
    <row r="13" spans="1:6">
      <c r="A13" s="280" t="s">
        <v>1610</v>
      </c>
      <c r="B13" s="289" t="s">
        <v>1614</v>
      </c>
      <c r="C13" s="367">
        <v>6.9000000000000006E-2</v>
      </c>
      <c r="D13" s="367">
        <v>6.5000000000000002E-2</v>
      </c>
      <c r="E13" s="367">
        <v>6.6000000000000003E-2</v>
      </c>
      <c r="F13" s="368">
        <v>0.1</v>
      </c>
    </row>
    <row r="14" spans="1:6">
      <c r="A14" s="280" t="s">
        <v>1610</v>
      </c>
      <c r="B14" s="289" t="s">
        <v>1615</v>
      </c>
      <c r="C14" s="367">
        <v>0.1</v>
      </c>
      <c r="D14" s="367">
        <v>6.5000000000000002E-2</v>
      </c>
      <c r="E14" s="367">
        <v>7.0000000000000007E-2</v>
      </c>
      <c r="F14" s="368">
        <v>0.1</v>
      </c>
    </row>
    <row r="15" spans="1:6">
      <c r="A15" s="280" t="s">
        <v>1610</v>
      </c>
      <c r="B15" s="289" t="s">
        <v>1616</v>
      </c>
      <c r="C15" s="367">
        <v>9.8000000000000004E-2</v>
      </c>
      <c r="D15" s="367">
        <v>8.8999999999999996E-2</v>
      </c>
      <c r="E15" s="367">
        <v>8.8999999999999996E-2</v>
      </c>
      <c r="F15" s="368">
        <v>0.1</v>
      </c>
    </row>
    <row r="16" spans="1:6">
      <c r="A16" s="280" t="s">
        <v>1610</v>
      </c>
      <c r="B16" s="289" t="s">
        <v>1617</v>
      </c>
      <c r="C16" s="367">
        <v>7.0000000000000007E-2</v>
      </c>
      <c r="D16" s="367">
        <v>9.2999999999999999E-2</v>
      </c>
      <c r="E16" s="367">
        <v>9.6000000000000002E-2</v>
      </c>
      <c r="F16" s="368">
        <v>0.1</v>
      </c>
    </row>
    <row r="17" spans="1:6">
      <c r="A17" s="280" t="s">
        <v>1610</v>
      </c>
      <c r="B17" s="289" t="s">
        <v>1618</v>
      </c>
      <c r="C17" s="367">
        <v>9.5000000000000001E-2</v>
      </c>
      <c r="D17" s="367">
        <v>0.1</v>
      </c>
      <c r="E17" s="367">
        <v>0.1</v>
      </c>
      <c r="F17" s="372"/>
    </row>
    <row r="18" spans="1:6">
      <c r="A18" s="280" t="s">
        <v>1610</v>
      </c>
      <c r="B18" s="289" t="s">
        <v>1619</v>
      </c>
      <c r="C18" s="367">
        <v>7.3999999999999996E-2</v>
      </c>
      <c r="D18" s="367">
        <v>9.9000000000000005E-2</v>
      </c>
      <c r="E18" s="367">
        <v>0.1</v>
      </c>
      <c r="F18" s="372"/>
    </row>
    <row r="19" spans="1:6">
      <c r="A19" s="280" t="s">
        <v>1610</v>
      </c>
      <c r="B19" s="289" t="s">
        <v>1620</v>
      </c>
      <c r="C19" s="367">
        <v>9.9000000000000005E-2</v>
      </c>
      <c r="D19" s="367">
        <v>7.5999999999999998E-2</v>
      </c>
      <c r="E19" s="367">
        <v>8.6999999999999994E-2</v>
      </c>
      <c r="F19" s="372"/>
    </row>
    <row r="20" spans="1:6">
      <c r="A20" s="280" t="s">
        <v>1610</v>
      </c>
      <c r="B20" s="289" t="s">
        <v>1621</v>
      </c>
      <c r="C20" s="367">
        <v>9.8000000000000004E-2</v>
      </c>
      <c r="D20" s="367">
        <v>8.5000000000000006E-2</v>
      </c>
      <c r="E20" s="367">
        <v>8.2000000000000003E-2</v>
      </c>
      <c r="F20" s="372"/>
    </row>
    <row r="21" spans="1:6">
      <c r="A21" s="280" t="s">
        <v>1610</v>
      </c>
      <c r="B21" s="289" t="s">
        <v>1622</v>
      </c>
      <c r="C21" s="367">
        <v>6.6000000000000003E-2</v>
      </c>
      <c r="D21" s="367">
        <v>6.4000000000000001E-2</v>
      </c>
      <c r="E21" s="367">
        <v>6.5000000000000002E-2</v>
      </c>
      <c r="F21" s="372"/>
    </row>
    <row r="22" spans="1:6">
      <c r="A22" s="280" t="s">
        <v>1610</v>
      </c>
      <c r="B22" s="289" t="s">
        <v>1623</v>
      </c>
      <c r="C22" s="367">
        <v>0.08</v>
      </c>
      <c r="D22" s="367">
        <v>9.8000000000000004E-2</v>
      </c>
      <c r="E22" s="367">
        <v>9.8000000000000004E-2</v>
      </c>
      <c r="F22" s="372"/>
    </row>
    <row r="23" spans="1:6">
      <c r="A23" s="280" t="s">
        <v>1610</v>
      </c>
      <c r="B23" s="289" t="s">
        <v>1624</v>
      </c>
      <c r="C23" s="367">
        <v>9.9000000000000005E-2</v>
      </c>
      <c r="D23" s="367">
        <v>9.8000000000000004E-2</v>
      </c>
      <c r="E23" s="367">
        <v>9.0999999999999998E-2</v>
      </c>
      <c r="F23" s="372"/>
    </row>
    <row r="24" spans="1:6">
      <c r="A24" s="280" t="s">
        <v>1610</v>
      </c>
      <c r="B24" s="289" t="s">
        <v>1625</v>
      </c>
      <c r="C24" s="367">
        <v>8.8999999999999996E-2</v>
      </c>
      <c r="D24" s="367">
        <v>9.7000000000000003E-2</v>
      </c>
      <c r="E24" s="367">
        <v>7.0000000000000007E-2</v>
      </c>
      <c r="F24" s="372"/>
    </row>
    <row r="25" spans="1:6">
      <c r="A25" s="280" t="s">
        <v>1610</v>
      </c>
      <c r="B25" s="289" t="s">
        <v>1626</v>
      </c>
      <c r="C25" s="367">
        <v>8.8999999999999996E-2</v>
      </c>
      <c r="D25" s="367">
        <v>0.1</v>
      </c>
      <c r="E25" s="367">
        <v>8.1000000000000003E-2</v>
      </c>
      <c r="F25" s="372"/>
    </row>
    <row r="26" spans="1:6">
      <c r="A26" s="280" t="s">
        <v>1610</v>
      </c>
      <c r="B26" s="289" t="s">
        <v>1627</v>
      </c>
      <c r="C26" s="373"/>
      <c r="D26" s="367">
        <v>9.6000000000000002E-2</v>
      </c>
      <c r="E26" s="367">
        <v>9.2999999999999999E-2</v>
      </c>
      <c r="F26" s="372"/>
    </row>
    <row r="27" spans="1:6">
      <c r="A27" s="280" t="s">
        <v>1610</v>
      </c>
      <c r="B27" s="289" t="s">
        <v>1628</v>
      </c>
      <c r="C27" s="373"/>
      <c r="D27" s="367">
        <v>7.5999999999999998E-2</v>
      </c>
      <c r="E27" s="367">
        <v>9.1999999999999998E-2</v>
      </c>
      <c r="F27" s="372"/>
    </row>
    <row r="28" spans="1:6">
      <c r="A28" s="298" t="s">
        <v>1610</v>
      </c>
      <c r="B28" s="290" t="s">
        <v>1629</v>
      </c>
      <c r="C28" s="370"/>
      <c r="D28" s="369">
        <v>7.5999999999999998E-2</v>
      </c>
      <c r="E28" s="369">
        <v>9.1999999999999998E-2</v>
      </c>
      <c r="F28" s="371"/>
    </row>
    <row r="29" spans="1:6">
      <c r="A29" s="280" t="s">
        <v>1630</v>
      </c>
      <c r="B29" s="281" t="s">
        <v>1631</v>
      </c>
      <c r="C29" s="365">
        <v>6.4000000000000001E-2</v>
      </c>
      <c r="D29" s="365">
        <v>6.5000000000000002E-2</v>
      </c>
      <c r="E29" s="365">
        <v>6.9000000000000006E-2</v>
      </c>
      <c r="F29" s="366">
        <v>0.1</v>
      </c>
    </row>
    <row r="30" spans="1:6">
      <c r="A30" s="280" t="s">
        <v>1630</v>
      </c>
      <c r="B30" s="289" t="s">
        <v>1632</v>
      </c>
      <c r="C30" s="367">
        <v>6.4000000000000001E-2</v>
      </c>
      <c r="D30" s="367">
        <v>9.9000000000000005E-2</v>
      </c>
      <c r="E30" s="367">
        <v>0.1</v>
      </c>
      <c r="F30" s="368">
        <v>0.1</v>
      </c>
    </row>
    <row r="31" spans="1:6">
      <c r="A31" s="280" t="s">
        <v>1630</v>
      </c>
      <c r="B31" s="289" t="s">
        <v>1633</v>
      </c>
      <c r="C31" s="367">
        <v>0.1</v>
      </c>
      <c r="D31" s="367">
        <v>9.5000000000000001E-2</v>
      </c>
      <c r="E31" s="367">
        <v>8.8999999999999996E-2</v>
      </c>
      <c r="F31" s="368">
        <v>0.1</v>
      </c>
    </row>
    <row r="32" spans="1:6">
      <c r="A32" s="280" t="s">
        <v>1630</v>
      </c>
      <c r="B32" s="289" t="s">
        <v>1634</v>
      </c>
      <c r="C32" s="367">
        <v>0.05</v>
      </c>
      <c r="D32" s="367">
        <v>0.05</v>
      </c>
      <c r="E32" s="367">
        <v>8.7999999999999995E-2</v>
      </c>
      <c r="F32" s="368">
        <v>0.1</v>
      </c>
    </row>
    <row r="33" spans="1:6">
      <c r="A33" s="280" t="s">
        <v>1630</v>
      </c>
      <c r="B33" s="289" t="s">
        <v>1635</v>
      </c>
      <c r="C33" s="367">
        <v>7.4999999999999997E-2</v>
      </c>
      <c r="D33" s="367">
        <v>9.4E-2</v>
      </c>
      <c r="E33" s="367">
        <v>9.7000000000000003E-2</v>
      </c>
      <c r="F33" s="368">
        <v>0.1</v>
      </c>
    </row>
    <row r="34" spans="1:6">
      <c r="A34" s="280" t="s">
        <v>1630</v>
      </c>
      <c r="B34" s="289" t="s">
        <v>1636</v>
      </c>
      <c r="C34" s="367">
        <v>9.8000000000000004E-2</v>
      </c>
      <c r="D34" s="367">
        <v>8.5999999999999993E-2</v>
      </c>
      <c r="E34" s="367">
        <v>9.7000000000000003E-2</v>
      </c>
      <c r="F34" s="368">
        <v>0.1</v>
      </c>
    </row>
    <row r="35" spans="1:6">
      <c r="A35" s="280" t="s">
        <v>1630</v>
      </c>
      <c r="B35" s="289" t="s">
        <v>1637</v>
      </c>
      <c r="C35" s="367">
        <v>5.8999999999999997E-2</v>
      </c>
      <c r="D35" s="367">
        <v>6.5000000000000002E-2</v>
      </c>
      <c r="E35" s="367">
        <v>7.0000000000000007E-2</v>
      </c>
      <c r="F35" s="368">
        <v>0.1</v>
      </c>
    </row>
    <row r="36" spans="1:6">
      <c r="A36" s="280" t="s">
        <v>1630</v>
      </c>
      <c r="B36" s="289" t="s">
        <v>1638</v>
      </c>
      <c r="C36" s="367">
        <v>6.3E-2</v>
      </c>
      <c r="D36" s="367">
        <v>0.1</v>
      </c>
      <c r="E36" s="367">
        <v>0.1</v>
      </c>
      <c r="F36" s="368">
        <v>0.1</v>
      </c>
    </row>
    <row r="37" spans="1:6">
      <c r="A37" s="280" t="s">
        <v>1630</v>
      </c>
      <c r="B37" s="289" t="s">
        <v>1639</v>
      </c>
      <c r="C37" s="367">
        <v>7.3999999999999996E-2</v>
      </c>
      <c r="D37" s="367">
        <v>0.1</v>
      </c>
      <c r="E37" s="367">
        <v>0.1</v>
      </c>
      <c r="F37" s="368">
        <v>0.1</v>
      </c>
    </row>
    <row r="38" spans="1:6">
      <c r="A38" s="280" t="s">
        <v>1630</v>
      </c>
      <c r="B38" s="289" t="s">
        <v>1640</v>
      </c>
      <c r="C38" s="367">
        <v>0.1</v>
      </c>
      <c r="D38" s="367">
        <v>9.6000000000000002E-2</v>
      </c>
      <c r="E38" s="367">
        <v>9.6000000000000002E-2</v>
      </c>
      <c r="F38" s="372"/>
    </row>
    <row r="39" spans="1:6">
      <c r="A39" s="280" t="s">
        <v>1630</v>
      </c>
      <c r="B39" s="289" t="s">
        <v>1641</v>
      </c>
      <c r="C39" s="367">
        <v>0.1</v>
      </c>
      <c r="D39" s="367">
        <v>9.6000000000000002E-2</v>
      </c>
      <c r="E39" s="367">
        <v>9.6000000000000002E-2</v>
      </c>
      <c r="F39" s="372"/>
    </row>
    <row r="40" spans="1:6">
      <c r="A40" s="280" t="s">
        <v>1630</v>
      </c>
      <c r="B40" s="289" t="s">
        <v>1642</v>
      </c>
      <c r="C40" s="367">
        <v>9.6000000000000002E-2</v>
      </c>
      <c r="D40" s="367">
        <v>0.1</v>
      </c>
      <c r="E40" s="367">
        <v>9.9000000000000005E-2</v>
      </c>
      <c r="F40" s="372"/>
    </row>
    <row r="41" spans="1:6">
      <c r="A41" s="280" t="s">
        <v>1630</v>
      </c>
      <c r="B41" s="289" t="s">
        <v>1643</v>
      </c>
      <c r="C41" s="367">
        <v>9.6000000000000002E-2</v>
      </c>
      <c r="D41" s="367">
        <v>9.8000000000000004E-2</v>
      </c>
      <c r="E41" s="367">
        <v>9.8000000000000004E-2</v>
      </c>
      <c r="F41" s="372"/>
    </row>
    <row r="42" spans="1:6">
      <c r="A42" s="280" t="s">
        <v>1630</v>
      </c>
      <c r="B42" s="289" t="s">
        <v>1644</v>
      </c>
      <c r="C42" s="367">
        <v>0.1</v>
      </c>
      <c r="D42" s="367">
        <v>8.7999999999999995E-2</v>
      </c>
      <c r="E42" s="367">
        <v>0.1</v>
      </c>
      <c r="F42" s="372"/>
    </row>
    <row r="43" spans="1:6">
      <c r="A43" s="280" t="s">
        <v>1630</v>
      </c>
      <c r="B43" s="289" t="s">
        <v>1645</v>
      </c>
      <c r="C43" s="367">
        <v>9.8000000000000004E-2</v>
      </c>
      <c r="D43" s="367">
        <v>9.7000000000000003E-2</v>
      </c>
      <c r="E43" s="367">
        <v>9.6000000000000002E-2</v>
      </c>
      <c r="F43" s="372"/>
    </row>
    <row r="44" spans="1:6">
      <c r="A44" s="280" t="s">
        <v>1630</v>
      </c>
      <c r="B44" s="289" t="s">
        <v>1646</v>
      </c>
      <c r="C44" s="367">
        <v>8.5999999999999993E-2</v>
      </c>
      <c r="D44" s="367">
        <v>7.9000000000000001E-2</v>
      </c>
      <c r="E44" s="367">
        <v>7.0999999999999994E-2</v>
      </c>
      <c r="F44" s="372"/>
    </row>
    <row r="45" spans="1:6">
      <c r="A45" s="280" t="s">
        <v>1630</v>
      </c>
      <c r="B45" s="289" t="s">
        <v>1647</v>
      </c>
      <c r="C45" s="367">
        <v>9.8000000000000004E-2</v>
      </c>
      <c r="D45" s="367">
        <v>9.6000000000000002E-2</v>
      </c>
      <c r="E45" s="367">
        <v>9.6000000000000002E-2</v>
      </c>
      <c r="F45" s="372"/>
    </row>
    <row r="46" spans="1:6">
      <c r="A46" s="280" t="s">
        <v>1630</v>
      </c>
      <c r="B46" s="289" t="s">
        <v>1648</v>
      </c>
      <c r="C46" s="367">
        <v>8.5999999999999993E-2</v>
      </c>
      <c r="D46" s="367">
        <v>9.8000000000000004E-2</v>
      </c>
      <c r="E46" s="367">
        <v>8.7999999999999995E-2</v>
      </c>
      <c r="F46" s="372"/>
    </row>
    <row r="47" spans="1:6">
      <c r="A47" s="280" t="s">
        <v>1630</v>
      </c>
      <c r="B47" s="289" t="s">
        <v>1649</v>
      </c>
      <c r="C47" s="367">
        <v>9.6000000000000002E-2</v>
      </c>
      <c r="D47" s="373"/>
      <c r="E47" s="367">
        <v>6.9000000000000006E-2</v>
      </c>
      <c r="F47" s="372"/>
    </row>
    <row r="48" spans="1:6">
      <c r="A48" s="298" t="s">
        <v>1630</v>
      </c>
      <c r="B48" s="290" t="s">
        <v>1650</v>
      </c>
      <c r="C48" s="369">
        <v>9.8000000000000004E-2</v>
      </c>
      <c r="D48" s="370"/>
      <c r="E48" s="369">
        <v>9.5000000000000001E-2</v>
      </c>
      <c r="F48" s="371"/>
    </row>
    <row r="49" spans="1:6">
      <c r="A49" s="280" t="s">
        <v>1651</v>
      </c>
      <c r="B49" s="281" t="s">
        <v>1652</v>
      </c>
      <c r="C49" s="365">
        <v>9.7000000000000003E-2</v>
      </c>
      <c r="D49" s="365">
        <v>9.5000000000000001E-2</v>
      </c>
      <c r="E49" s="365">
        <v>9.7000000000000003E-2</v>
      </c>
      <c r="F49" s="366">
        <v>0.1</v>
      </c>
    </row>
    <row r="50" spans="1:6">
      <c r="A50" s="280" t="s">
        <v>1651</v>
      </c>
      <c r="B50" s="285" t="s">
        <v>1653</v>
      </c>
      <c r="C50" s="367">
        <v>7.4999999999999997E-2</v>
      </c>
      <c r="D50" s="367">
        <v>9.5000000000000001E-2</v>
      </c>
      <c r="E50" s="367">
        <v>0.1</v>
      </c>
      <c r="F50" s="368">
        <v>0.1</v>
      </c>
    </row>
    <row r="51" spans="1:6">
      <c r="A51" s="280" t="s">
        <v>1651</v>
      </c>
      <c r="B51" s="285" t="s">
        <v>1654</v>
      </c>
      <c r="C51" s="367">
        <v>9.8000000000000004E-2</v>
      </c>
      <c r="D51" s="367">
        <v>8.8999999999999996E-2</v>
      </c>
      <c r="E51" s="367">
        <v>0.1</v>
      </c>
      <c r="F51" s="368">
        <v>0.1</v>
      </c>
    </row>
    <row r="52" spans="1:6">
      <c r="A52" s="280" t="s">
        <v>1651</v>
      </c>
      <c r="B52" s="285" t="s">
        <v>1655</v>
      </c>
      <c r="C52" s="367">
        <v>9.8000000000000004E-2</v>
      </c>
      <c r="D52" s="367">
        <v>9.7000000000000003E-2</v>
      </c>
      <c r="E52" s="367">
        <v>8.1000000000000003E-2</v>
      </c>
      <c r="F52" s="368">
        <v>0.1</v>
      </c>
    </row>
    <row r="53" spans="1:6">
      <c r="A53" s="280" t="s">
        <v>1651</v>
      </c>
      <c r="B53" s="285" t="s">
        <v>1656</v>
      </c>
      <c r="C53" s="367">
        <v>9.7000000000000003E-2</v>
      </c>
      <c r="D53" s="367">
        <v>7.5999999999999998E-2</v>
      </c>
      <c r="E53" s="367">
        <v>7.0999999999999994E-2</v>
      </c>
      <c r="F53" s="368">
        <v>0.1</v>
      </c>
    </row>
    <row r="54" spans="1:6">
      <c r="A54" s="280" t="s">
        <v>1651</v>
      </c>
      <c r="B54" s="285" t="s">
        <v>1657</v>
      </c>
      <c r="C54" s="367">
        <v>7.5999999999999998E-2</v>
      </c>
      <c r="D54" s="367">
        <v>0.1</v>
      </c>
      <c r="E54" s="367">
        <v>9.9000000000000005E-2</v>
      </c>
      <c r="F54" s="368">
        <v>0.1</v>
      </c>
    </row>
    <row r="55" spans="1:6">
      <c r="A55" s="280" t="s">
        <v>1651</v>
      </c>
      <c r="B55" s="285" t="s">
        <v>1658</v>
      </c>
      <c r="C55" s="367">
        <v>0.1</v>
      </c>
      <c r="D55" s="367">
        <v>0.1</v>
      </c>
      <c r="E55" s="367">
        <v>9.6000000000000002E-2</v>
      </c>
      <c r="F55" s="368">
        <v>0.1</v>
      </c>
    </row>
    <row r="56" spans="1:6">
      <c r="A56" s="280" t="s">
        <v>1651</v>
      </c>
      <c r="B56" s="285" t="s">
        <v>1659</v>
      </c>
      <c r="C56" s="367">
        <v>0.1</v>
      </c>
      <c r="D56" s="367">
        <v>9.6000000000000002E-2</v>
      </c>
      <c r="E56" s="367">
        <v>5.1999999999999998E-2</v>
      </c>
      <c r="F56" s="368">
        <v>0.1</v>
      </c>
    </row>
    <row r="57" spans="1:6">
      <c r="A57" s="280" t="s">
        <v>1651</v>
      </c>
      <c r="B57" s="285" t="s">
        <v>1660</v>
      </c>
      <c r="C57" s="367">
        <v>9.7000000000000003E-2</v>
      </c>
      <c r="D57" s="367">
        <v>9.6000000000000002E-2</v>
      </c>
      <c r="E57" s="367">
        <v>9.6000000000000002E-2</v>
      </c>
      <c r="F57" s="368">
        <v>0.1</v>
      </c>
    </row>
    <row r="58" spans="1:6">
      <c r="A58" s="280" t="s">
        <v>1651</v>
      </c>
      <c r="B58" s="285" t="s">
        <v>1661</v>
      </c>
      <c r="C58" s="367">
        <v>9.6000000000000002E-2</v>
      </c>
      <c r="D58" s="367">
        <v>9.9000000000000005E-2</v>
      </c>
      <c r="E58" s="367">
        <v>9.6000000000000002E-2</v>
      </c>
      <c r="F58" s="368">
        <v>0.1</v>
      </c>
    </row>
    <row r="59" spans="1:6">
      <c r="A59" s="280" t="s">
        <v>1651</v>
      </c>
      <c r="B59" s="285" t="s">
        <v>1662</v>
      </c>
      <c r="C59" s="367">
        <v>7.1999999999999995E-2</v>
      </c>
      <c r="D59" s="367">
        <v>9.6000000000000002E-2</v>
      </c>
      <c r="E59" s="367">
        <v>7.0999999999999994E-2</v>
      </c>
      <c r="F59" s="368">
        <v>0.1</v>
      </c>
    </row>
    <row r="60" spans="1:6">
      <c r="A60" s="280" t="s">
        <v>1651</v>
      </c>
      <c r="B60" s="285" t="s">
        <v>1663</v>
      </c>
      <c r="C60" s="367">
        <v>9.6000000000000002E-2</v>
      </c>
      <c r="D60" s="367">
        <v>8.8999999999999996E-2</v>
      </c>
      <c r="E60" s="367">
        <v>9.6000000000000002E-2</v>
      </c>
      <c r="F60" s="368">
        <v>0.1</v>
      </c>
    </row>
    <row r="61" spans="1:6">
      <c r="A61" s="280" t="s">
        <v>1651</v>
      </c>
      <c r="B61" s="285" t="s">
        <v>1664</v>
      </c>
      <c r="C61" s="367">
        <v>8.8999999999999996E-2</v>
      </c>
      <c r="D61" s="367">
        <v>9.8000000000000004E-2</v>
      </c>
      <c r="E61" s="367">
        <v>8.7999999999999995E-2</v>
      </c>
      <c r="F61" s="372"/>
    </row>
    <row r="62" spans="1:6">
      <c r="A62" s="280" t="s">
        <v>1651</v>
      </c>
      <c r="B62" s="285" t="s">
        <v>1665</v>
      </c>
      <c r="C62" s="367">
        <v>9.8000000000000004E-2</v>
      </c>
      <c r="D62" s="367">
        <v>9.2999999999999999E-2</v>
      </c>
      <c r="E62" s="367">
        <v>9.7000000000000003E-2</v>
      </c>
      <c r="F62" s="372"/>
    </row>
    <row r="63" spans="1:6">
      <c r="A63" s="280" t="s">
        <v>1651</v>
      </c>
      <c r="B63" s="285" t="s">
        <v>1666</v>
      </c>
      <c r="C63" s="367">
        <v>9.6000000000000002E-2</v>
      </c>
      <c r="D63" s="367">
        <v>9.8000000000000004E-2</v>
      </c>
      <c r="E63" s="367">
        <v>0.09</v>
      </c>
      <c r="F63" s="372"/>
    </row>
    <row r="64" spans="1:6">
      <c r="A64" s="280" t="s">
        <v>1651</v>
      </c>
      <c r="B64" s="285" t="s">
        <v>1667</v>
      </c>
      <c r="C64" s="367">
        <v>9.9000000000000005E-2</v>
      </c>
      <c r="D64" s="367">
        <v>9.7000000000000003E-2</v>
      </c>
      <c r="E64" s="367">
        <v>9.9000000000000005E-2</v>
      </c>
      <c r="F64" s="372"/>
    </row>
    <row r="65" spans="1:6">
      <c r="A65" s="280" t="s">
        <v>1651</v>
      </c>
      <c r="B65" s="285" t="s">
        <v>1668</v>
      </c>
      <c r="C65" s="367">
        <v>9.8000000000000004E-2</v>
      </c>
      <c r="D65" s="367">
        <v>9.6000000000000002E-2</v>
      </c>
      <c r="E65" s="367">
        <v>9.6000000000000002E-2</v>
      </c>
      <c r="F65" s="372"/>
    </row>
    <row r="66" spans="1:6">
      <c r="A66" s="280" t="s">
        <v>1651</v>
      </c>
      <c r="B66" s="285" t="s">
        <v>1669</v>
      </c>
      <c r="C66" s="367">
        <v>9.6000000000000002E-2</v>
      </c>
      <c r="D66" s="367">
        <v>9.1999999999999998E-2</v>
      </c>
      <c r="E66" s="367">
        <v>9.6000000000000002E-2</v>
      </c>
      <c r="F66" s="372"/>
    </row>
    <row r="67" spans="1:6">
      <c r="A67" s="280" t="s">
        <v>1651</v>
      </c>
      <c r="B67" s="285" t="s">
        <v>1670</v>
      </c>
      <c r="C67" s="367">
        <v>9.4E-2</v>
      </c>
      <c r="D67" s="367">
        <v>0.1</v>
      </c>
      <c r="E67" s="367">
        <v>8.7999999999999995E-2</v>
      </c>
      <c r="F67" s="372"/>
    </row>
    <row r="68" spans="1:6">
      <c r="A68" s="280" t="s">
        <v>1651</v>
      </c>
      <c r="B68" s="285" t="s">
        <v>1671</v>
      </c>
      <c r="C68" s="367">
        <v>0.1</v>
      </c>
      <c r="D68" s="367">
        <v>8.7999999999999995E-2</v>
      </c>
      <c r="E68" s="367">
        <v>9.7000000000000003E-2</v>
      </c>
      <c r="F68" s="372"/>
    </row>
    <row r="69" spans="1:6">
      <c r="A69" s="280" t="s">
        <v>1651</v>
      </c>
      <c r="B69" s="285" t="s">
        <v>1672</v>
      </c>
      <c r="C69" s="367">
        <v>6.4000000000000001E-2</v>
      </c>
      <c r="D69" s="367">
        <v>0.1</v>
      </c>
      <c r="E69" s="367">
        <v>0.1</v>
      </c>
      <c r="F69" s="372"/>
    </row>
    <row r="70" spans="1:6">
      <c r="A70" s="280" t="s">
        <v>1651</v>
      </c>
      <c r="B70" s="285" t="s">
        <v>1673</v>
      </c>
      <c r="C70" s="367">
        <v>9.0999999999999998E-2</v>
      </c>
      <c r="D70" s="373"/>
      <c r="E70" s="373"/>
      <c r="F70" s="372"/>
    </row>
    <row r="71" spans="1:6">
      <c r="A71" s="280" t="s">
        <v>1651</v>
      </c>
      <c r="B71" s="285" t="s">
        <v>1674</v>
      </c>
      <c r="C71" s="367">
        <v>0.1</v>
      </c>
      <c r="D71" s="373"/>
      <c r="E71" s="373"/>
      <c r="F71" s="372"/>
    </row>
    <row r="72" spans="1:6">
      <c r="A72" s="280" t="s">
        <v>1651</v>
      </c>
      <c r="B72" s="285" t="s">
        <v>1675</v>
      </c>
      <c r="C72" s="373"/>
      <c r="D72" s="373"/>
      <c r="E72" s="373"/>
      <c r="F72" s="368">
        <v>0.05</v>
      </c>
    </row>
    <row r="73" spans="1:6">
      <c r="A73" s="280" t="s">
        <v>1651</v>
      </c>
      <c r="B73" s="285" t="s">
        <v>1676</v>
      </c>
      <c r="C73" s="373"/>
      <c r="D73" s="373"/>
      <c r="E73" s="373"/>
      <c r="F73" s="368">
        <v>0.05</v>
      </c>
    </row>
    <row r="74" spans="1:6">
      <c r="A74" s="280" t="s">
        <v>1651</v>
      </c>
      <c r="B74" s="285" t="s">
        <v>1677</v>
      </c>
      <c r="C74" s="373"/>
      <c r="D74" s="373"/>
      <c r="E74" s="373"/>
      <c r="F74" s="368">
        <v>0.05</v>
      </c>
    </row>
    <row r="75" spans="1:6">
      <c r="A75" s="298" t="s">
        <v>1651</v>
      </c>
      <c r="B75" s="291" t="s">
        <v>1678</v>
      </c>
      <c r="C75" s="370"/>
      <c r="D75" s="370"/>
      <c r="E75" s="370"/>
      <c r="F75" s="374">
        <v>0.05</v>
      </c>
    </row>
    <row r="76" spans="1:6">
      <c r="A76" s="280" t="s">
        <v>1679</v>
      </c>
      <c r="B76" s="281" t="s">
        <v>1680</v>
      </c>
      <c r="C76" s="365">
        <v>0.1</v>
      </c>
      <c r="D76" s="365">
        <v>0.1</v>
      </c>
      <c r="E76" s="365">
        <v>0.1</v>
      </c>
      <c r="F76" s="366">
        <v>0.1</v>
      </c>
    </row>
    <row r="77" spans="1:6">
      <c r="A77" s="280" t="s">
        <v>1679</v>
      </c>
      <c r="B77" s="285" t="s">
        <v>1681</v>
      </c>
      <c r="C77" s="367">
        <v>8.7999999999999995E-2</v>
      </c>
      <c r="D77" s="367">
        <v>8.6999999999999994E-2</v>
      </c>
      <c r="E77" s="367">
        <v>7.9000000000000001E-2</v>
      </c>
      <c r="F77" s="368">
        <v>0.1</v>
      </c>
    </row>
    <row r="78" spans="1:6">
      <c r="A78" s="280" t="s">
        <v>1679</v>
      </c>
      <c r="B78" s="285" t="s">
        <v>1682</v>
      </c>
      <c r="C78" s="367">
        <v>8.6999999999999994E-2</v>
      </c>
      <c r="D78" s="367">
        <v>8.4000000000000005E-2</v>
      </c>
      <c r="E78" s="367">
        <v>9.6000000000000002E-2</v>
      </c>
      <c r="F78" s="368">
        <v>0.1</v>
      </c>
    </row>
    <row r="79" spans="1:6">
      <c r="A79" s="280" t="s">
        <v>1679</v>
      </c>
      <c r="B79" s="285" t="s">
        <v>1683</v>
      </c>
      <c r="C79" s="367">
        <v>9.8000000000000004E-2</v>
      </c>
      <c r="D79" s="367">
        <v>9.8000000000000004E-2</v>
      </c>
      <c r="E79" s="367">
        <v>9.0999999999999998E-2</v>
      </c>
      <c r="F79" s="368">
        <v>0.1</v>
      </c>
    </row>
    <row r="80" spans="1:6">
      <c r="A80" s="280" t="s">
        <v>1679</v>
      </c>
      <c r="B80" s="285" t="s">
        <v>1684</v>
      </c>
      <c r="C80" s="367">
        <v>9.6000000000000002E-2</v>
      </c>
      <c r="D80" s="367">
        <v>9.6000000000000002E-2</v>
      </c>
      <c r="E80" s="367">
        <v>0.1</v>
      </c>
      <c r="F80" s="368">
        <v>0.1</v>
      </c>
    </row>
    <row r="81" spans="1:6">
      <c r="A81" s="280" t="s">
        <v>1679</v>
      </c>
      <c r="B81" s="285" t="s">
        <v>1685</v>
      </c>
      <c r="C81" s="367">
        <v>9.9000000000000005E-2</v>
      </c>
      <c r="D81" s="367">
        <v>9.9000000000000005E-2</v>
      </c>
      <c r="E81" s="367">
        <v>9.8000000000000004E-2</v>
      </c>
      <c r="F81" s="368">
        <v>0.1</v>
      </c>
    </row>
    <row r="82" spans="1:6">
      <c r="A82" s="280" t="s">
        <v>1679</v>
      </c>
      <c r="B82" s="285" t="s">
        <v>1686</v>
      </c>
      <c r="C82" s="367">
        <v>9.9000000000000005E-2</v>
      </c>
      <c r="D82" s="367">
        <v>9.9000000000000005E-2</v>
      </c>
      <c r="E82" s="367">
        <v>9.7000000000000003E-2</v>
      </c>
      <c r="F82" s="368">
        <v>0.1</v>
      </c>
    </row>
    <row r="83" spans="1:6">
      <c r="A83" s="280" t="s">
        <v>1679</v>
      </c>
      <c r="B83" s="285" t="s">
        <v>1687</v>
      </c>
      <c r="C83" s="367">
        <v>9.8000000000000004E-2</v>
      </c>
      <c r="D83" s="367">
        <v>9.8000000000000004E-2</v>
      </c>
      <c r="E83" s="367">
        <v>9.8000000000000004E-2</v>
      </c>
      <c r="F83" s="368">
        <v>0.1</v>
      </c>
    </row>
    <row r="84" spans="1:6">
      <c r="A84" s="280" t="s">
        <v>1679</v>
      </c>
      <c r="B84" s="285" t="s">
        <v>1688</v>
      </c>
      <c r="C84" s="367">
        <v>9.9000000000000005E-2</v>
      </c>
      <c r="D84" s="367">
        <v>9.9000000000000005E-2</v>
      </c>
      <c r="E84" s="367">
        <v>9.9000000000000005E-2</v>
      </c>
      <c r="F84" s="368">
        <v>0.1</v>
      </c>
    </row>
    <row r="85" spans="1:6">
      <c r="A85" s="280" t="s">
        <v>1679</v>
      </c>
      <c r="B85" s="285" t="s">
        <v>1689</v>
      </c>
      <c r="C85" s="367">
        <v>9.9000000000000005E-2</v>
      </c>
      <c r="D85" s="367">
        <v>9.9000000000000005E-2</v>
      </c>
      <c r="E85" s="367">
        <v>9.9000000000000005E-2</v>
      </c>
      <c r="F85" s="368">
        <v>0.1</v>
      </c>
    </row>
    <row r="86" spans="1:6">
      <c r="A86" s="280" t="s">
        <v>1679</v>
      </c>
      <c r="B86" s="285" t="s">
        <v>1690</v>
      </c>
      <c r="C86" s="367">
        <v>0.1</v>
      </c>
      <c r="D86" s="367">
        <v>0.1</v>
      </c>
      <c r="E86" s="367">
        <v>7.6999999999999999E-2</v>
      </c>
      <c r="F86" s="368">
        <v>0.1</v>
      </c>
    </row>
    <row r="87" spans="1:6">
      <c r="A87" s="280" t="s">
        <v>1679</v>
      </c>
      <c r="B87" s="285" t="s">
        <v>1691</v>
      </c>
      <c r="C87" s="367">
        <v>0.1</v>
      </c>
      <c r="D87" s="367">
        <v>0.1</v>
      </c>
      <c r="E87" s="367">
        <v>9.8000000000000004E-2</v>
      </c>
      <c r="F87" s="372"/>
    </row>
    <row r="88" spans="1:6">
      <c r="A88" s="280" t="s">
        <v>1679</v>
      </c>
      <c r="B88" s="285" t="s">
        <v>1692</v>
      </c>
      <c r="C88" s="367">
        <v>9.1999999999999998E-2</v>
      </c>
      <c r="D88" s="367">
        <v>8.5000000000000006E-2</v>
      </c>
      <c r="E88" s="367">
        <v>9.6000000000000002E-2</v>
      </c>
      <c r="F88" s="372"/>
    </row>
    <row r="89" spans="1:6">
      <c r="A89" s="280" t="s">
        <v>1679</v>
      </c>
      <c r="B89" s="285" t="s">
        <v>1693</v>
      </c>
      <c r="C89" s="367">
        <v>0.1</v>
      </c>
      <c r="D89" s="367">
        <v>0.1</v>
      </c>
      <c r="E89" s="367">
        <v>9.7000000000000003E-2</v>
      </c>
      <c r="F89" s="372"/>
    </row>
    <row r="90" spans="1:6">
      <c r="A90" s="280" t="s">
        <v>1679</v>
      </c>
      <c r="B90" s="285" t="s">
        <v>1694</v>
      </c>
      <c r="C90" s="367">
        <v>9.8000000000000004E-2</v>
      </c>
      <c r="D90" s="367">
        <v>9.8000000000000004E-2</v>
      </c>
      <c r="E90" s="367">
        <v>8.7999999999999995E-2</v>
      </c>
      <c r="F90" s="372"/>
    </row>
    <row r="91" spans="1:6">
      <c r="A91" s="280" t="s">
        <v>1679</v>
      </c>
      <c r="B91" s="285" t="s">
        <v>1695</v>
      </c>
      <c r="C91" s="367">
        <v>9.9000000000000005E-2</v>
      </c>
      <c r="D91" s="367">
        <v>9.9000000000000005E-2</v>
      </c>
      <c r="E91" s="367">
        <v>9.0999999999999998E-2</v>
      </c>
      <c r="F91" s="372"/>
    </row>
    <row r="92" spans="1:6">
      <c r="A92" s="280" t="s">
        <v>1679</v>
      </c>
      <c r="B92" s="285" t="s">
        <v>1696</v>
      </c>
      <c r="C92" s="367">
        <v>9.6000000000000002E-2</v>
      </c>
      <c r="D92" s="367">
        <v>9.6000000000000002E-2</v>
      </c>
      <c r="E92" s="367">
        <v>7.2999999999999995E-2</v>
      </c>
      <c r="F92" s="372"/>
    </row>
    <row r="93" spans="1:6">
      <c r="A93" s="280" t="s">
        <v>1679</v>
      </c>
      <c r="B93" s="285" t="s">
        <v>1697</v>
      </c>
      <c r="C93" s="367">
        <v>9.6000000000000002E-2</v>
      </c>
      <c r="D93" s="367">
        <v>9.6000000000000002E-2</v>
      </c>
      <c r="E93" s="367">
        <v>9.9000000000000005E-2</v>
      </c>
      <c r="F93" s="372"/>
    </row>
    <row r="94" spans="1:6">
      <c r="A94" s="280" t="s">
        <v>1679</v>
      </c>
      <c r="B94" s="285" t="s">
        <v>1698</v>
      </c>
      <c r="C94" s="367">
        <v>7.5999999999999998E-2</v>
      </c>
      <c r="D94" s="367">
        <v>7.3999999999999996E-2</v>
      </c>
      <c r="E94" s="367">
        <v>9.7000000000000003E-2</v>
      </c>
      <c r="F94" s="372"/>
    </row>
    <row r="95" spans="1:6">
      <c r="A95" s="280" t="s">
        <v>1679</v>
      </c>
      <c r="B95" s="285" t="s">
        <v>1699</v>
      </c>
      <c r="C95" s="367">
        <v>9.9000000000000005E-2</v>
      </c>
      <c r="D95" s="367">
        <v>9.4E-2</v>
      </c>
      <c r="E95" s="367">
        <v>9.6000000000000002E-2</v>
      </c>
      <c r="F95" s="372"/>
    </row>
    <row r="96" spans="1:6">
      <c r="A96" s="280" t="s">
        <v>1679</v>
      </c>
      <c r="B96" s="285" t="s">
        <v>1700</v>
      </c>
      <c r="C96" s="367">
        <v>9.9000000000000005E-2</v>
      </c>
      <c r="D96" s="367">
        <v>9.9000000000000005E-2</v>
      </c>
      <c r="E96" s="367">
        <v>9.9000000000000005E-2</v>
      </c>
      <c r="F96" s="372"/>
    </row>
    <row r="97" spans="1:6">
      <c r="A97" s="280" t="s">
        <v>1679</v>
      </c>
      <c r="B97" s="285" t="s">
        <v>1701</v>
      </c>
      <c r="C97" s="367">
        <v>9.8000000000000004E-2</v>
      </c>
      <c r="D97" s="367">
        <v>9.8000000000000004E-2</v>
      </c>
      <c r="E97" s="367">
        <v>9.7000000000000003E-2</v>
      </c>
      <c r="F97" s="372"/>
    </row>
    <row r="98" spans="1:6">
      <c r="A98" s="280" t="s">
        <v>1679</v>
      </c>
      <c r="B98" s="285" t="s">
        <v>1702</v>
      </c>
      <c r="C98" s="367">
        <v>0.1</v>
      </c>
      <c r="D98" s="367">
        <v>0.1</v>
      </c>
      <c r="E98" s="367">
        <v>9.7000000000000003E-2</v>
      </c>
      <c r="F98" s="372"/>
    </row>
    <row r="99" spans="1:6">
      <c r="A99" s="280" t="s">
        <v>1679</v>
      </c>
      <c r="B99" s="285" t="s">
        <v>1703</v>
      </c>
      <c r="C99" s="367">
        <v>0.1</v>
      </c>
      <c r="D99" s="367">
        <v>0.1</v>
      </c>
      <c r="E99" s="373"/>
      <c r="F99" s="372"/>
    </row>
    <row r="100" spans="1:6">
      <c r="A100" s="280" t="s">
        <v>1679</v>
      </c>
      <c r="B100" s="285" t="s">
        <v>1704</v>
      </c>
      <c r="C100" s="367">
        <v>0.09</v>
      </c>
      <c r="D100" s="367">
        <v>8.8999999999999996E-2</v>
      </c>
      <c r="E100" s="373"/>
      <c r="F100" s="372"/>
    </row>
    <row r="101" spans="1:6">
      <c r="A101" s="280" t="s">
        <v>1679</v>
      </c>
      <c r="B101" s="285" t="s">
        <v>1705</v>
      </c>
      <c r="C101" s="367">
        <v>9.8000000000000004E-2</v>
      </c>
      <c r="D101" s="367">
        <v>9.7000000000000003E-2</v>
      </c>
      <c r="E101" s="373"/>
      <c r="F101" s="372"/>
    </row>
    <row r="102" spans="1:6">
      <c r="A102" s="280" t="s">
        <v>1679</v>
      </c>
      <c r="B102" s="285" t="s">
        <v>1706</v>
      </c>
      <c r="C102" s="373"/>
      <c r="D102" s="373"/>
      <c r="E102" s="373"/>
      <c r="F102" s="368">
        <v>0.05</v>
      </c>
    </row>
    <row r="103" spans="1:6" ht="24">
      <c r="A103" s="280" t="s">
        <v>1679</v>
      </c>
      <c r="B103" s="285" t="s">
        <v>1707</v>
      </c>
      <c r="C103" s="373"/>
      <c r="D103" s="373"/>
      <c r="E103" s="373"/>
      <c r="F103" s="368">
        <v>0.05</v>
      </c>
    </row>
    <row r="104" spans="1:6">
      <c r="A104" s="280" t="s">
        <v>1679</v>
      </c>
      <c r="B104" s="285" t="s">
        <v>1708</v>
      </c>
      <c r="C104" s="373"/>
      <c r="D104" s="373"/>
      <c r="E104" s="373"/>
      <c r="F104" s="368">
        <v>0.05</v>
      </c>
    </row>
    <row r="105" spans="1:6">
      <c r="A105" s="280" t="s">
        <v>1679</v>
      </c>
      <c r="B105" s="285" t="s">
        <v>1709</v>
      </c>
      <c r="C105" s="373"/>
      <c r="D105" s="373"/>
      <c r="E105" s="373"/>
      <c r="F105" s="368">
        <v>0.05</v>
      </c>
    </row>
    <row r="106" spans="1:6">
      <c r="A106" s="280" t="s">
        <v>1679</v>
      </c>
      <c r="B106" s="285" t="s">
        <v>1710</v>
      </c>
      <c r="C106" s="373"/>
      <c r="D106" s="373"/>
      <c r="E106" s="373"/>
      <c r="F106" s="368">
        <v>0.05</v>
      </c>
    </row>
    <row r="107" spans="1:6" ht="24">
      <c r="A107" s="280" t="s">
        <v>1679</v>
      </c>
      <c r="B107" s="285" t="s">
        <v>1711</v>
      </c>
      <c r="C107" s="373"/>
      <c r="D107" s="373"/>
      <c r="E107" s="373"/>
      <c r="F107" s="368">
        <v>0.05</v>
      </c>
    </row>
    <row r="108" spans="1:6" ht="24">
      <c r="A108" s="280" t="s">
        <v>1679</v>
      </c>
      <c r="B108" s="285" t="s">
        <v>1712</v>
      </c>
      <c r="C108" s="373"/>
      <c r="D108" s="373"/>
      <c r="E108" s="373"/>
      <c r="F108" s="368">
        <v>0.05</v>
      </c>
    </row>
    <row r="109" spans="1:6" ht="24">
      <c r="A109" s="298" t="s">
        <v>1679</v>
      </c>
      <c r="B109" s="291" t="s">
        <v>1713</v>
      </c>
      <c r="C109" s="370"/>
      <c r="D109" s="370"/>
      <c r="E109" s="370"/>
      <c r="F109" s="374">
        <v>0.05</v>
      </c>
    </row>
    <row r="110" spans="1:6">
      <c r="A110" s="280" t="s">
        <v>1714</v>
      </c>
      <c r="B110" s="281" t="s">
        <v>1715</v>
      </c>
      <c r="C110" s="365">
        <v>0.129</v>
      </c>
      <c r="D110" s="365">
        <v>0.129</v>
      </c>
      <c r="E110" s="365">
        <v>0.126</v>
      </c>
      <c r="F110" s="366">
        <v>0.13</v>
      </c>
    </row>
    <row r="111" spans="1:6">
      <c r="A111" s="280" t="s">
        <v>1714</v>
      </c>
      <c r="B111" s="285" t="s">
        <v>1716</v>
      </c>
      <c r="C111" s="367">
        <v>0.11</v>
      </c>
      <c r="D111" s="367">
        <v>0.11</v>
      </c>
      <c r="E111" s="367">
        <v>9.9000000000000005E-2</v>
      </c>
      <c r="F111" s="368">
        <v>0.128</v>
      </c>
    </row>
    <row r="112" spans="1:6">
      <c r="A112" s="280" t="s">
        <v>1714</v>
      </c>
      <c r="B112" s="285" t="s">
        <v>1717</v>
      </c>
      <c r="C112" s="367">
        <v>0.125</v>
      </c>
      <c r="D112" s="367">
        <v>0.125</v>
      </c>
      <c r="E112" s="367">
        <v>0.12</v>
      </c>
      <c r="F112" s="368">
        <v>0.125</v>
      </c>
    </row>
    <row r="113" spans="1:6">
      <c r="A113" s="280" t="s">
        <v>1714</v>
      </c>
      <c r="B113" s="285" t="s">
        <v>1718</v>
      </c>
      <c r="C113" s="367">
        <v>0.13</v>
      </c>
      <c r="D113" s="367">
        <v>0.13</v>
      </c>
      <c r="E113" s="367">
        <v>0.13</v>
      </c>
      <c r="F113" s="368">
        <v>0.13</v>
      </c>
    </row>
    <row r="114" spans="1:6">
      <c r="A114" s="280" t="s">
        <v>1714</v>
      </c>
      <c r="B114" s="285" t="s">
        <v>1719</v>
      </c>
      <c r="C114" s="367">
        <v>0.123</v>
      </c>
      <c r="D114" s="367">
        <v>0.123</v>
      </c>
      <c r="E114" s="367">
        <v>0.12</v>
      </c>
      <c r="F114" s="368">
        <v>0.13</v>
      </c>
    </row>
    <row r="115" spans="1:6">
      <c r="A115" s="280" t="s">
        <v>1714</v>
      </c>
      <c r="B115" s="285" t="s">
        <v>1720</v>
      </c>
      <c r="C115" s="367">
        <v>0.125</v>
      </c>
      <c r="D115" s="367">
        <v>0.125</v>
      </c>
      <c r="E115" s="367">
        <v>0.11700000000000001</v>
      </c>
      <c r="F115" s="368">
        <v>0.13</v>
      </c>
    </row>
    <row r="116" spans="1:6">
      <c r="A116" s="280" t="s">
        <v>1714</v>
      </c>
      <c r="B116" s="285" t="s">
        <v>1721</v>
      </c>
      <c r="C116" s="367">
        <v>0.11700000000000001</v>
      </c>
      <c r="D116" s="367">
        <v>0.11700000000000001</v>
      </c>
      <c r="E116" s="367">
        <v>8.7999999999999995E-2</v>
      </c>
      <c r="F116" s="368">
        <v>0.13</v>
      </c>
    </row>
    <row r="117" spans="1:6">
      <c r="A117" s="280" t="s">
        <v>1714</v>
      </c>
      <c r="B117" s="285" t="s">
        <v>1722</v>
      </c>
      <c r="C117" s="367">
        <v>0.13</v>
      </c>
      <c r="D117" s="367">
        <v>0.13</v>
      </c>
      <c r="E117" s="367">
        <v>0.129</v>
      </c>
      <c r="F117" s="368">
        <v>0.13</v>
      </c>
    </row>
    <row r="118" spans="1:6">
      <c r="A118" s="280" t="s">
        <v>1714</v>
      </c>
      <c r="B118" s="285" t="s">
        <v>1723</v>
      </c>
      <c r="C118" s="367">
        <v>0.123</v>
      </c>
      <c r="D118" s="367">
        <v>0.123</v>
      </c>
      <c r="E118" s="367">
        <v>0.11600000000000001</v>
      </c>
      <c r="F118" s="368">
        <v>0.13</v>
      </c>
    </row>
    <row r="119" spans="1:6">
      <c r="A119" s="280" t="s">
        <v>1714</v>
      </c>
      <c r="B119" s="285" t="s">
        <v>1724</v>
      </c>
      <c r="C119" s="367">
        <v>0.127</v>
      </c>
      <c r="D119" s="367">
        <v>0.127</v>
      </c>
      <c r="E119" s="367">
        <v>0.124</v>
      </c>
      <c r="F119" s="368">
        <v>0.13</v>
      </c>
    </row>
    <row r="120" spans="1:6">
      <c r="A120" s="280" t="s">
        <v>1714</v>
      </c>
      <c r="B120" s="285" t="s">
        <v>1725</v>
      </c>
      <c r="C120" s="367">
        <v>0.125</v>
      </c>
      <c r="D120" s="367">
        <v>0.125</v>
      </c>
      <c r="E120" s="367">
        <v>0.122</v>
      </c>
      <c r="F120" s="368">
        <v>0.13</v>
      </c>
    </row>
    <row r="121" spans="1:6">
      <c r="A121" s="280" t="s">
        <v>1714</v>
      </c>
      <c r="B121" s="285" t="s">
        <v>1726</v>
      </c>
      <c r="C121" s="367">
        <v>0.13</v>
      </c>
      <c r="D121" s="367">
        <v>0.13</v>
      </c>
      <c r="E121" s="367">
        <v>0.13</v>
      </c>
      <c r="F121" s="368">
        <v>0.13</v>
      </c>
    </row>
    <row r="122" spans="1:6">
      <c r="A122" s="280" t="s">
        <v>1714</v>
      </c>
      <c r="B122" s="285" t="s">
        <v>1727</v>
      </c>
      <c r="C122" s="367">
        <v>0.13</v>
      </c>
      <c r="D122" s="367">
        <v>0.13</v>
      </c>
      <c r="E122" s="367">
        <v>0.125</v>
      </c>
      <c r="F122" s="368">
        <v>0.13</v>
      </c>
    </row>
    <row r="123" spans="1:6">
      <c r="A123" s="280" t="s">
        <v>1714</v>
      </c>
      <c r="B123" s="285" t="s">
        <v>1728</v>
      </c>
      <c r="C123" s="367">
        <v>0.129</v>
      </c>
      <c r="D123" s="367">
        <v>0.129</v>
      </c>
      <c r="E123" s="367">
        <v>0.123</v>
      </c>
      <c r="F123" s="368">
        <v>0.13</v>
      </c>
    </row>
    <row r="124" spans="1:6">
      <c r="A124" s="280" t="s">
        <v>1714</v>
      </c>
      <c r="B124" s="285" t="s">
        <v>1729</v>
      </c>
      <c r="C124" s="367">
        <v>0.10199999999999999</v>
      </c>
      <c r="D124" s="367">
        <v>0.10100000000000001</v>
      </c>
      <c r="E124" s="367">
        <v>0.08</v>
      </c>
      <c r="F124" s="372"/>
    </row>
    <row r="125" spans="1:6">
      <c r="A125" s="280" t="s">
        <v>1714</v>
      </c>
      <c r="B125" s="285" t="s">
        <v>1730</v>
      </c>
      <c r="C125" s="367">
        <v>0.13</v>
      </c>
      <c r="D125" s="367">
        <v>0.13</v>
      </c>
      <c r="E125" s="367">
        <v>0.129</v>
      </c>
      <c r="F125" s="372"/>
    </row>
    <row r="126" spans="1:6">
      <c r="A126" s="280" t="s">
        <v>1714</v>
      </c>
      <c r="B126" s="285" t="s">
        <v>1731</v>
      </c>
      <c r="C126" s="367">
        <v>0.13</v>
      </c>
      <c r="D126" s="367">
        <v>0.13</v>
      </c>
      <c r="E126" s="367">
        <v>0.126</v>
      </c>
      <c r="F126" s="372"/>
    </row>
    <row r="127" spans="1:6">
      <c r="A127" s="280" t="s">
        <v>1714</v>
      </c>
      <c r="B127" s="285" t="s">
        <v>1732</v>
      </c>
      <c r="C127" s="367">
        <v>0.125</v>
      </c>
      <c r="D127" s="367">
        <v>0.125</v>
      </c>
      <c r="E127" s="367">
        <v>0.121</v>
      </c>
      <c r="F127" s="372"/>
    </row>
    <row r="128" spans="1:6">
      <c r="A128" s="280" t="s">
        <v>1714</v>
      </c>
      <c r="B128" s="285" t="s">
        <v>1733</v>
      </c>
      <c r="C128" s="367">
        <v>0.12</v>
      </c>
      <c r="D128" s="367">
        <v>0.12</v>
      </c>
      <c r="E128" s="367">
        <v>0.105</v>
      </c>
      <c r="F128" s="372"/>
    </row>
    <row r="129" spans="1:6">
      <c r="A129" s="280" t="s">
        <v>1714</v>
      </c>
      <c r="B129" s="285" t="s">
        <v>1734</v>
      </c>
      <c r="C129" s="367">
        <v>0.13</v>
      </c>
      <c r="D129" s="367">
        <v>0.13</v>
      </c>
      <c r="E129" s="367">
        <v>0.126</v>
      </c>
      <c r="F129" s="372"/>
    </row>
    <row r="130" spans="1:6">
      <c r="A130" s="280" t="s">
        <v>1714</v>
      </c>
      <c r="B130" s="285" t="s">
        <v>1735</v>
      </c>
      <c r="C130" s="367">
        <v>0.125</v>
      </c>
      <c r="D130" s="367">
        <v>0.125</v>
      </c>
      <c r="E130" s="367">
        <v>0.122</v>
      </c>
      <c r="F130" s="372"/>
    </row>
    <row r="131" spans="1:6">
      <c r="A131" s="280" t="s">
        <v>1714</v>
      </c>
      <c r="B131" s="285" t="s">
        <v>1736</v>
      </c>
      <c r="C131" s="367">
        <v>0.127</v>
      </c>
      <c r="D131" s="367">
        <v>0.126</v>
      </c>
      <c r="E131" s="367">
        <v>0.123</v>
      </c>
      <c r="F131" s="372"/>
    </row>
    <row r="132" spans="1:6">
      <c r="A132" s="280" t="s">
        <v>1714</v>
      </c>
      <c r="B132" s="285" t="s">
        <v>1737</v>
      </c>
      <c r="C132" s="367">
        <v>9.0999999999999998E-2</v>
      </c>
      <c r="D132" s="367">
        <v>0.121</v>
      </c>
      <c r="E132" s="367">
        <v>9.9000000000000005E-2</v>
      </c>
      <c r="F132" s="372"/>
    </row>
    <row r="133" spans="1:6">
      <c r="A133" s="280" t="s">
        <v>1714</v>
      </c>
      <c r="B133" s="285" t="s">
        <v>1738</v>
      </c>
      <c r="C133" s="367">
        <v>0.13</v>
      </c>
      <c r="D133" s="367">
        <v>0.13</v>
      </c>
      <c r="E133" s="367">
        <v>0.129</v>
      </c>
      <c r="F133" s="372"/>
    </row>
    <row r="134" spans="1:6">
      <c r="A134" s="280" t="s">
        <v>1714</v>
      </c>
      <c r="B134" s="285" t="s">
        <v>1739</v>
      </c>
      <c r="C134" s="367">
        <v>6.8000000000000005E-2</v>
      </c>
      <c r="D134" s="367">
        <v>6.5000000000000002E-2</v>
      </c>
      <c r="E134" s="367">
        <v>6.5000000000000002E-2</v>
      </c>
      <c r="F134" s="368">
        <v>0.13</v>
      </c>
    </row>
    <row r="135" spans="1:6">
      <c r="A135" s="280" t="s">
        <v>1714</v>
      </c>
      <c r="B135" s="285" t="s">
        <v>1740</v>
      </c>
      <c r="C135" s="367">
        <v>0.123</v>
      </c>
      <c r="D135" s="367">
        <v>0.123</v>
      </c>
      <c r="E135" s="367">
        <v>0.11</v>
      </c>
      <c r="F135" s="372"/>
    </row>
    <row r="136" spans="1:6">
      <c r="A136" s="280" t="s">
        <v>1714</v>
      </c>
      <c r="B136" s="285" t="s">
        <v>1741</v>
      </c>
      <c r="C136" s="367">
        <v>0.13</v>
      </c>
      <c r="D136" s="367">
        <v>0.13</v>
      </c>
      <c r="E136" s="367">
        <v>0.125</v>
      </c>
      <c r="F136" s="372"/>
    </row>
    <row r="137" spans="1:6">
      <c r="A137" s="280" t="s">
        <v>1714</v>
      </c>
      <c r="B137" s="285" t="s">
        <v>1742</v>
      </c>
      <c r="C137" s="367">
        <v>0.121</v>
      </c>
      <c r="D137" s="367">
        <v>0.122</v>
      </c>
      <c r="E137" s="367">
        <v>0.115</v>
      </c>
      <c r="F137" s="372"/>
    </row>
    <row r="138" spans="1:6">
      <c r="A138" s="280" t="s">
        <v>1714</v>
      </c>
      <c r="B138" s="285" t="s">
        <v>1743</v>
      </c>
      <c r="C138" s="367">
        <v>0.105</v>
      </c>
      <c r="D138" s="367">
        <v>0.125</v>
      </c>
      <c r="E138" s="367">
        <v>0.112</v>
      </c>
      <c r="F138" s="372"/>
    </row>
    <row r="139" spans="1:6">
      <c r="A139" s="280" t="s">
        <v>1714</v>
      </c>
      <c r="B139" s="285" t="s">
        <v>1744</v>
      </c>
      <c r="C139" s="367">
        <v>0.127</v>
      </c>
      <c r="D139" s="367">
        <v>0.127</v>
      </c>
      <c r="E139" s="367">
        <v>0.122</v>
      </c>
      <c r="F139" s="368">
        <v>0.13</v>
      </c>
    </row>
    <row r="140" spans="1:6">
      <c r="A140" s="280" t="s">
        <v>1714</v>
      </c>
      <c r="B140" s="285" t="s">
        <v>1745</v>
      </c>
      <c r="C140" s="367">
        <v>0.125</v>
      </c>
      <c r="D140" s="367">
        <v>0.125</v>
      </c>
      <c r="E140" s="367">
        <v>0.11899999999999999</v>
      </c>
      <c r="F140" s="368">
        <v>0.13</v>
      </c>
    </row>
    <row r="141" spans="1:6">
      <c r="A141" s="280" t="s">
        <v>1714</v>
      </c>
      <c r="B141" s="285" t="s">
        <v>1746</v>
      </c>
      <c r="C141" s="367">
        <v>0.125</v>
      </c>
      <c r="D141" s="367">
        <v>0.125</v>
      </c>
      <c r="E141" s="367">
        <v>0.11700000000000001</v>
      </c>
      <c r="F141" s="372"/>
    </row>
    <row r="142" spans="1:6">
      <c r="A142" s="280" t="s">
        <v>1714</v>
      </c>
      <c r="B142" s="285" t="s">
        <v>1747</v>
      </c>
      <c r="C142" s="367">
        <v>0.125</v>
      </c>
      <c r="D142" s="367">
        <v>0.125</v>
      </c>
      <c r="E142" s="367">
        <v>0.115</v>
      </c>
      <c r="F142" s="372"/>
    </row>
    <row r="143" spans="1:6">
      <c r="A143" s="280" t="s">
        <v>1714</v>
      </c>
      <c r="B143" s="285" t="s">
        <v>1748</v>
      </c>
      <c r="C143" s="367">
        <v>0.121</v>
      </c>
      <c r="D143" s="367">
        <v>0.121</v>
      </c>
      <c r="E143" s="367">
        <v>0.108</v>
      </c>
      <c r="F143" s="372"/>
    </row>
    <row r="144" spans="1:6">
      <c r="A144" s="280" t="s">
        <v>1714</v>
      </c>
      <c r="B144" s="375" t="s">
        <v>1749</v>
      </c>
      <c r="C144" s="376">
        <v>0.126</v>
      </c>
      <c r="D144" s="376">
        <v>0.126</v>
      </c>
      <c r="E144" s="376">
        <v>0.121</v>
      </c>
      <c r="F144" s="372"/>
    </row>
    <row r="145" spans="1:6">
      <c r="A145" s="298" t="s">
        <v>1714</v>
      </c>
      <c r="B145" s="377" t="s">
        <v>1750</v>
      </c>
      <c r="C145" s="378"/>
      <c r="D145" s="378"/>
      <c r="E145" s="378"/>
      <c r="F145" s="379">
        <v>0.05</v>
      </c>
    </row>
    <row r="146" spans="1:6" ht="24">
      <c r="A146" s="380" t="s">
        <v>1714</v>
      </c>
      <c r="B146" s="289" t="s">
        <v>1751</v>
      </c>
      <c r="C146" s="373"/>
      <c r="D146" s="373"/>
      <c r="E146" s="373"/>
      <c r="F146" s="381">
        <v>0.05</v>
      </c>
    </row>
    <row r="147" spans="1:6" ht="24">
      <c r="A147" s="280" t="s">
        <v>1714</v>
      </c>
      <c r="B147" s="285" t="s">
        <v>1752</v>
      </c>
      <c r="C147" s="373"/>
      <c r="D147" s="373"/>
      <c r="E147" s="373"/>
      <c r="F147" s="368">
        <v>0.05</v>
      </c>
    </row>
    <row r="148" spans="1:6" ht="24">
      <c r="A148" s="280" t="s">
        <v>1714</v>
      </c>
      <c r="B148" s="285" t="s">
        <v>1753</v>
      </c>
      <c r="C148" s="373"/>
      <c r="D148" s="373"/>
      <c r="E148" s="373"/>
      <c r="F148" s="368">
        <v>0.05</v>
      </c>
    </row>
    <row r="149" spans="1:6" ht="24">
      <c r="A149" s="280" t="s">
        <v>1714</v>
      </c>
      <c r="B149" s="285" t="s">
        <v>1754</v>
      </c>
      <c r="C149" s="373"/>
      <c r="D149" s="373"/>
      <c r="E149" s="373"/>
      <c r="F149" s="368">
        <v>0.05</v>
      </c>
    </row>
    <row r="150" spans="1:6" ht="24">
      <c r="A150" s="280" t="s">
        <v>1714</v>
      </c>
      <c r="B150" s="285" t="s">
        <v>1755</v>
      </c>
      <c r="C150" s="373"/>
      <c r="D150" s="373"/>
      <c r="E150" s="373"/>
      <c r="F150" s="368">
        <v>0.05</v>
      </c>
    </row>
    <row r="151" spans="1:6" ht="24">
      <c r="A151" s="280" t="s">
        <v>1714</v>
      </c>
      <c r="B151" s="285" t="s">
        <v>1756</v>
      </c>
      <c r="C151" s="373"/>
      <c r="D151" s="373"/>
      <c r="E151" s="373"/>
      <c r="F151" s="368">
        <v>0.05</v>
      </c>
    </row>
    <row r="152" spans="1:6" ht="24">
      <c r="A152" s="280" t="s">
        <v>1714</v>
      </c>
      <c r="B152" s="285" t="s">
        <v>1757</v>
      </c>
      <c r="C152" s="373"/>
      <c r="D152" s="373"/>
      <c r="E152" s="373"/>
      <c r="F152" s="368">
        <v>0.05</v>
      </c>
    </row>
    <row r="153" spans="1:6">
      <c r="A153" s="280" t="s">
        <v>1714</v>
      </c>
      <c r="B153" s="285" t="s">
        <v>1758</v>
      </c>
      <c r="C153" s="373"/>
      <c r="D153" s="373"/>
      <c r="E153" s="373"/>
      <c r="F153" s="368">
        <v>0.05</v>
      </c>
    </row>
    <row r="154" spans="1:6">
      <c r="A154" s="280" t="s">
        <v>1714</v>
      </c>
      <c r="B154" s="285" t="s">
        <v>1759</v>
      </c>
      <c r="C154" s="373"/>
      <c r="D154" s="373"/>
      <c r="E154" s="373"/>
      <c r="F154" s="368">
        <v>0.05</v>
      </c>
    </row>
    <row r="155" spans="1:6" ht="24">
      <c r="A155" s="280" t="s">
        <v>1714</v>
      </c>
      <c r="B155" s="285" t="s">
        <v>1760</v>
      </c>
      <c r="C155" s="373"/>
      <c r="D155" s="373"/>
      <c r="E155" s="373"/>
      <c r="F155" s="368">
        <v>0.05</v>
      </c>
    </row>
    <row r="156" spans="1:6" ht="24">
      <c r="A156" s="280" t="s">
        <v>1714</v>
      </c>
      <c r="B156" s="285" t="s">
        <v>1761</v>
      </c>
      <c r="C156" s="373"/>
      <c r="D156" s="373"/>
      <c r="E156" s="373"/>
      <c r="F156" s="368">
        <v>0.05</v>
      </c>
    </row>
    <row r="157" spans="1:6">
      <c r="A157" s="298" t="s">
        <v>1714</v>
      </c>
      <c r="B157" s="291" t="s">
        <v>1762</v>
      </c>
      <c r="C157" s="370"/>
      <c r="D157" s="370"/>
      <c r="E157" s="370"/>
      <c r="F157" s="374">
        <v>0.05</v>
      </c>
    </row>
    <row r="158" spans="1:6">
      <c r="A158" s="280" t="s">
        <v>1763</v>
      </c>
      <c r="B158" s="281" t="s">
        <v>1764</v>
      </c>
      <c r="C158" s="365">
        <v>0.13</v>
      </c>
      <c r="D158" s="365">
        <v>0.13</v>
      </c>
      <c r="E158" s="365">
        <v>0.13</v>
      </c>
      <c r="F158" s="366">
        <v>0.13</v>
      </c>
    </row>
    <row r="159" spans="1:6">
      <c r="A159" s="280" t="s">
        <v>1763</v>
      </c>
      <c r="B159" s="285" t="s">
        <v>1765</v>
      </c>
      <c r="C159" s="367">
        <v>0.13</v>
      </c>
      <c r="D159" s="367">
        <v>0.13</v>
      </c>
      <c r="E159" s="367">
        <v>0.13</v>
      </c>
      <c r="F159" s="368">
        <v>0.13</v>
      </c>
    </row>
    <row r="160" spans="1:6">
      <c r="A160" s="280" t="s">
        <v>1763</v>
      </c>
      <c r="B160" s="285" t="s">
        <v>1766</v>
      </c>
      <c r="C160" s="367">
        <v>0.13</v>
      </c>
      <c r="D160" s="367">
        <v>0.13</v>
      </c>
      <c r="E160" s="367">
        <v>0.129</v>
      </c>
      <c r="F160" s="368">
        <v>0.13</v>
      </c>
    </row>
    <row r="161" spans="1:6">
      <c r="A161" s="280" t="s">
        <v>1763</v>
      </c>
      <c r="B161" s="285" t="s">
        <v>1767</v>
      </c>
      <c r="C161" s="367">
        <v>0.128</v>
      </c>
      <c r="D161" s="367">
        <v>0.128</v>
      </c>
      <c r="E161" s="367">
        <v>0.125</v>
      </c>
      <c r="F161" s="368">
        <v>0.13</v>
      </c>
    </row>
    <row r="162" spans="1:6">
      <c r="A162" s="280" t="s">
        <v>1763</v>
      </c>
      <c r="B162" s="285" t="s">
        <v>1768</v>
      </c>
      <c r="C162" s="367">
        <v>0.122</v>
      </c>
      <c r="D162" s="367">
        <v>0.122</v>
      </c>
      <c r="E162" s="367">
        <v>0.126</v>
      </c>
      <c r="F162" s="368">
        <v>0.122</v>
      </c>
    </row>
    <row r="163" spans="1:6">
      <c r="A163" s="280" t="s">
        <v>1763</v>
      </c>
      <c r="B163" s="285" t="s">
        <v>1769</v>
      </c>
      <c r="C163" s="367">
        <v>0.13</v>
      </c>
      <c r="D163" s="367">
        <v>0.13</v>
      </c>
      <c r="E163" s="367">
        <v>0.125</v>
      </c>
      <c r="F163" s="368">
        <v>0.13</v>
      </c>
    </row>
    <row r="164" spans="1:6">
      <c r="A164" s="280" t="s">
        <v>1763</v>
      </c>
      <c r="B164" s="285" t="s">
        <v>1770</v>
      </c>
      <c r="C164" s="367">
        <v>0.13</v>
      </c>
      <c r="D164" s="367">
        <v>0.13</v>
      </c>
      <c r="E164" s="367">
        <v>0.13</v>
      </c>
      <c r="F164" s="368">
        <v>0.13</v>
      </c>
    </row>
    <row r="165" spans="1:6">
      <c r="A165" s="280" t="s">
        <v>1763</v>
      </c>
      <c r="B165" s="285" t="s">
        <v>1771</v>
      </c>
      <c r="C165" s="367">
        <v>0.13</v>
      </c>
      <c r="D165" s="367">
        <v>0.13</v>
      </c>
      <c r="E165" s="367">
        <v>0.124</v>
      </c>
      <c r="F165" s="368">
        <v>0.13</v>
      </c>
    </row>
    <row r="166" spans="1:6">
      <c r="A166" s="280" t="s">
        <v>1763</v>
      </c>
      <c r="B166" s="285" t="s">
        <v>1772</v>
      </c>
      <c r="C166" s="367">
        <v>0.13</v>
      </c>
      <c r="D166" s="367">
        <v>0.13</v>
      </c>
      <c r="E166" s="367">
        <v>0.13</v>
      </c>
      <c r="F166" s="368">
        <v>0.13</v>
      </c>
    </row>
    <row r="167" spans="1:6">
      <c r="A167" s="280" t="s">
        <v>1763</v>
      </c>
      <c r="B167" s="285" t="s">
        <v>1773</v>
      </c>
      <c r="C167" s="367">
        <v>0.125</v>
      </c>
      <c r="D167" s="367">
        <v>0.125</v>
      </c>
      <c r="E167" s="367">
        <v>0.121</v>
      </c>
      <c r="F167" s="372"/>
    </row>
    <row r="168" spans="1:6">
      <c r="A168" s="280" t="s">
        <v>1763</v>
      </c>
      <c r="B168" s="285" t="s">
        <v>1774</v>
      </c>
      <c r="C168" s="367">
        <v>0.13</v>
      </c>
      <c r="D168" s="367">
        <v>0.13</v>
      </c>
      <c r="E168" s="367">
        <v>0.126</v>
      </c>
      <c r="F168" s="372"/>
    </row>
    <row r="169" spans="1:6">
      <c r="A169" s="280" t="s">
        <v>1763</v>
      </c>
      <c r="B169" s="285" t="s">
        <v>1775</v>
      </c>
      <c r="C169" s="367">
        <v>0.128</v>
      </c>
      <c r="D169" s="367">
        <v>0.129</v>
      </c>
      <c r="E169" s="367">
        <v>0.13</v>
      </c>
      <c r="F169" s="372"/>
    </row>
    <row r="170" spans="1:6">
      <c r="A170" s="280" t="s">
        <v>1763</v>
      </c>
      <c r="B170" s="285" t="s">
        <v>1776</v>
      </c>
      <c r="C170" s="367">
        <v>0.14099999999999999</v>
      </c>
      <c r="D170" s="367">
        <v>0.13</v>
      </c>
      <c r="E170" s="367">
        <v>0.125</v>
      </c>
      <c r="F170" s="372"/>
    </row>
    <row r="171" spans="1:6">
      <c r="A171" s="280" t="s">
        <v>1763</v>
      </c>
      <c r="B171" s="285" t="s">
        <v>1777</v>
      </c>
      <c r="C171" s="367">
        <v>0.127</v>
      </c>
      <c r="D171" s="367">
        <v>0.126</v>
      </c>
      <c r="E171" s="367">
        <v>0.126</v>
      </c>
      <c r="F171" s="368">
        <v>0.11799999999999999</v>
      </c>
    </row>
    <row r="172" spans="1:6">
      <c r="A172" s="280" t="s">
        <v>1763</v>
      </c>
      <c r="B172" s="285" t="s">
        <v>1778</v>
      </c>
      <c r="C172" s="367">
        <v>0.13</v>
      </c>
      <c r="D172" s="367">
        <v>0.13</v>
      </c>
      <c r="E172" s="367">
        <v>0.13</v>
      </c>
      <c r="F172" s="372"/>
    </row>
    <row r="173" spans="1:6">
      <c r="A173" s="280" t="s">
        <v>1763</v>
      </c>
      <c r="B173" s="285" t="s">
        <v>1779</v>
      </c>
      <c r="C173" s="367">
        <v>0.13</v>
      </c>
      <c r="D173" s="367">
        <v>0.13</v>
      </c>
      <c r="E173" s="367">
        <v>0.13</v>
      </c>
      <c r="F173" s="372"/>
    </row>
    <row r="174" spans="1:6">
      <c r="A174" s="280" t="s">
        <v>1763</v>
      </c>
      <c r="B174" s="285" t="s">
        <v>1780</v>
      </c>
      <c r="C174" s="367">
        <v>0.13</v>
      </c>
      <c r="D174" s="367">
        <v>0.13</v>
      </c>
      <c r="E174" s="367">
        <v>0.13</v>
      </c>
      <c r="F174" s="368">
        <v>0.13</v>
      </c>
    </row>
    <row r="175" spans="1:6">
      <c r="A175" s="280" t="s">
        <v>1763</v>
      </c>
      <c r="B175" s="285" t="s">
        <v>1781</v>
      </c>
      <c r="C175" s="367">
        <v>0.13</v>
      </c>
      <c r="D175" s="367">
        <v>0.13</v>
      </c>
      <c r="E175" s="367">
        <v>0.13</v>
      </c>
      <c r="F175" s="368">
        <v>0.13</v>
      </c>
    </row>
    <row r="176" spans="1:6">
      <c r="A176" s="280" t="s">
        <v>1763</v>
      </c>
      <c r="B176" s="285" t="s">
        <v>1782</v>
      </c>
      <c r="C176" s="367">
        <v>0.13</v>
      </c>
      <c r="D176" s="367">
        <v>0.13</v>
      </c>
      <c r="E176" s="367">
        <v>0.13</v>
      </c>
      <c r="F176" s="368">
        <v>0.13</v>
      </c>
    </row>
    <row r="177" spans="1:6">
      <c r="A177" s="280" t="s">
        <v>1763</v>
      </c>
      <c r="B177" s="285" t="s">
        <v>1783</v>
      </c>
      <c r="C177" s="367">
        <v>0.13</v>
      </c>
      <c r="D177" s="367">
        <v>0.13</v>
      </c>
      <c r="E177" s="367">
        <v>0.13</v>
      </c>
      <c r="F177" s="368">
        <v>0.13</v>
      </c>
    </row>
    <row r="178" spans="1:6">
      <c r="A178" s="280" t="s">
        <v>1763</v>
      </c>
      <c r="B178" s="285" t="s">
        <v>1784</v>
      </c>
      <c r="C178" s="367">
        <v>0.13</v>
      </c>
      <c r="D178" s="367">
        <v>0.13</v>
      </c>
      <c r="E178" s="367">
        <v>0.13</v>
      </c>
      <c r="F178" s="368">
        <v>0.127</v>
      </c>
    </row>
    <row r="179" spans="1:6">
      <c r="A179" s="280" t="s">
        <v>1763</v>
      </c>
      <c r="B179" s="285" t="s">
        <v>1785</v>
      </c>
      <c r="C179" s="367">
        <v>0.13</v>
      </c>
      <c r="D179" s="367">
        <v>0.13</v>
      </c>
      <c r="E179" s="367">
        <v>0.13</v>
      </c>
      <c r="F179" s="372"/>
    </row>
    <row r="180" spans="1:6">
      <c r="A180" s="280" t="s">
        <v>1763</v>
      </c>
      <c r="B180" s="285" t="s">
        <v>1786</v>
      </c>
      <c r="C180" s="367">
        <v>0.13</v>
      </c>
      <c r="D180" s="367">
        <v>0.13</v>
      </c>
      <c r="E180" s="367">
        <v>0.125</v>
      </c>
      <c r="F180" s="368">
        <v>0.13</v>
      </c>
    </row>
    <row r="181" spans="1:6">
      <c r="A181" s="280" t="s">
        <v>1763</v>
      </c>
      <c r="B181" s="285" t="s">
        <v>1787</v>
      </c>
      <c r="C181" s="367">
        <v>0.122</v>
      </c>
      <c r="D181" s="367">
        <v>0.123</v>
      </c>
      <c r="E181" s="367">
        <v>0.126</v>
      </c>
      <c r="F181" s="368">
        <v>0.121</v>
      </c>
    </row>
    <row r="182" spans="1:6">
      <c r="A182" s="280" t="s">
        <v>1763</v>
      </c>
      <c r="B182" s="285" t="s">
        <v>1788</v>
      </c>
      <c r="C182" s="367">
        <v>0.125</v>
      </c>
      <c r="D182" s="367">
        <v>0.125</v>
      </c>
      <c r="E182" s="367">
        <v>0.11700000000000001</v>
      </c>
      <c r="F182" s="368">
        <v>0.13</v>
      </c>
    </row>
    <row r="183" spans="1:6">
      <c r="A183" s="280" t="s">
        <v>1763</v>
      </c>
      <c r="B183" s="285" t="s">
        <v>1789</v>
      </c>
      <c r="C183" s="367">
        <v>0.127</v>
      </c>
      <c r="D183" s="367">
        <v>0.127</v>
      </c>
      <c r="E183" s="367">
        <v>0.128</v>
      </c>
      <c r="F183" s="372"/>
    </row>
    <row r="184" spans="1:6">
      <c r="A184" s="280" t="s">
        <v>1763</v>
      </c>
      <c r="B184" s="285" t="s">
        <v>1790</v>
      </c>
      <c r="C184" s="367">
        <v>0.125</v>
      </c>
      <c r="D184" s="367">
        <v>0.125</v>
      </c>
      <c r="E184" s="367">
        <v>0.127</v>
      </c>
      <c r="F184" s="372"/>
    </row>
    <row r="185" spans="1:6">
      <c r="A185" s="280" t="s">
        <v>1763</v>
      </c>
      <c r="B185" s="285" t="s">
        <v>1791</v>
      </c>
      <c r="C185" s="367">
        <v>0.127</v>
      </c>
      <c r="D185" s="367">
        <v>0.127</v>
      </c>
      <c r="E185" s="367">
        <v>0.128</v>
      </c>
      <c r="F185" s="368">
        <v>0.13</v>
      </c>
    </row>
    <row r="186" spans="1:6" ht="24">
      <c r="A186" s="280" t="s">
        <v>1763</v>
      </c>
      <c r="B186" s="285" t="s">
        <v>1792</v>
      </c>
      <c r="C186" s="373"/>
      <c r="D186" s="373"/>
      <c r="E186" s="373"/>
      <c r="F186" s="368">
        <v>0.05</v>
      </c>
    </row>
    <row r="187" spans="1:6">
      <c r="A187" s="280" t="s">
        <v>1763</v>
      </c>
      <c r="B187" s="285" t="s">
        <v>1793</v>
      </c>
      <c r="C187" s="373"/>
      <c r="D187" s="373"/>
      <c r="E187" s="373"/>
      <c r="F187" s="368">
        <v>0.05</v>
      </c>
    </row>
    <row r="188" spans="1:6">
      <c r="A188" s="280" t="s">
        <v>1763</v>
      </c>
      <c r="B188" s="285" t="s">
        <v>1794</v>
      </c>
      <c r="C188" s="373"/>
      <c r="D188" s="373"/>
      <c r="E188" s="373"/>
      <c r="F188" s="368">
        <v>0.05</v>
      </c>
    </row>
    <row r="189" spans="1:6" ht="24">
      <c r="A189" s="280" t="s">
        <v>1763</v>
      </c>
      <c r="B189" s="285" t="s">
        <v>1795</v>
      </c>
      <c r="C189" s="373"/>
      <c r="D189" s="373"/>
      <c r="E189" s="373"/>
      <c r="F189" s="368">
        <v>0.05</v>
      </c>
    </row>
    <row r="190" spans="1:6" ht="24">
      <c r="A190" s="280" t="s">
        <v>1763</v>
      </c>
      <c r="B190" s="285" t="s">
        <v>1796</v>
      </c>
      <c r="C190" s="373"/>
      <c r="D190" s="373"/>
      <c r="E190" s="373"/>
      <c r="F190" s="368">
        <v>0.05</v>
      </c>
    </row>
    <row r="191" spans="1:6" ht="24">
      <c r="A191" s="280" t="s">
        <v>1763</v>
      </c>
      <c r="B191" s="285" t="s">
        <v>1797</v>
      </c>
      <c r="C191" s="373"/>
      <c r="D191" s="373"/>
      <c r="E191" s="373"/>
      <c r="F191" s="368">
        <v>0.05</v>
      </c>
    </row>
    <row r="192" spans="1:6" ht="24">
      <c r="A192" s="280" t="s">
        <v>1763</v>
      </c>
      <c r="B192" s="285" t="s">
        <v>1798</v>
      </c>
      <c r="C192" s="373"/>
      <c r="D192" s="373"/>
      <c r="E192" s="373"/>
      <c r="F192" s="368">
        <v>0.05</v>
      </c>
    </row>
    <row r="193" spans="1:6" ht="24">
      <c r="A193" s="280" t="s">
        <v>1763</v>
      </c>
      <c r="B193" s="285" t="s">
        <v>1799</v>
      </c>
      <c r="C193" s="373"/>
      <c r="D193" s="373"/>
      <c r="E193" s="373"/>
      <c r="F193" s="368">
        <v>0.05</v>
      </c>
    </row>
    <row r="194" spans="1:6" ht="24">
      <c r="A194" s="280" t="s">
        <v>1763</v>
      </c>
      <c r="B194" s="285" t="s">
        <v>1800</v>
      </c>
      <c r="C194" s="373"/>
      <c r="D194" s="373"/>
      <c r="E194" s="373"/>
      <c r="F194" s="368">
        <v>0.05</v>
      </c>
    </row>
    <row r="195" spans="1:6">
      <c r="A195" s="280" t="s">
        <v>1763</v>
      </c>
      <c r="B195" s="285" t="s">
        <v>1801</v>
      </c>
      <c r="C195" s="373"/>
      <c r="D195" s="373"/>
      <c r="E195" s="373"/>
      <c r="F195" s="368">
        <v>0.05</v>
      </c>
    </row>
    <row r="196" spans="1:6" ht="24">
      <c r="A196" s="280" t="s">
        <v>1763</v>
      </c>
      <c r="B196" s="285" t="s">
        <v>1802</v>
      </c>
      <c r="C196" s="373"/>
      <c r="D196" s="373"/>
      <c r="E196" s="373"/>
      <c r="F196" s="368">
        <v>0.05</v>
      </c>
    </row>
    <row r="197" spans="1:6" ht="24">
      <c r="A197" s="280" t="s">
        <v>1763</v>
      </c>
      <c r="B197" s="285" t="s">
        <v>1803</v>
      </c>
      <c r="C197" s="373"/>
      <c r="D197" s="373"/>
      <c r="E197" s="373"/>
      <c r="F197" s="368">
        <v>0.05</v>
      </c>
    </row>
    <row r="198" spans="1:6" ht="24">
      <c r="A198" s="280" t="s">
        <v>1763</v>
      </c>
      <c r="B198" s="285" t="s">
        <v>1804</v>
      </c>
      <c r="C198" s="373"/>
      <c r="D198" s="373"/>
      <c r="E198" s="373"/>
      <c r="F198" s="368">
        <v>0.05</v>
      </c>
    </row>
    <row r="199" spans="1:6" ht="24">
      <c r="A199" s="280" t="s">
        <v>1763</v>
      </c>
      <c r="B199" s="285" t="s">
        <v>1805</v>
      </c>
      <c r="C199" s="373"/>
      <c r="D199" s="373"/>
      <c r="E199" s="373"/>
      <c r="F199" s="368">
        <v>0.05</v>
      </c>
    </row>
    <row r="200" spans="1:6" ht="24">
      <c r="A200" s="280" t="s">
        <v>1763</v>
      </c>
      <c r="B200" s="285" t="s">
        <v>1806</v>
      </c>
      <c r="C200" s="373"/>
      <c r="D200" s="373"/>
      <c r="E200" s="373"/>
      <c r="F200" s="368">
        <v>0.05</v>
      </c>
    </row>
    <row r="201" spans="1:6" ht="24">
      <c r="A201" s="280" t="s">
        <v>1763</v>
      </c>
      <c r="B201" s="285" t="s">
        <v>1807</v>
      </c>
      <c r="C201" s="373"/>
      <c r="D201" s="373"/>
      <c r="E201" s="373"/>
      <c r="F201" s="368">
        <v>0.05</v>
      </c>
    </row>
    <row r="202" spans="1:6" ht="24">
      <c r="A202" s="280" t="s">
        <v>1763</v>
      </c>
      <c r="B202" s="285" t="s">
        <v>1808</v>
      </c>
      <c r="C202" s="373"/>
      <c r="D202" s="373"/>
      <c r="E202" s="373"/>
      <c r="F202" s="368">
        <v>0.05</v>
      </c>
    </row>
    <row r="203" spans="1:6" ht="24">
      <c r="A203" s="280" t="s">
        <v>1763</v>
      </c>
      <c r="B203" s="285" t="s">
        <v>1809</v>
      </c>
      <c r="C203" s="373"/>
      <c r="D203" s="373"/>
      <c r="E203" s="373"/>
      <c r="F203" s="368">
        <v>0.05</v>
      </c>
    </row>
    <row r="204" spans="1:6">
      <c r="A204" s="280" t="s">
        <v>1763</v>
      </c>
      <c r="B204" s="285" t="s">
        <v>1810</v>
      </c>
      <c r="C204" s="373"/>
      <c r="D204" s="373"/>
      <c r="E204" s="373"/>
      <c r="F204" s="368">
        <v>0.05</v>
      </c>
    </row>
    <row r="205" spans="1:6">
      <c r="A205" s="298" t="s">
        <v>1763</v>
      </c>
      <c r="B205" s="291" t="s">
        <v>1811</v>
      </c>
      <c r="C205" s="370"/>
      <c r="D205" s="370"/>
      <c r="E205" s="370"/>
      <c r="F205" s="374">
        <v>0.05</v>
      </c>
    </row>
    <row r="206" spans="1:6">
      <c r="A206" s="280" t="s">
        <v>1812</v>
      </c>
      <c r="B206" s="281" t="s">
        <v>1813</v>
      </c>
      <c r="C206" s="365">
        <v>0.15</v>
      </c>
      <c r="D206" s="365">
        <v>0.15</v>
      </c>
      <c r="E206" s="365">
        <v>0.15</v>
      </c>
      <c r="F206" s="366">
        <v>0.15</v>
      </c>
    </row>
    <row r="207" spans="1:6">
      <c r="A207" s="280" t="s">
        <v>1812</v>
      </c>
      <c r="B207" s="285" t="s">
        <v>1814</v>
      </c>
      <c r="C207" s="367">
        <v>0.15</v>
      </c>
      <c r="D207" s="367">
        <v>0.15</v>
      </c>
      <c r="E207" s="367">
        <v>0.15</v>
      </c>
      <c r="F207" s="368">
        <v>0.14399999999999999</v>
      </c>
    </row>
    <row r="208" spans="1:6">
      <c r="A208" s="280" t="s">
        <v>1812</v>
      </c>
      <c r="B208" s="285" t="s">
        <v>1815</v>
      </c>
      <c r="C208" s="367">
        <v>0.15</v>
      </c>
      <c r="D208" s="367">
        <v>0.15</v>
      </c>
      <c r="E208" s="367">
        <v>0.15</v>
      </c>
      <c r="F208" s="368">
        <v>0.15</v>
      </c>
    </row>
    <row r="209" spans="1:6">
      <c r="A209" s="280" t="s">
        <v>1812</v>
      </c>
      <c r="B209" s="285" t="s">
        <v>1816</v>
      </c>
      <c r="C209" s="367">
        <v>0.13700000000000001</v>
      </c>
      <c r="D209" s="367">
        <v>0.13700000000000001</v>
      </c>
      <c r="E209" s="367">
        <v>0.14000000000000001</v>
      </c>
      <c r="F209" s="368">
        <v>0.11700000000000001</v>
      </c>
    </row>
    <row r="210" spans="1:6">
      <c r="A210" s="280" t="s">
        <v>1812</v>
      </c>
      <c r="B210" s="285" t="s">
        <v>1817</v>
      </c>
      <c r="C210" s="367">
        <v>0.15</v>
      </c>
      <c r="D210" s="367">
        <v>0.15</v>
      </c>
      <c r="E210" s="367">
        <v>0.15</v>
      </c>
      <c r="F210" s="368">
        <v>0.13800000000000001</v>
      </c>
    </row>
    <row r="211" spans="1:6">
      <c r="A211" s="280" t="s">
        <v>1812</v>
      </c>
      <c r="B211" s="285" t="s">
        <v>1818</v>
      </c>
      <c r="C211" s="367">
        <v>0.13700000000000001</v>
      </c>
      <c r="D211" s="367">
        <v>0.13500000000000001</v>
      </c>
      <c r="E211" s="367">
        <v>0.13600000000000001</v>
      </c>
      <c r="F211" s="368">
        <v>0.1</v>
      </c>
    </row>
    <row r="212" spans="1:6">
      <c r="A212" s="280" t="s">
        <v>1812</v>
      </c>
      <c r="B212" s="285" t="s">
        <v>1819</v>
      </c>
      <c r="C212" s="367">
        <v>0.15</v>
      </c>
      <c r="D212" s="367">
        <v>0.15</v>
      </c>
      <c r="E212" s="367">
        <v>0.14799999999999999</v>
      </c>
      <c r="F212" s="368">
        <v>0.13600000000000001</v>
      </c>
    </row>
    <row r="213" spans="1:6">
      <c r="A213" s="280" t="s">
        <v>1812</v>
      </c>
      <c r="B213" s="285" t="s">
        <v>1820</v>
      </c>
      <c r="C213" s="367">
        <v>0.15</v>
      </c>
      <c r="D213" s="367">
        <v>0.15</v>
      </c>
      <c r="E213" s="367">
        <v>0.15</v>
      </c>
      <c r="F213" s="368">
        <v>0.13800000000000001</v>
      </c>
    </row>
    <row r="214" spans="1:6">
      <c r="A214" s="280" t="s">
        <v>1812</v>
      </c>
      <c r="B214" s="285" t="s">
        <v>1821</v>
      </c>
      <c r="C214" s="367">
        <v>9.0999999999999998E-2</v>
      </c>
      <c r="D214" s="367">
        <v>0.09</v>
      </c>
      <c r="E214" s="367">
        <v>9.1999999999999998E-2</v>
      </c>
      <c r="F214" s="372"/>
    </row>
    <row r="215" spans="1:6">
      <c r="A215" s="280" t="s">
        <v>1812</v>
      </c>
      <c r="B215" s="285" t="s">
        <v>1822</v>
      </c>
      <c r="C215" s="367">
        <v>0.15</v>
      </c>
      <c r="D215" s="367">
        <v>0.15</v>
      </c>
      <c r="E215" s="367">
        <v>0.15</v>
      </c>
      <c r="F215" s="368">
        <v>0.15</v>
      </c>
    </row>
    <row r="216" spans="1:6">
      <c r="A216" s="280" t="s">
        <v>1812</v>
      </c>
      <c r="B216" s="285" t="s">
        <v>1823</v>
      </c>
      <c r="C216" s="367">
        <v>0.14699999999999999</v>
      </c>
      <c r="D216" s="367">
        <v>0.14699999999999999</v>
      </c>
      <c r="E216" s="367">
        <v>0.15</v>
      </c>
      <c r="F216" s="368">
        <v>0.14000000000000001</v>
      </c>
    </row>
    <row r="217" spans="1:6">
      <c r="A217" s="280" t="s">
        <v>1812</v>
      </c>
      <c r="B217" s="285" t="s">
        <v>1824</v>
      </c>
      <c r="C217" s="367">
        <v>0.15</v>
      </c>
      <c r="D217" s="367">
        <v>0.15</v>
      </c>
      <c r="E217" s="367">
        <v>0.15</v>
      </c>
      <c r="F217" s="368">
        <v>0.15</v>
      </c>
    </row>
    <row r="218" spans="1:6">
      <c r="A218" s="280" t="s">
        <v>1812</v>
      </c>
      <c r="B218" s="285" t="s">
        <v>1825</v>
      </c>
      <c r="C218" s="367">
        <v>0.15</v>
      </c>
      <c r="D218" s="367">
        <v>0.15</v>
      </c>
      <c r="E218" s="367">
        <v>0.15</v>
      </c>
      <c r="F218" s="368">
        <v>0.15</v>
      </c>
    </row>
    <row r="219" spans="1:6">
      <c r="A219" s="280" t="s">
        <v>1812</v>
      </c>
      <c r="B219" s="285" t="s">
        <v>1826</v>
      </c>
      <c r="C219" s="367">
        <v>0.15</v>
      </c>
      <c r="D219" s="367">
        <v>0.15</v>
      </c>
      <c r="E219" s="367">
        <v>0.15</v>
      </c>
      <c r="F219" s="368">
        <v>0.14799999999999999</v>
      </c>
    </row>
    <row r="220" spans="1:6">
      <c r="A220" s="280" t="s">
        <v>1812</v>
      </c>
      <c r="B220" s="285" t="s">
        <v>1827</v>
      </c>
      <c r="C220" s="367">
        <v>0.15</v>
      </c>
      <c r="D220" s="367">
        <v>0.15</v>
      </c>
      <c r="E220" s="367">
        <v>0.15</v>
      </c>
      <c r="F220" s="368">
        <v>0.15</v>
      </c>
    </row>
    <row r="221" spans="1:6">
      <c r="A221" s="280" t="s">
        <v>1812</v>
      </c>
      <c r="B221" s="285" t="s">
        <v>1828</v>
      </c>
      <c r="C221" s="367"/>
      <c r="D221" s="373"/>
      <c r="E221" s="373"/>
      <c r="F221" s="368">
        <v>0.14799999999999999</v>
      </c>
    </row>
    <row r="222" spans="1:6">
      <c r="A222" s="280" t="s">
        <v>1812</v>
      </c>
      <c r="B222" s="285" t="s">
        <v>1829</v>
      </c>
      <c r="C222" s="367"/>
      <c r="D222" s="373"/>
      <c r="E222" s="373"/>
      <c r="F222" s="368">
        <v>0.1</v>
      </c>
    </row>
    <row r="223" spans="1:6">
      <c r="A223" s="280" t="s">
        <v>1812</v>
      </c>
      <c r="B223" s="285" t="s">
        <v>1830</v>
      </c>
      <c r="C223" s="367"/>
      <c r="D223" s="373"/>
      <c r="E223" s="373"/>
      <c r="F223" s="368">
        <v>0.15</v>
      </c>
    </row>
    <row r="224" spans="1:6">
      <c r="A224" s="280" t="s">
        <v>1812</v>
      </c>
      <c r="B224" s="285" t="s">
        <v>1831</v>
      </c>
      <c r="C224" s="367"/>
      <c r="D224" s="373"/>
      <c r="E224" s="373"/>
      <c r="F224" s="368">
        <v>0.15</v>
      </c>
    </row>
    <row r="225" spans="1:6">
      <c r="A225" s="280" t="s">
        <v>1812</v>
      </c>
      <c r="B225" s="285" t="s">
        <v>1832</v>
      </c>
      <c r="C225" s="367">
        <v>0.15</v>
      </c>
      <c r="D225" s="367">
        <v>0.15</v>
      </c>
      <c r="E225" s="367">
        <v>0.15</v>
      </c>
      <c r="F225" s="368">
        <v>0.15</v>
      </c>
    </row>
    <row r="226" spans="1:6">
      <c r="A226" s="280" t="s">
        <v>1812</v>
      </c>
      <c r="B226" s="285" t="s">
        <v>1833</v>
      </c>
      <c r="C226" s="367">
        <v>0.15</v>
      </c>
      <c r="D226" s="367">
        <v>0.15</v>
      </c>
      <c r="E226" s="367">
        <v>0.15</v>
      </c>
      <c r="F226" s="368">
        <v>0.14799999999999999</v>
      </c>
    </row>
    <row r="227" spans="1:6">
      <c r="A227" s="280" t="s">
        <v>1812</v>
      </c>
      <c r="B227" s="285" t="s">
        <v>1834</v>
      </c>
      <c r="C227" s="367">
        <v>0.15</v>
      </c>
      <c r="D227" s="367">
        <v>0.15</v>
      </c>
      <c r="E227" s="367">
        <v>0.15</v>
      </c>
      <c r="F227" s="368">
        <v>0.15</v>
      </c>
    </row>
    <row r="228" spans="1:6">
      <c r="A228" s="280" t="s">
        <v>1812</v>
      </c>
      <c r="B228" s="285" t="s">
        <v>1835</v>
      </c>
      <c r="C228" s="367">
        <v>0.15</v>
      </c>
      <c r="D228" s="367">
        <v>0.15</v>
      </c>
      <c r="E228" s="367">
        <v>0.15</v>
      </c>
      <c r="F228" s="368">
        <v>0.15</v>
      </c>
    </row>
    <row r="229" spans="1:6">
      <c r="A229" s="280" t="s">
        <v>1812</v>
      </c>
      <c r="B229" s="285" t="s">
        <v>1836</v>
      </c>
      <c r="C229" s="367">
        <v>0.15</v>
      </c>
      <c r="D229" s="367">
        <v>0.15</v>
      </c>
      <c r="E229" s="367">
        <v>0.15</v>
      </c>
      <c r="F229" s="372"/>
    </row>
    <row r="230" spans="1:6">
      <c r="A230" s="280" t="s">
        <v>1812</v>
      </c>
      <c r="B230" s="285" t="s">
        <v>1837</v>
      </c>
      <c r="C230" s="367">
        <v>0.14499999999999999</v>
      </c>
      <c r="D230" s="367">
        <v>0.14499999999999999</v>
      </c>
      <c r="E230" s="367">
        <v>0.14399999999999999</v>
      </c>
      <c r="F230" s="372"/>
    </row>
    <row r="231" spans="1:6">
      <c r="A231" s="280" t="s">
        <v>1812</v>
      </c>
      <c r="B231" s="285" t="s">
        <v>1838</v>
      </c>
      <c r="C231" s="367">
        <v>0.128</v>
      </c>
      <c r="D231" s="367">
        <v>0.125</v>
      </c>
      <c r="E231" s="367">
        <v>0.13200000000000001</v>
      </c>
      <c r="F231" s="372"/>
    </row>
    <row r="232" spans="1:6">
      <c r="A232" s="280" t="s">
        <v>1812</v>
      </c>
      <c r="B232" s="285" t="s">
        <v>1839</v>
      </c>
      <c r="C232" s="367">
        <v>0.14499999999999999</v>
      </c>
      <c r="D232" s="367">
        <v>0.14399999999999999</v>
      </c>
      <c r="E232" s="367">
        <v>0.14599999999999999</v>
      </c>
      <c r="F232" s="368">
        <v>0.13800000000000001</v>
      </c>
    </row>
    <row r="233" spans="1:6">
      <c r="A233" s="280" t="s">
        <v>1812</v>
      </c>
      <c r="B233" s="285" t="s">
        <v>1840</v>
      </c>
      <c r="C233" s="367">
        <v>0.14499999999999999</v>
      </c>
      <c r="D233" s="367">
        <v>0.14299999999999999</v>
      </c>
      <c r="E233" s="367">
        <v>0.14199999999999999</v>
      </c>
      <c r="F233" s="372"/>
    </row>
    <row r="234" spans="1:6">
      <c r="A234" s="280" t="s">
        <v>1812</v>
      </c>
      <c r="B234" s="285" t="s">
        <v>1841</v>
      </c>
      <c r="C234" s="367">
        <v>0.14000000000000001</v>
      </c>
      <c r="D234" s="367">
        <v>0.14000000000000001</v>
      </c>
      <c r="E234" s="367">
        <v>0.14399999999999999</v>
      </c>
      <c r="F234" s="372"/>
    </row>
    <row r="235" spans="1:6">
      <c r="A235" s="280" t="s">
        <v>1812</v>
      </c>
      <c r="B235" s="285" t="s">
        <v>1842</v>
      </c>
      <c r="C235" s="367">
        <v>0.14099999999999999</v>
      </c>
      <c r="D235" s="367">
        <v>0.14199999999999999</v>
      </c>
      <c r="E235" s="367">
        <v>0.14499999999999999</v>
      </c>
      <c r="F235" s="368">
        <v>0.15</v>
      </c>
    </row>
    <row r="236" spans="1:6">
      <c r="A236" s="280" t="s">
        <v>1812</v>
      </c>
      <c r="B236" s="285" t="s">
        <v>1843</v>
      </c>
      <c r="C236" s="373"/>
      <c r="D236" s="373"/>
      <c r="E236" s="373"/>
      <c r="F236" s="368">
        <v>0.14299999999999999</v>
      </c>
    </row>
    <row r="237" spans="1:6" ht="24">
      <c r="A237" s="280" t="s">
        <v>1812</v>
      </c>
      <c r="B237" s="285" t="s">
        <v>1844</v>
      </c>
      <c r="C237" s="373"/>
      <c r="D237" s="373"/>
      <c r="E237" s="373"/>
      <c r="F237" s="368">
        <v>0.05</v>
      </c>
    </row>
    <row r="238" spans="1:6" ht="24">
      <c r="A238" s="280" t="s">
        <v>1812</v>
      </c>
      <c r="B238" s="285" t="s">
        <v>1845</v>
      </c>
      <c r="C238" s="373"/>
      <c r="D238" s="373"/>
      <c r="E238" s="373"/>
      <c r="F238" s="368">
        <v>0.05</v>
      </c>
    </row>
    <row r="239" spans="1:6" ht="24">
      <c r="A239" s="280" t="s">
        <v>1812</v>
      </c>
      <c r="B239" s="285" t="s">
        <v>1846</v>
      </c>
      <c r="C239" s="373"/>
      <c r="D239" s="373"/>
      <c r="E239" s="373"/>
      <c r="F239" s="368">
        <v>0.05</v>
      </c>
    </row>
    <row r="240" spans="1:6" ht="24">
      <c r="A240" s="280" t="s">
        <v>1812</v>
      </c>
      <c r="B240" s="285" t="s">
        <v>1847</v>
      </c>
      <c r="C240" s="373"/>
      <c r="D240" s="373"/>
      <c r="E240" s="373"/>
      <c r="F240" s="368">
        <v>0.05</v>
      </c>
    </row>
    <row r="241" spans="1:6" ht="24">
      <c r="A241" s="280" t="s">
        <v>1812</v>
      </c>
      <c r="B241" s="285" t="s">
        <v>1848</v>
      </c>
      <c r="C241" s="373"/>
      <c r="D241" s="373"/>
      <c r="E241" s="373"/>
      <c r="F241" s="368">
        <v>0.05</v>
      </c>
    </row>
    <row r="242" spans="1:6" ht="24">
      <c r="A242" s="280" t="s">
        <v>1812</v>
      </c>
      <c r="B242" s="285" t="s">
        <v>1849</v>
      </c>
      <c r="C242" s="373"/>
      <c r="D242" s="373"/>
      <c r="E242" s="373"/>
      <c r="F242" s="368">
        <v>0.05</v>
      </c>
    </row>
    <row r="243" spans="1:6" ht="24">
      <c r="A243" s="280" t="s">
        <v>1812</v>
      </c>
      <c r="B243" s="285" t="s">
        <v>1850</v>
      </c>
      <c r="C243" s="373"/>
      <c r="D243" s="373"/>
      <c r="E243" s="373"/>
      <c r="F243" s="368">
        <v>0.05</v>
      </c>
    </row>
    <row r="244" spans="1:6" ht="24">
      <c r="A244" s="298" t="s">
        <v>1812</v>
      </c>
      <c r="B244" s="291" t="s">
        <v>1851</v>
      </c>
      <c r="C244" s="370"/>
      <c r="D244" s="370"/>
      <c r="E244" s="370"/>
      <c r="F244" s="374">
        <v>0.05</v>
      </c>
    </row>
    <row r="245" spans="1:6">
      <c r="A245" s="280" t="s">
        <v>1852</v>
      </c>
      <c r="B245" s="281" t="s">
        <v>1853</v>
      </c>
      <c r="C245" s="365">
        <v>0.15</v>
      </c>
      <c r="D245" s="365">
        <v>0.15</v>
      </c>
      <c r="E245" s="365">
        <v>0.15</v>
      </c>
      <c r="F245" s="366">
        <v>0.14299999999999999</v>
      </c>
    </row>
    <row r="246" spans="1:6">
      <c r="A246" s="280" t="s">
        <v>1852</v>
      </c>
      <c r="B246" s="285" t="s">
        <v>1854</v>
      </c>
      <c r="C246" s="367">
        <v>0.15</v>
      </c>
      <c r="D246" s="367">
        <v>0.15</v>
      </c>
      <c r="E246" s="367">
        <v>0.15</v>
      </c>
      <c r="F246" s="368">
        <v>0.114</v>
      </c>
    </row>
    <row r="247" spans="1:6">
      <c r="A247" s="280" t="s">
        <v>1852</v>
      </c>
      <c r="B247" s="285" t="s">
        <v>1855</v>
      </c>
      <c r="C247" s="367">
        <v>0.15</v>
      </c>
      <c r="D247" s="367">
        <v>0.15</v>
      </c>
      <c r="E247" s="367">
        <v>0.15</v>
      </c>
      <c r="F247" s="368">
        <v>0.15</v>
      </c>
    </row>
    <row r="248" spans="1:6">
      <c r="A248" s="280" t="s">
        <v>1852</v>
      </c>
      <c r="B248" s="285" t="s">
        <v>1856</v>
      </c>
      <c r="C248" s="367">
        <v>0.15</v>
      </c>
      <c r="D248" s="367">
        <v>0.15</v>
      </c>
      <c r="E248" s="367">
        <v>0.15</v>
      </c>
      <c r="F248" s="368">
        <v>0.14000000000000001</v>
      </c>
    </row>
    <row r="249" spans="1:6">
      <c r="A249" s="280" t="s">
        <v>1852</v>
      </c>
      <c r="B249" s="285" t="s">
        <v>1857</v>
      </c>
      <c r="C249" s="367">
        <v>0.15</v>
      </c>
      <c r="D249" s="367">
        <v>0.14899999999999999</v>
      </c>
      <c r="E249" s="367">
        <v>0.15</v>
      </c>
      <c r="F249" s="368">
        <v>0.1</v>
      </c>
    </row>
    <row r="250" spans="1:6">
      <c r="A250" s="280" t="s">
        <v>1852</v>
      </c>
      <c r="B250" s="285" t="s">
        <v>1858</v>
      </c>
      <c r="C250" s="367">
        <v>0.15</v>
      </c>
      <c r="D250" s="367">
        <v>0.15</v>
      </c>
      <c r="E250" s="367">
        <v>0.15</v>
      </c>
      <c r="F250" s="368">
        <v>0.14399999999999999</v>
      </c>
    </row>
    <row r="251" spans="1:6">
      <c r="A251" s="280" t="s">
        <v>1852</v>
      </c>
      <c r="B251" s="285" t="s">
        <v>1859</v>
      </c>
      <c r="C251" s="367">
        <v>0.15</v>
      </c>
      <c r="D251" s="367">
        <v>0.15</v>
      </c>
      <c r="E251" s="367">
        <v>0.15</v>
      </c>
      <c r="F251" s="368">
        <v>0.14299999999999999</v>
      </c>
    </row>
    <row r="252" spans="1:6">
      <c r="A252" s="280" t="s">
        <v>1852</v>
      </c>
      <c r="B252" s="285" t="s">
        <v>1860</v>
      </c>
      <c r="C252" s="367">
        <v>0.15</v>
      </c>
      <c r="D252" s="367">
        <v>0.15</v>
      </c>
      <c r="E252" s="367">
        <v>0.15</v>
      </c>
      <c r="F252" s="368">
        <v>0.1</v>
      </c>
    </row>
    <row r="253" spans="1:6">
      <c r="A253" s="280" t="s">
        <v>1852</v>
      </c>
      <c r="B253" s="285" t="s">
        <v>1861</v>
      </c>
      <c r="C253" s="367">
        <v>0.15</v>
      </c>
      <c r="D253" s="367">
        <v>0.15</v>
      </c>
      <c r="E253" s="367">
        <v>0.15</v>
      </c>
      <c r="F253" s="368">
        <v>0.1</v>
      </c>
    </row>
    <row r="254" spans="1:6">
      <c r="A254" s="280" t="s">
        <v>1852</v>
      </c>
      <c r="B254" s="285" t="s">
        <v>1862</v>
      </c>
      <c r="C254" s="373"/>
      <c r="D254" s="373"/>
      <c r="E254" s="373"/>
      <c r="F254" s="368">
        <v>0.15</v>
      </c>
    </row>
    <row r="255" spans="1:6">
      <c r="A255" s="280" t="s">
        <v>1852</v>
      </c>
      <c r="B255" s="285" t="s">
        <v>1863</v>
      </c>
      <c r="C255" s="373"/>
      <c r="D255" s="373"/>
      <c r="E255" s="373"/>
      <c r="F255" s="368">
        <v>0.14299999999999999</v>
      </c>
    </row>
    <row r="256" spans="1:6">
      <c r="A256" s="280" t="s">
        <v>1852</v>
      </c>
      <c r="B256" s="285" t="s">
        <v>1864</v>
      </c>
      <c r="C256" s="367">
        <v>0.14599999999999999</v>
      </c>
      <c r="D256" s="367">
        <v>0.14699999999999999</v>
      </c>
      <c r="E256" s="367">
        <v>0.15</v>
      </c>
      <c r="F256" s="368">
        <v>0.13200000000000001</v>
      </c>
    </row>
    <row r="257" spans="1:6">
      <c r="A257" s="280" t="s">
        <v>1852</v>
      </c>
      <c r="B257" s="285" t="s">
        <v>1865</v>
      </c>
      <c r="C257" s="367">
        <v>0.15</v>
      </c>
      <c r="D257" s="367">
        <v>0.15</v>
      </c>
      <c r="E257" s="367">
        <v>0.15</v>
      </c>
      <c r="F257" s="368">
        <v>0.13900000000000001</v>
      </c>
    </row>
    <row r="258" spans="1:6">
      <c r="A258" s="280" t="s">
        <v>1852</v>
      </c>
      <c r="B258" s="285" t="s">
        <v>1866</v>
      </c>
      <c r="C258" s="367">
        <v>0.15</v>
      </c>
      <c r="D258" s="367">
        <v>0.15</v>
      </c>
      <c r="E258" s="367">
        <v>0.15</v>
      </c>
      <c r="F258" s="368">
        <v>0.13</v>
      </c>
    </row>
    <row r="259" spans="1:6">
      <c r="A259" s="280" t="s">
        <v>1852</v>
      </c>
      <c r="B259" s="285" t="s">
        <v>1867</v>
      </c>
      <c r="C259" s="367">
        <v>0.14799999999999999</v>
      </c>
      <c r="D259" s="367">
        <v>0.14899999999999999</v>
      </c>
      <c r="E259" s="367">
        <v>0.15</v>
      </c>
      <c r="F259" s="368">
        <v>0.13700000000000001</v>
      </c>
    </row>
    <row r="260" spans="1:6">
      <c r="A260" s="280" t="s">
        <v>1852</v>
      </c>
      <c r="B260" s="285" t="s">
        <v>1868</v>
      </c>
      <c r="C260" s="367">
        <v>0.15</v>
      </c>
      <c r="D260" s="367">
        <v>0.15</v>
      </c>
      <c r="E260" s="367">
        <v>0.15</v>
      </c>
      <c r="F260" s="368">
        <v>0.14199999999999999</v>
      </c>
    </row>
    <row r="261" spans="1:6">
      <c r="A261" s="280" t="s">
        <v>1852</v>
      </c>
      <c r="B261" s="285" t="s">
        <v>1869</v>
      </c>
      <c r="C261" s="367">
        <v>0.15</v>
      </c>
      <c r="D261" s="367">
        <v>0.15</v>
      </c>
      <c r="E261" s="367">
        <v>0.14899999999999999</v>
      </c>
      <c r="F261" s="368">
        <v>0.14799999999999999</v>
      </c>
    </row>
    <row r="262" spans="1:6">
      <c r="A262" s="280" t="s">
        <v>1852</v>
      </c>
      <c r="B262" s="285" t="s">
        <v>1870</v>
      </c>
      <c r="C262" s="367">
        <v>0.15</v>
      </c>
      <c r="D262" s="367">
        <v>0.15</v>
      </c>
      <c r="E262" s="367">
        <v>0.15</v>
      </c>
      <c r="F262" s="372"/>
    </row>
    <row r="263" spans="1:6">
      <c r="A263" s="280" t="s">
        <v>1852</v>
      </c>
      <c r="B263" s="285" t="s">
        <v>1871</v>
      </c>
      <c r="C263" s="367">
        <v>0.14899999999999999</v>
      </c>
      <c r="D263" s="367">
        <v>0.14899999999999999</v>
      </c>
      <c r="E263" s="367">
        <v>0.15</v>
      </c>
      <c r="F263" s="368">
        <v>0.13</v>
      </c>
    </row>
    <row r="264" spans="1:6">
      <c r="A264" s="280" t="s">
        <v>1852</v>
      </c>
      <c r="B264" s="285" t="s">
        <v>1872</v>
      </c>
      <c r="C264" s="367">
        <v>0.14799999999999999</v>
      </c>
      <c r="D264" s="367">
        <v>0.14699999999999999</v>
      </c>
      <c r="E264" s="367">
        <v>0.15</v>
      </c>
      <c r="F264" s="368">
        <v>7.8E-2</v>
      </c>
    </row>
    <row r="265" spans="1:6">
      <c r="A265" s="280" t="s">
        <v>1852</v>
      </c>
      <c r="B265" s="285" t="s">
        <v>1873</v>
      </c>
      <c r="C265" s="367">
        <v>0.15</v>
      </c>
      <c r="D265" s="367">
        <v>0.15</v>
      </c>
      <c r="E265" s="367">
        <v>0.15</v>
      </c>
      <c r="F265" s="368">
        <v>7.3999999999999996E-2</v>
      </c>
    </row>
    <row r="266" spans="1:6">
      <c r="A266" s="280" t="s">
        <v>1852</v>
      </c>
      <c r="B266" s="285" t="s">
        <v>1874</v>
      </c>
      <c r="C266" s="367">
        <v>0.14699999999999999</v>
      </c>
      <c r="D266" s="367">
        <v>0.14699999999999999</v>
      </c>
      <c r="E266" s="367">
        <v>0.15</v>
      </c>
      <c r="F266" s="368">
        <v>0.14299999999999999</v>
      </c>
    </row>
    <row r="267" spans="1:6">
      <c r="A267" s="280" t="s">
        <v>1852</v>
      </c>
      <c r="B267" s="285" t="s">
        <v>1875</v>
      </c>
      <c r="C267" s="367">
        <v>0.14199999999999999</v>
      </c>
      <c r="D267" s="367">
        <v>0.14299999999999999</v>
      </c>
      <c r="E267" s="367">
        <v>0.15</v>
      </c>
      <c r="F267" s="372"/>
    </row>
    <row r="268" spans="1:6">
      <c r="A268" s="280" t="s">
        <v>1852</v>
      </c>
      <c r="B268" s="285" t="s">
        <v>1876</v>
      </c>
      <c r="C268" s="367">
        <v>0.15</v>
      </c>
      <c r="D268" s="367">
        <v>0.15</v>
      </c>
      <c r="E268" s="367">
        <v>0.15</v>
      </c>
      <c r="F268" s="368">
        <v>0.13</v>
      </c>
    </row>
    <row r="269" spans="1:6">
      <c r="A269" s="280" t="s">
        <v>1852</v>
      </c>
      <c r="B269" s="285" t="s">
        <v>1877</v>
      </c>
      <c r="C269" s="367">
        <v>0.15</v>
      </c>
      <c r="D269" s="367">
        <v>0.15</v>
      </c>
      <c r="E269" s="367">
        <v>0.15</v>
      </c>
      <c r="F269" s="368">
        <v>0.14299999999999999</v>
      </c>
    </row>
    <row r="270" spans="1:6">
      <c r="A270" s="280" t="s">
        <v>1852</v>
      </c>
      <c r="B270" s="285" t="s">
        <v>1878</v>
      </c>
      <c r="C270" s="367">
        <v>0.14499999999999999</v>
      </c>
      <c r="D270" s="367">
        <v>0.14499999999999999</v>
      </c>
      <c r="E270" s="367">
        <v>0.15</v>
      </c>
      <c r="F270" s="368">
        <v>0.14699999999999999</v>
      </c>
    </row>
    <row r="271" spans="1:6">
      <c r="A271" s="280" t="s">
        <v>1852</v>
      </c>
      <c r="B271" s="285" t="s">
        <v>1879</v>
      </c>
      <c r="C271" s="367">
        <v>0.15</v>
      </c>
      <c r="D271" s="367">
        <v>0.15</v>
      </c>
      <c r="E271" s="367">
        <v>0.15</v>
      </c>
      <c r="F271" s="368">
        <v>0.13800000000000001</v>
      </c>
    </row>
    <row r="272" spans="1:6">
      <c r="A272" s="280" t="s">
        <v>1852</v>
      </c>
      <c r="B272" s="285" t="s">
        <v>1880</v>
      </c>
      <c r="C272" s="373"/>
      <c r="D272" s="373"/>
      <c r="E272" s="373"/>
      <c r="F272" s="368">
        <v>0.14000000000000001</v>
      </c>
    </row>
    <row r="273" spans="1:6">
      <c r="A273" s="280" t="s">
        <v>1852</v>
      </c>
      <c r="B273" s="285" t="s">
        <v>1881</v>
      </c>
      <c r="C273" s="367">
        <v>0.14199999999999999</v>
      </c>
      <c r="D273" s="367">
        <v>0.14299999999999999</v>
      </c>
      <c r="E273" s="367">
        <v>0.15</v>
      </c>
      <c r="F273" s="368">
        <v>0.1</v>
      </c>
    </row>
    <row r="274" spans="1:6">
      <c r="A274" s="280" t="s">
        <v>1852</v>
      </c>
      <c r="B274" s="285" t="s">
        <v>1882</v>
      </c>
      <c r="C274" s="367">
        <v>0.14799999999999999</v>
      </c>
      <c r="D274" s="367">
        <v>0.14799999999999999</v>
      </c>
      <c r="E274" s="367">
        <v>0.15</v>
      </c>
      <c r="F274" s="368">
        <v>6.7000000000000004E-2</v>
      </c>
    </row>
    <row r="275" spans="1:6">
      <c r="A275" s="280" t="s">
        <v>1852</v>
      </c>
      <c r="B275" s="285" t="s">
        <v>1883</v>
      </c>
      <c r="C275" s="367">
        <v>0.15</v>
      </c>
      <c r="D275" s="367">
        <v>0.15</v>
      </c>
      <c r="E275" s="367">
        <v>0.15</v>
      </c>
      <c r="F275" s="368">
        <v>0.15</v>
      </c>
    </row>
    <row r="276" spans="1:6">
      <c r="A276" s="280" t="s">
        <v>1852</v>
      </c>
      <c r="B276" s="285" t="s">
        <v>1884</v>
      </c>
      <c r="C276" s="367">
        <v>0.14499999999999999</v>
      </c>
      <c r="D276" s="367">
        <v>0.14299999999999999</v>
      </c>
      <c r="E276" s="367">
        <v>0.15</v>
      </c>
      <c r="F276" s="368">
        <v>5.8999999999999997E-2</v>
      </c>
    </row>
    <row r="277" spans="1:6">
      <c r="A277" s="280" t="s">
        <v>1852</v>
      </c>
      <c r="B277" s="285" t="s">
        <v>1885</v>
      </c>
      <c r="C277" s="367">
        <v>0.15</v>
      </c>
      <c r="D277" s="367">
        <v>0.15</v>
      </c>
      <c r="E277" s="367">
        <v>0.15</v>
      </c>
      <c r="F277" s="368">
        <v>0.121</v>
      </c>
    </row>
    <row r="278" spans="1:6">
      <c r="A278" s="280" t="s">
        <v>1852</v>
      </c>
      <c r="B278" s="285" t="s">
        <v>1886</v>
      </c>
      <c r="C278" s="367">
        <v>0.15</v>
      </c>
      <c r="D278" s="367">
        <v>0.15</v>
      </c>
      <c r="E278" s="367">
        <v>0.15</v>
      </c>
      <c r="F278" s="368">
        <v>0.13800000000000001</v>
      </c>
    </row>
    <row r="279" spans="1:6" ht="24">
      <c r="A279" s="280" t="s">
        <v>1852</v>
      </c>
      <c r="B279" s="285" t="s">
        <v>1887</v>
      </c>
      <c r="C279" s="373"/>
      <c r="D279" s="373"/>
      <c r="E279" s="373"/>
      <c r="F279" s="368">
        <v>0.05</v>
      </c>
    </row>
    <row r="280" spans="1:6" ht="24">
      <c r="A280" s="280" t="s">
        <v>1852</v>
      </c>
      <c r="B280" s="285" t="s">
        <v>1888</v>
      </c>
      <c r="C280" s="373"/>
      <c r="D280" s="373"/>
      <c r="E280" s="373"/>
      <c r="F280" s="368">
        <v>0.05</v>
      </c>
    </row>
    <row r="281" spans="1:6" ht="24">
      <c r="A281" s="280" t="s">
        <v>1852</v>
      </c>
      <c r="B281" s="285" t="s">
        <v>1889</v>
      </c>
      <c r="C281" s="373"/>
      <c r="D281" s="373"/>
      <c r="E281" s="373"/>
      <c r="F281" s="368">
        <v>0.05</v>
      </c>
    </row>
    <row r="282" spans="1:6" ht="24">
      <c r="A282" s="280" t="s">
        <v>1852</v>
      </c>
      <c r="B282" s="285" t="s">
        <v>1890</v>
      </c>
      <c r="C282" s="373"/>
      <c r="D282" s="373"/>
      <c r="E282" s="373"/>
      <c r="F282" s="368">
        <v>0.05</v>
      </c>
    </row>
    <row r="283" spans="1:6" ht="24">
      <c r="A283" s="280" t="s">
        <v>1852</v>
      </c>
      <c r="B283" s="285" t="s">
        <v>1891</v>
      </c>
      <c r="C283" s="373"/>
      <c r="D283" s="373"/>
      <c r="E283" s="373"/>
      <c r="F283" s="368">
        <v>0.05</v>
      </c>
    </row>
    <row r="284" spans="1:6" ht="24">
      <c r="A284" s="280" t="s">
        <v>1852</v>
      </c>
      <c r="B284" s="285" t="s">
        <v>1892</v>
      </c>
      <c r="C284" s="373"/>
      <c r="D284" s="373"/>
      <c r="E284" s="373"/>
      <c r="F284" s="368">
        <v>0.05</v>
      </c>
    </row>
    <row r="285" spans="1:6" ht="24">
      <c r="A285" s="280" t="s">
        <v>1852</v>
      </c>
      <c r="B285" s="285" t="s">
        <v>1893</v>
      </c>
      <c r="C285" s="373"/>
      <c r="D285" s="373"/>
      <c r="E285" s="373"/>
      <c r="F285" s="368">
        <v>0.05</v>
      </c>
    </row>
    <row r="286" spans="1:6" ht="24">
      <c r="A286" s="280" t="s">
        <v>1852</v>
      </c>
      <c r="B286" s="285" t="s">
        <v>1894</v>
      </c>
      <c r="C286" s="373"/>
      <c r="D286" s="373"/>
      <c r="E286" s="373"/>
      <c r="F286" s="368">
        <v>0.05</v>
      </c>
    </row>
    <row r="287" spans="1:6" ht="24">
      <c r="A287" s="280" t="s">
        <v>1852</v>
      </c>
      <c r="B287" s="285" t="s">
        <v>1895</v>
      </c>
      <c r="C287" s="373"/>
      <c r="D287" s="373"/>
      <c r="E287" s="373"/>
      <c r="F287" s="368">
        <v>0.05</v>
      </c>
    </row>
    <row r="288" spans="1:6" ht="24">
      <c r="A288" s="280" t="s">
        <v>1852</v>
      </c>
      <c r="B288" s="285" t="s">
        <v>1896</v>
      </c>
      <c r="C288" s="373"/>
      <c r="D288" s="373"/>
      <c r="E288" s="373"/>
      <c r="F288" s="368">
        <v>0.05</v>
      </c>
    </row>
    <row r="289" spans="1:6" ht="24">
      <c r="A289" s="298" t="s">
        <v>1852</v>
      </c>
      <c r="B289" s="291" t="s">
        <v>1897</v>
      </c>
      <c r="C289" s="370"/>
      <c r="D289" s="370"/>
      <c r="E289" s="370"/>
      <c r="F289" s="374">
        <v>0.05</v>
      </c>
    </row>
    <row r="290" spans="1:6">
      <c r="A290" s="280" t="s">
        <v>1898</v>
      </c>
      <c r="B290" s="281" t="s">
        <v>1899</v>
      </c>
      <c r="C290" s="365">
        <v>0.15</v>
      </c>
      <c r="D290" s="365">
        <v>0.15</v>
      </c>
      <c r="E290" s="365">
        <v>0.15</v>
      </c>
      <c r="F290" s="382"/>
    </row>
    <row r="291" spans="1:6">
      <c r="A291" s="280" t="s">
        <v>1898</v>
      </c>
      <c r="B291" s="285" t="s">
        <v>1900</v>
      </c>
      <c r="C291" s="367">
        <v>0.15</v>
      </c>
      <c r="D291" s="367">
        <v>0.15</v>
      </c>
      <c r="E291" s="367">
        <v>0.15</v>
      </c>
      <c r="F291" s="372"/>
    </row>
    <row r="292" spans="1:6">
      <c r="A292" s="280" t="s">
        <v>1898</v>
      </c>
      <c r="B292" s="285" t="s">
        <v>1901</v>
      </c>
      <c r="C292" s="367">
        <v>0.15</v>
      </c>
      <c r="D292" s="367">
        <v>0.15</v>
      </c>
      <c r="E292" s="367">
        <v>0.15</v>
      </c>
      <c r="F292" s="368">
        <v>0.14699999999999999</v>
      </c>
    </row>
    <row r="293" spans="1:6">
      <c r="A293" s="280" t="s">
        <v>1898</v>
      </c>
      <c r="B293" s="285" t="s">
        <v>1902</v>
      </c>
      <c r="C293" s="373"/>
      <c r="D293" s="373"/>
      <c r="E293" s="373"/>
      <c r="F293" s="368">
        <v>0.1</v>
      </c>
    </row>
    <row r="294" spans="1:6">
      <c r="A294" s="280" t="s">
        <v>1898</v>
      </c>
      <c r="B294" s="285" t="s">
        <v>1903</v>
      </c>
      <c r="C294" s="367">
        <v>0.15</v>
      </c>
      <c r="D294" s="367">
        <v>0.15</v>
      </c>
      <c r="E294" s="367">
        <v>0.15</v>
      </c>
      <c r="F294" s="368">
        <v>0.15</v>
      </c>
    </row>
    <row r="295" spans="1:6">
      <c r="A295" s="280" t="s">
        <v>1898</v>
      </c>
      <c r="B295" s="285" t="s">
        <v>1904</v>
      </c>
      <c r="C295" s="367">
        <v>0.15</v>
      </c>
      <c r="D295" s="367">
        <v>0.15</v>
      </c>
      <c r="E295" s="367">
        <v>0.15</v>
      </c>
      <c r="F295" s="368">
        <v>0.15</v>
      </c>
    </row>
    <row r="296" spans="1:6">
      <c r="A296" s="280" t="s">
        <v>1898</v>
      </c>
      <c r="B296" s="285" t="s">
        <v>1905</v>
      </c>
      <c r="C296" s="367">
        <v>0.15</v>
      </c>
      <c r="D296" s="367">
        <v>0.15</v>
      </c>
      <c r="E296" s="367">
        <v>0.15</v>
      </c>
      <c r="F296" s="368">
        <v>0.15</v>
      </c>
    </row>
    <row r="297" spans="1:6">
      <c r="A297" s="280" t="s">
        <v>1898</v>
      </c>
      <c r="B297" s="285" t="s">
        <v>1906</v>
      </c>
      <c r="C297" s="367">
        <v>0.14799999999999999</v>
      </c>
      <c r="D297" s="367">
        <v>0.14899999999999999</v>
      </c>
      <c r="E297" s="367">
        <v>0.15</v>
      </c>
      <c r="F297" s="368">
        <v>0.13700000000000001</v>
      </c>
    </row>
    <row r="298" spans="1:6">
      <c r="A298" s="280" t="s">
        <v>1898</v>
      </c>
      <c r="B298" s="285" t="s">
        <v>1907</v>
      </c>
      <c r="C298" s="367">
        <v>0.13400000000000001</v>
      </c>
      <c r="D298" s="367">
        <v>0.13400000000000001</v>
      </c>
      <c r="E298" s="367">
        <v>0.14499999999999999</v>
      </c>
      <c r="F298" s="368">
        <v>0.14799999999999999</v>
      </c>
    </row>
    <row r="299" spans="1:6">
      <c r="A299" s="280" t="s">
        <v>1898</v>
      </c>
      <c r="B299" s="285" t="s">
        <v>1908</v>
      </c>
      <c r="C299" s="367">
        <v>0.15</v>
      </c>
      <c r="D299" s="367">
        <v>0.15</v>
      </c>
      <c r="E299" s="367">
        <v>0.15</v>
      </c>
      <c r="F299" s="372"/>
    </row>
    <row r="300" spans="1:6">
      <c r="A300" s="280" t="s">
        <v>1898</v>
      </c>
      <c r="B300" s="285" t="s">
        <v>1909</v>
      </c>
      <c r="C300" s="367">
        <v>0.15</v>
      </c>
      <c r="D300" s="367">
        <v>0.15</v>
      </c>
      <c r="E300" s="367">
        <v>0.15</v>
      </c>
      <c r="F300" s="368">
        <v>0.15</v>
      </c>
    </row>
    <row r="301" spans="1:6">
      <c r="A301" s="280" t="s">
        <v>1898</v>
      </c>
      <c r="B301" s="285" t="s">
        <v>1910</v>
      </c>
      <c r="C301" s="367">
        <v>0.15</v>
      </c>
      <c r="D301" s="367">
        <v>0.15</v>
      </c>
      <c r="E301" s="367">
        <v>0.15</v>
      </c>
      <c r="F301" s="372"/>
    </row>
    <row r="302" spans="1:6">
      <c r="A302" s="280" t="s">
        <v>1898</v>
      </c>
      <c r="B302" s="285" t="s">
        <v>1911</v>
      </c>
      <c r="C302" s="367">
        <v>0.15</v>
      </c>
      <c r="D302" s="367">
        <v>0.15</v>
      </c>
      <c r="E302" s="367">
        <v>0.15</v>
      </c>
      <c r="F302" s="368">
        <v>0.15</v>
      </c>
    </row>
    <row r="303" spans="1:6">
      <c r="A303" s="280" t="s">
        <v>1898</v>
      </c>
      <c r="B303" s="285" t="s">
        <v>1912</v>
      </c>
      <c r="C303" s="367">
        <v>0.15</v>
      </c>
      <c r="D303" s="367">
        <v>0.15</v>
      </c>
      <c r="E303" s="367">
        <v>0.15</v>
      </c>
      <c r="F303" s="368">
        <v>0.15</v>
      </c>
    </row>
    <row r="304" spans="1:6">
      <c r="A304" s="280" t="s">
        <v>1898</v>
      </c>
      <c r="B304" s="285" t="s">
        <v>1913</v>
      </c>
      <c r="C304" s="367">
        <v>0.15</v>
      </c>
      <c r="D304" s="367">
        <v>0.15</v>
      </c>
      <c r="E304" s="367">
        <v>0.15</v>
      </c>
      <c r="F304" s="372"/>
    </row>
    <row r="305" spans="1:6">
      <c r="A305" s="280" t="s">
        <v>1898</v>
      </c>
      <c r="B305" s="285" t="s">
        <v>1914</v>
      </c>
      <c r="C305" s="367">
        <v>0.15</v>
      </c>
      <c r="D305" s="367">
        <v>0.15</v>
      </c>
      <c r="E305" s="367">
        <v>0.15</v>
      </c>
      <c r="F305" s="368">
        <v>0.14000000000000001</v>
      </c>
    </row>
    <row r="306" spans="1:6">
      <c r="A306" s="280" t="s">
        <v>1898</v>
      </c>
      <c r="B306" s="285" t="s">
        <v>1915</v>
      </c>
      <c r="C306" s="367">
        <v>0.15</v>
      </c>
      <c r="D306" s="367">
        <v>0.15</v>
      </c>
      <c r="E306" s="367">
        <v>0.15</v>
      </c>
      <c r="F306" s="372"/>
    </row>
    <row r="307" spans="1:6">
      <c r="A307" s="280" t="s">
        <v>1898</v>
      </c>
      <c r="B307" s="285" t="s">
        <v>1916</v>
      </c>
      <c r="C307" s="367">
        <v>0.15</v>
      </c>
      <c r="D307" s="367">
        <v>0.15</v>
      </c>
      <c r="E307" s="367">
        <v>0.15</v>
      </c>
      <c r="F307" s="368">
        <v>0.14299999999999999</v>
      </c>
    </row>
    <row r="308" spans="1:6">
      <c r="A308" s="280" t="s">
        <v>1898</v>
      </c>
      <c r="B308" s="285" t="s">
        <v>1917</v>
      </c>
      <c r="C308" s="367">
        <v>0.15</v>
      </c>
      <c r="D308" s="367">
        <v>0.15</v>
      </c>
      <c r="E308" s="367">
        <v>0.15</v>
      </c>
      <c r="F308" s="368">
        <v>0.15</v>
      </c>
    </row>
    <row r="309" spans="1:6">
      <c r="A309" s="280" t="s">
        <v>1898</v>
      </c>
      <c r="B309" s="285" t="s">
        <v>1918</v>
      </c>
      <c r="C309" s="367">
        <v>0.15</v>
      </c>
      <c r="D309" s="367">
        <v>0.15</v>
      </c>
      <c r="E309" s="367">
        <v>0.15</v>
      </c>
      <c r="F309" s="372"/>
    </row>
    <row r="310" spans="1:6">
      <c r="A310" s="280" t="s">
        <v>1898</v>
      </c>
      <c r="B310" s="285" t="s">
        <v>1919</v>
      </c>
      <c r="C310" s="367">
        <v>0.15</v>
      </c>
      <c r="D310" s="367">
        <v>0.15</v>
      </c>
      <c r="E310" s="367">
        <v>0.15</v>
      </c>
      <c r="F310" s="368">
        <v>0.13700000000000001</v>
      </c>
    </row>
    <row r="311" spans="1:6">
      <c r="A311" s="280" t="s">
        <v>1898</v>
      </c>
      <c r="B311" s="285" t="s">
        <v>1920</v>
      </c>
      <c r="C311" s="367">
        <v>0.15</v>
      </c>
      <c r="D311" s="367">
        <v>0.15</v>
      </c>
      <c r="E311" s="367">
        <v>0.15</v>
      </c>
      <c r="F311" s="368">
        <v>0.15</v>
      </c>
    </row>
    <row r="312" spans="1:6">
      <c r="A312" s="280" t="s">
        <v>1898</v>
      </c>
      <c r="B312" s="285" t="s">
        <v>1921</v>
      </c>
      <c r="C312" s="367">
        <v>0.15</v>
      </c>
      <c r="D312" s="367">
        <v>0.15</v>
      </c>
      <c r="E312" s="367">
        <v>0.15</v>
      </c>
      <c r="F312" s="368">
        <v>0.1</v>
      </c>
    </row>
    <row r="313" spans="1:6">
      <c r="A313" s="280" t="s">
        <v>1898</v>
      </c>
      <c r="B313" s="285" t="s">
        <v>1922</v>
      </c>
      <c r="C313" s="367">
        <v>0.15</v>
      </c>
      <c r="D313" s="367">
        <v>0.15</v>
      </c>
      <c r="E313" s="367">
        <v>0.15</v>
      </c>
      <c r="F313" s="368">
        <v>0.15</v>
      </c>
    </row>
    <row r="314" spans="1:6" ht="24">
      <c r="A314" s="280" t="s">
        <v>1898</v>
      </c>
      <c r="B314" s="285" t="s">
        <v>1923</v>
      </c>
      <c r="C314" s="373"/>
      <c r="D314" s="373"/>
      <c r="E314" s="373"/>
      <c r="F314" s="368">
        <v>0.05</v>
      </c>
    </row>
    <row r="315" spans="1:6" ht="24">
      <c r="A315" s="280" t="s">
        <v>1898</v>
      </c>
      <c r="B315" s="285" t="s">
        <v>1924</v>
      </c>
      <c r="C315" s="373"/>
      <c r="D315" s="373"/>
      <c r="E315" s="373"/>
      <c r="F315" s="368">
        <v>0.05</v>
      </c>
    </row>
    <row r="316" spans="1:6" ht="24">
      <c r="A316" s="298" t="s">
        <v>1898</v>
      </c>
      <c r="B316" s="291" t="s">
        <v>1925</v>
      </c>
      <c r="C316" s="370"/>
      <c r="D316" s="370"/>
      <c r="E316" s="370"/>
      <c r="F316" s="374">
        <v>0.05</v>
      </c>
    </row>
    <row r="317" spans="1:6">
      <c r="A317" s="280" t="s">
        <v>1926</v>
      </c>
      <c r="B317" s="281" t="s">
        <v>1927</v>
      </c>
      <c r="C317" s="365">
        <v>0.15</v>
      </c>
      <c r="D317" s="365">
        <v>0.15</v>
      </c>
      <c r="E317" s="365">
        <v>0.15</v>
      </c>
      <c r="F317" s="366">
        <v>0.15</v>
      </c>
    </row>
    <row r="318" spans="1:6">
      <c r="A318" s="280" t="s">
        <v>1926</v>
      </c>
      <c r="B318" s="285" t="s">
        <v>1928</v>
      </c>
      <c r="C318" s="367">
        <v>0.107</v>
      </c>
      <c r="D318" s="367">
        <v>0.11</v>
      </c>
      <c r="E318" s="367">
        <v>0.112</v>
      </c>
      <c r="F318" s="372"/>
    </row>
    <row r="319" spans="1:6">
      <c r="A319" s="280" t="s">
        <v>1926</v>
      </c>
      <c r="B319" s="285" t="s">
        <v>1929</v>
      </c>
      <c r="C319" s="367">
        <v>0.15</v>
      </c>
      <c r="D319" s="367">
        <v>0.15</v>
      </c>
      <c r="E319" s="367">
        <v>0.15</v>
      </c>
      <c r="F319" s="368">
        <v>0.15</v>
      </c>
    </row>
    <row r="320" spans="1:6">
      <c r="A320" s="280" t="s">
        <v>1926</v>
      </c>
      <c r="B320" s="285" t="s">
        <v>1930</v>
      </c>
      <c r="C320" s="367">
        <v>0.15</v>
      </c>
      <c r="D320" s="367">
        <v>0.15</v>
      </c>
      <c r="E320" s="367">
        <v>0.15</v>
      </c>
      <c r="F320" s="372"/>
    </row>
    <row r="321" spans="1:6">
      <c r="A321" s="280" t="s">
        <v>1926</v>
      </c>
      <c r="B321" s="285" t="s">
        <v>1931</v>
      </c>
      <c r="C321" s="367">
        <v>0.15</v>
      </c>
      <c r="D321" s="367">
        <v>0.15</v>
      </c>
      <c r="E321" s="367">
        <v>0.15</v>
      </c>
      <c r="F321" s="372"/>
    </row>
    <row r="322" spans="1:6">
      <c r="A322" s="280" t="s">
        <v>1926</v>
      </c>
      <c r="B322" s="285" t="s">
        <v>1932</v>
      </c>
      <c r="C322" s="367">
        <v>0.15</v>
      </c>
      <c r="D322" s="367">
        <v>0.15</v>
      </c>
      <c r="E322" s="367">
        <v>0.15</v>
      </c>
      <c r="F322" s="368">
        <v>0.15</v>
      </c>
    </row>
    <row r="323" spans="1:6">
      <c r="A323" s="280" t="s">
        <v>1926</v>
      </c>
      <c r="B323" s="285" t="s">
        <v>1933</v>
      </c>
      <c r="C323" s="367">
        <v>0.15</v>
      </c>
      <c r="D323" s="367">
        <v>0.15</v>
      </c>
      <c r="E323" s="367">
        <v>0.15</v>
      </c>
      <c r="F323" s="372"/>
    </row>
    <row r="324" spans="1:6">
      <c r="A324" s="280" t="s">
        <v>1926</v>
      </c>
      <c r="B324" s="285" t="s">
        <v>1934</v>
      </c>
      <c r="C324" s="367">
        <v>0.15</v>
      </c>
      <c r="D324" s="367">
        <v>0.15</v>
      </c>
      <c r="E324" s="367">
        <v>0.15</v>
      </c>
      <c r="F324" s="372"/>
    </row>
    <row r="325" spans="1:6">
      <c r="A325" s="280" t="s">
        <v>1926</v>
      </c>
      <c r="B325" s="285" t="s">
        <v>1935</v>
      </c>
      <c r="C325" s="367">
        <v>0.15</v>
      </c>
      <c r="D325" s="367">
        <v>0.15</v>
      </c>
      <c r="E325" s="367">
        <v>0.15</v>
      </c>
      <c r="F325" s="368">
        <v>0.14699999999999999</v>
      </c>
    </row>
    <row r="326" spans="1:6">
      <c r="A326" s="280" t="s">
        <v>1926</v>
      </c>
      <c r="B326" s="285" t="s">
        <v>1936</v>
      </c>
      <c r="C326" s="367">
        <v>0.15</v>
      </c>
      <c r="D326" s="367">
        <v>0.15</v>
      </c>
      <c r="E326" s="367">
        <v>0.15</v>
      </c>
      <c r="F326" s="372"/>
    </row>
    <row r="327" spans="1:6">
      <c r="A327" s="280" t="s">
        <v>1926</v>
      </c>
      <c r="B327" s="285" t="s">
        <v>1937</v>
      </c>
      <c r="C327" s="367">
        <v>0.15</v>
      </c>
      <c r="D327" s="367">
        <v>0.15</v>
      </c>
      <c r="E327" s="367">
        <v>0.15</v>
      </c>
      <c r="F327" s="368">
        <v>0.15</v>
      </c>
    </row>
    <row r="328" spans="1:6">
      <c r="A328" s="280" t="s">
        <v>1926</v>
      </c>
      <c r="B328" s="285" t="s">
        <v>1938</v>
      </c>
      <c r="C328" s="367">
        <v>0.15</v>
      </c>
      <c r="D328" s="367">
        <v>0.15</v>
      </c>
      <c r="E328" s="367">
        <v>0.15</v>
      </c>
      <c r="F328" s="368">
        <v>0.14099999999999999</v>
      </c>
    </row>
    <row r="329" spans="1:6">
      <c r="A329" s="280" t="s">
        <v>1926</v>
      </c>
      <c r="B329" s="285" t="s">
        <v>1939</v>
      </c>
      <c r="C329" s="367">
        <v>0.15</v>
      </c>
      <c r="D329" s="367">
        <v>0.15</v>
      </c>
      <c r="E329" s="367">
        <v>0.15</v>
      </c>
      <c r="F329" s="368">
        <v>0.15</v>
      </c>
    </row>
    <row r="330" spans="1:6">
      <c r="A330" s="280" t="s">
        <v>1926</v>
      </c>
      <c r="B330" s="285" t="s">
        <v>1940</v>
      </c>
      <c r="C330" s="367">
        <v>0.15</v>
      </c>
      <c r="D330" s="367">
        <v>0.15</v>
      </c>
      <c r="E330" s="367">
        <v>0.15</v>
      </c>
      <c r="F330" s="372"/>
    </row>
    <row r="331" spans="1:6">
      <c r="A331" s="280" t="s">
        <v>1926</v>
      </c>
      <c r="B331" s="285" t="s">
        <v>1941</v>
      </c>
      <c r="C331" s="367">
        <v>0.15</v>
      </c>
      <c r="D331" s="367">
        <v>0.15</v>
      </c>
      <c r="E331" s="367">
        <v>0.15</v>
      </c>
      <c r="F331" s="368">
        <v>0.15</v>
      </c>
    </row>
    <row r="332" spans="1:6">
      <c r="A332" s="280" t="s">
        <v>1926</v>
      </c>
      <c r="B332" s="285" t="s">
        <v>1942</v>
      </c>
      <c r="C332" s="367">
        <v>0.15</v>
      </c>
      <c r="D332" s="367">
        <v>0.15</v>
      </c>
      <c r="E332" s="367">
        <v>0.15</v>
      </c>
      <c r="F332" s="368">
        <v>0.15</v>
      </c>
    </row>
    <row r="333" spans="1:6">
      <c r="A333" s="280" t="s">
        <v>1926</v>
      </c>
      <c r="B333" s="285" t="s">
        <v>1943</v>
      </c>
      <c r="C333" s="367">
        <v>0.15</v>
      </c>
      <c r="D333" s="367">
        <v>0.15</v>
      </c>
      <c r="E333" s="367">
        <v>0.15</v>
      </c>
      <c r="F333" s="368">
        <v>0.14099999999999999</v>
      </c>
    </row>
    <row r="334" spans="1:6">
      <c r="A334" s="280" t="s">
        <v>1926</v>
      </c>
      <c r="B334" s="285" t="s">
        <v>1944</v>
      </c>
      <c r="C334" s="367">
        <v>0.15</v>
      </c>
      <c r="D334" s="367">
        <v>0.15</v>
      </c>
      <c r="E334" s="367">
        <v>0.15</v>
      </c>
      <c r="F334" s="368">
        <v>0.15</v>
      </c>
    </row>
    <row r="335" spans="1:6">
      <c r="A335" s="280" t="s">
        <v>1926</v>
      </c>
      <c r="B335" s="285" t="s">
        <v>1945</v>
      </c>
      <c r="C335" s="367">
        <v>0.15</v>
      </c>
      <c r="D335" s="367">
        <v>0.15</v>
      </c>
      <c r="E335" s="367">
        <v>0.15</v>
      </c>
      <c r="F335" s="372"/>
    </row>
    <row r="336" spans="1:6">
      <c r="A336" s="280" t="s">
        <v>1926</v>
      </c>
      <c r="B336" s="285" t="s">
        <v>1946</v>
      </c>
      <c r="C336" s="367">
        <v>0.15</v>
      </c>
      <c r="D336" s="367">
        <v>0.15</v>
      </c>
      <c r="E336" s="367">
        <v>0.15</v>
      </c>
      <c r="F336" s="368">
        <v>0.11799999999999999</v>
      </c>
    </row>
    <row r="337" spans="1:6">
      <c r="A337" s="298" t="s">
        <v>1926</v>
      </c>
      <c r="B337" s="291" t="s">
        <v>1947</v>
      </c>
      <c r="C337" s="370"/>
      <c r="D337" s="370"/>
      <c r="E337" s="370"/>
      <c r="F337" s="374">
        <v>0.14299999999999999</v>
      </c>
    </row>
    <row r="338" spans="1:6">
      <c r="A338" s="280" t="s">
        <v>1948</v>
      </c>
      <c r="B338" s="281" t="s">
        <v>1949</v>
      </c>
      <c r="C338" s="365">
        <v>0.15</v>
      </c>
      <c r="D338" s="365">
        <v>0.15</v>
      </c>
      <c r="E338" s="365">
        <v>0.15</v>
      </c>
      <c r="F338" s="382"/>
    </row>
    <row r="339" spans="1:6">
      <c r="A339" s="280" t="s">
        <v>1948</v>
      </c>
      <c r="B339" s="285" t="s">
        <v>1950</v>
      </c>
      <c r="C339" s="367">
        <v>0.15</v>
      </c>
      <c r="D339" s="367">
        <v>0.15</v>
      </c>
      <c r="E339" s="367">
        <v>0.15</v>
      </c>
      <c r="F339" s="372"/>
    </row>
    <row r="340" spans="1:6">
      <c r="A340" s="280" t="s">
        <v>1948</v>
      </c>
      <c r="B340" s="285" t="s">
        <v>1951</v>
      </c>
      <c r="C340" s="367">
        <v>0.15</v>
      </c>
      <c r="D340" s="367">
        <v>0.15</v>
      </c>
      <c r="E340" s="367">
        <v>0.15</v>
      </c>
      <c r="F340" s="372"/>
    </row>
    <row r="341" spans="1:6">
      <c r="A341" s="280" t="s">
        <v>1948</v>
      </c>
      <c r="B341" s="285" t="s">
        <v>1952</v>
      </c>
      <c r="C341" s="367">
        <v>0.15</v>
      </c>
      <c r="D341" s="367">
        <v>0.15</v>
      </c>
      <c r="E341" s="367">
        <v>0.15</v>
      </c>
      <c r="F341" s="368">
        <v>0.15</v>
      </c>
    </row>
    <row r="342" spans="1:6">
      <c r="A342" s="280" t="s">
        <v>1948</v>
      </c>
      <c r="B342" s="285" t="s">
        <v>1953</v>
      </c>
      <c r="C342" s="367">
        <v>0.15</v>
      </c>
      <c r="D342" s="367">
        <v>0.15</v>
      </c>
      <c r="E342" s="367">
        <v>0.15</v>
      </c>
      <c r="F342" s="368">
        <v>0.15</v>
      </c>
    </row>
    <row r="343" spans="1:6">
      <c r="A343" s="280" t="s">
        <v>1948</v>
      </c>
      <c r="B343" s="285" t="s">
        <v>1954</v>
      </c>
      <c r="C343" s="367">
        <v>0.15</v>
      </c>
      <c r="D343" s="367">
        <v>0.15</v>
      </c>
      <c r="E343" s="367">
        <v>0.15</v>
      </c>
      <c r="F343" s="368">
        <v>0.15</v>
      </c>
    </row>
    <row r="344" spans="1:6">
      <c r="A344" s="298" t="s">
        <v>1948</v>
      </c>
      <c r="B344" s="291" t="s">
        <v>1955</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1956</v>
      </c>
      <c r="B1" s="315"/>
      <c r="C1" s="316"/>
      <c r="D1" s="317"/>
      <c r="E1" s="317"/>
      <c r="F1" s="318"/>
      <c r="G1" s="319"/>
      <c r="H1" s="318"/>
      <c r="I1" s="319"/>
      <c r="J1" s="319"/>
      <c r="K1" s="319"/>
      <c r="L1" s="319"/>
      <c r="M1" s="319"/>
      <c r="N1" s="308"/>
      <c r="O1" s="308"/>
      <c r="P1" s="308"/>
      <c r="Q1" s="308"/>
      <c r="R1" s="308"/>
      <c r="S1" s="308"/>
      <c r="T1" s="308"/>
    </row>
    <row r="2" spans="1:20" ht="18" customHeight="1">
      <c r="A2" s="320" t="s">
        <v>1600</v>
      </c>
      <c r="B2" s="321">
        <f>1+F4</f>
        <v>1.0128999999999999</v>
      </c>
      <c r="C2" s="322"/>
      <c r="D2" s="323"/>
      <c r="E2" s="323"/>
      <c r="F2" s="324"/>
      <c r="G2" s="325"/>
      <c r="H2" s="318"/>
      <c r="I2" s="319"/>
      <c r="J2" s="319"/>
      <c r="K2" s="319"/>
      <c r="L2" s="319"/>
      <c r="M2" s="319"/>
    </row>
    <row r="3" spans="1:20" ht="13.5">
      <c r="A3" s="240" t="s">
        <v>1957</v>
      </c>
      <c r="B3" s="241" t="s">
        <v>1958</v>
      </c>
      <c r="C3" s="326" t="s">
        <v>1959</v>
      </c>
      <c r="D3" s="327" t="s">
        <v>1960</v>
      </c>
      <c r="E3" s="327" t="s">
        <v>1961</v>
      </c>
      <c r="F3" s="328" t="s">
        <v>1962</v>
      </c>
      <c r="G3" s="329" t="s">
        <v>1963</v>
      </c>
      <c r="H3" s="327" t="s">
        <v>1230</v>
      </c>
      <c r="I3" s="359" t="s">
        <v>1964</v>
      </c>
      <c r="J3" s="359" t="s">
        <v>1965</v>
      </c>
      <c r="K3" s="359" t="s">
        <v>1966</v>
      </c>
      <c r="L3" s="359" t="s">
        <v>1967</v>
      </c>
      <c r="M3" s="359" t="s">
        <v>1968</v>
      </c>
    </row>
    <row r="4" spans="1:20" ht="14.25">
      <c r="A4" s="240" t="s">
        <v>1969</v>
      </c>
      <c r="B4" s="330">
        <f>估价对象房地状况!C4</f>
        <v>0</v>
      </c>
      <c r="C4" s="331" t="s">
        <v>1970</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14.25">
      <c r="A5" s="240" t="s">
        <v>1971</v>
      </c>
      <c r="B5" s="337">
        <f>估价对象房地状况!C6</f>
        <v>0</v>
      </c>
      <c r="C5" s="331" t="s">
        <v>1972</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1973</v>
      </c>
      <c r="B6" s="241">
        <f>估价对象房地状况!C19</f>
        <v>0</v>
      </c>
      <c r="C6" s="331" t="s">
        <v>1970</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1974</v>
      </c>
      <c r="B7" s="340" t="s">
        <v>1975</v>
      </c>
      <c r="C7" s="331" t="s">
        <v>1976</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1977</v>
      </c>
      <c r="B8" s="241">
        <f>估价对象房地状况!C10</f>
        <v>0</v>
      </c>
      <c r="C8" s="331" t="s">
        <v>1970</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1978</v>
      </c>
      <c r="B9" s="341" t="s">
        <v>1979</v>
      </c>
      <c r="C9" s="331" t="s">
        <v>1970</v>
      </c>
      <c r="D9" s="332">
        <f t="shared" si="1"/>
        <v>0.01</v>
      </c>
      <c r="E9" s="333">
        <v>0.03</v>
      </c>
      <c r="F9" s="338"/>
      <c r="G9" s="339"/>
      <c r="H9" s="336">
        <v>0.01</v>
      </c>
      <c r="I9" s="360">
        <f t="shared" si="2"/>
        <v>0.02</v>
      </c>
      <c r="J9" s="360">
        <f t="shared" si="3"/>
        <v>0.01</v>
      </c>
      <c r="K9" s="361">
        <v>0</v>
      </c>
      <c r="L9" s="360">
        <f t="shared" si="0"/>
        <v>-0.01</v>
      </c>
      <c r="M9" s="360">
        <f t="shared" si="0"/>
        <v>-0.02</v>
      </c>
    </row>
    <row r="10" spans="1:20" ht="14.25">
      <c r="A10" s="342" t="s">
        <v>1980</v>
      </c>
      <c r="B10" s="243">
        <f>估价对象房地状况!C7</f>
        <v>0</v>
      </c>
      <c r="C10" s="331" t="s">
        <v>1981</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1982</v>
      </c>
      <c r="B11" s="343"/>
      <c r="C11" s="331" t="s">
        <v>1972</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1983</v>
      </c>
      <c r="B12" s="345">
        <f>估价对象房地状况!C9</f>
        <v>0</v>
      </c>
      <c r="C12" s="331" t="s">
        <v>1981</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354</v>
      </c>
      <c r="B13" s="321">
        <f>1+F15</f>
        <v>1.0148999999999999</v>
      </c>
      <c r="C13" s="348"/>
      <c r="D13" s="323"/>
      <c r="E13" s="323"/>
      <c r="F13" s="324"/>
      <c r="G13" s="325"/>
      <c r="H13" s="318"/>
      <c r="I13" s="273"/>
      <c r="J13" s="273"/>
      <c r="K13" s="273"/>
      <c r="L13" s="273"/>
      <c r="M13" s="273"/>
    </row>
    <row r="14" spans="1:20" ht="18" customHeight="1">
      <c r="A14" s="240" t="s">
        <v>1957</v>
      </c>
      <c r="B14" s="241"/>
      <c r="C14" s="326" t="s">
        <v>1959</v>
      </c>
      <c r="D14" s="327" t="s">
        <v>1960</v>
      </c>
      <c r="E14" s="327" t="s">
        <v>1961</v>
      </c>
      <c r="F14" s="328" t="s">
        <v>1962</v>
      </c>
      <c r="G14" s="329" t="s">
        <v>1963</v>
      </c>
      <c r="H14" s="327" t="s">
        <v>1230</v>
      </c>
      <c r="I14" s="359" t="s">
        <v>1964</v>
      </c>
      <c r="J14" s="359" t="s">
        <v>1965</v>
      </c>
      <c r="K14" s="359" t="s">
        <v>1966</v>
      </c>
      <c r="L14" s="359" t="s">
        <v>1967</v>
      </c>
      <c r="M14" s="359" t="s">
        <v>1968</v>
      </c>
    </row>
    <row r="15" spans="1:20" ht="14.25">
      <c r="A15" s="240" t="s">
        <v>1984</v>
      </c>
      <c r="B15" s="330">
        <f>估价对象房地状况!C5</f>
        <v>0</v>
      </c>
      <c r="C15" s="331" t="s">
        <v>1970</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14.25">
      <c r="A16" s="240" t="s">
        <v>1971</v>
      </c>
      <c r="B16" s="241">
        <f>估价对象房地状况!C6</f>
        <v>0</v>
      </c>
      <c r="C16" s="331" t="s">
        <v>1970</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1973</v>
      </c>
      <c r="B17" s="241">
        <f>估价对象房地状况!C19</f>
        <v>0</v>
      </c>
      <c r="C17" s="331" t="s">
        <v>1970</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1974</v>
      </c>
      <c r="B18" s="340" t="s">
        <v>1975</v>
      </c>
      <c r="C18" s="331" t="s">
        <v>1970</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1977</v>
      </c>
      <c r="B19" s="241">
        <f>估价对象房地状况!C10</f>
        <v>0</v>
      </c>
      <c r="C19" s="331" t="s">
        <v>1970</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1978</v>
      </c>
      <c r="B20" s="341" t="s">
        <v>1979</v>
      </c>
      <c r="C20" s="331" t="s">
        <v>1970</v>
      </c>
      <c r="D20" s="332">
        <f t="shared" si="4"/>
        <v>0.01</v>
      </c>
      <c r="E20" s="333">
        <v>0.05</v>
      </c>
      <c r="F20" s="338"/>
      <c r="G20" s="339"/>
      <c r="H20" s="336">
        <v>0.01</v>
      </c>
      <c r="I20" s="360">
        <f t="shared" si="6"/>
        <v>0.02</v>
      </c>
      <c r="J20" s="360">
        <f t="shared" si="7"/>
        <v>0.01</v>
      </c>
      <c r="K20" s="361">
        <v>0</v>
      </c>
      <c r="L20" s="360">
        <f t="shared" si="5"/>
        <v>-0.01</v>
      </c>
      <c r="M20" s="360">
        <f t="shared" si="5"/>
        <v>-0.02</v>
      </c>
    </row>
    <row r="21" spans="1:20" ht="14.25">
      <c r="A21" s="240" t="s">
        <v>1980</v>
      </c>
      <c r="B21" s="243">
        <f>估价对象房地状况!C7</f>
        <v>0</v>
      </c>
      <c r="C21" s="331" t="s">
        <v>1970</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1982</v>
      </c>
      <c r="B22" s="343"/>
      <c r="C22" s="331" t="s">
        <v>1970</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1983</v>
      </c>
      <c r="B23" s="349">
        <f>估价对象房地状况!C9</f>
        <v>0</v>
      </c>
      <c r="C23" s="331" t="s">
        <v>1970</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1957</v>
      </c>
      <c r="B25" s="241"/>
      <c r="C25" s="326" t="s">
        <v>1959</v>
      </c>
      <c r="D25" s="327" t="s">
        <v>1960</v>
      </c>
      <c r="E25" s="327" t="s">
        <v>1961</v>
      </c>
      <c r="F25" s="328" t="s">
        <v>1962</v>
      </c>
      <c r="G25" s="329" t="s">
        <v>1963</v>
      </c>
      <c r="H25" s="327" t="s">
        <v>1230</v>
      </c>
      <c r="I25" s="359" t="s">
        <v>1964</v>
      </c>
      <c r="J25" s="359" t="s">
        <v>1965</v>
      </c>
      <c r="K25" s="359" t="s">
        <v>1966</v>
      </c>
      <c r="L25" s="359" t="s">
        <v>1967</v>
      </c>
      <c r="M25" s="359" t="s">
        <v>1968</v>
      </c>
    </row>
    <row r="26" spans="1:20" ht="14.25">
      <c r="A26" s="240" t="s">
        <v>1985</v>
      </c>
      <c r="B26" s="330">
        <f>估价对象房地状况!C3</f>
        <v>0</v>
      </c>
      <c r="C26" s="331" t="s">
        <v>1970</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14.25">
      <c r="A27" s="240" t="s">
        <v>1971</v>
      </c>
      <c r="B27" s="241">
        <f>估价对象房地状况!C6</f>
        <v>0</v>
      </c>
      <c r="C27" s="331" t="s">
        <v>1970</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1973</v>
      </c>
      <c r="B28" s="241">
        <f>估价对象房地状况!C19</f>
        <v>0</v>
      </c>
      <c r="C28" s="331" t="s">
        <v>1970</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1986</v>
      </c>
      <c r="B29" s="241">
        <f>估价对象房地状况!C10</f>
        <v>0</v>
      </c>
      <c r="C29" s="331" t="s">
        <v>1981</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14.25">
      <c r="A30" s="240" t="s">
        <v>1980</v>
      </c>
      <c r="B30" s="243">
        <f>估价对象房地状况!C7</f>
        <v>0</v>
      </c>
      <c r="C30" s="331" t="s">
        <v>1970</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1982</v>
      </c>
      <c r="B31" s="343"/>
      <c r="C31" s="331" t="s">
        <v>1981</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1978</v>
      </c>
      <c r="B32" s="341" t="s">
        <v>1979</v>
      </c>
      <c r="C32" s="331" t="s">
        <v>1970</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1983</v>
      </c>
      <c r="B33" s="330">
        <f>估价对象房地状况!C9</f>
        <v>0</v>
      </c>
      <c r="C33" s="331" t="s">
        <v>1970</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1987</v>
      </c>
      <c r="B34" s="352" t="s">
        <v>1988</v>
      </c>
      <c r="C34" s="331" t="s">
        <v>1972</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1601</v>
      </c>
      <c r="B35" s="321">
        <f>1+F37</f>
        <v>1.0127999999999999</v>
      </c>
      <c r="C35" s="348"/>
      <c r="D35" s="323"/>
      <c r="E35" s="323"/>
      <c r="F35" s="324"/>
      <c r="G35" s="325"/>
      <c r="H35" s="318"/>
      <c r="I35" s="273"/>
      <c r="J35" s="273"/>
      <c r="K35" s="273"/>
      <c r="L35" s="273"/>
      <c r="M35" s="273"/>
    </row>
    <row r="36" spans="1:13" ht="13.5">
      <c r="A36" s="240" t="s">
        <v>1957</v>
      </c>
      <c r="B36" s="241"/>
      <c r="C36" s="326" t="s">
        <v>1959</v>
      </c>
      <c r="D36" s="327" t="s">
        <v>1960</v>
      </c>
      <c r="E36" s="327" t="s">
        <v>1961</v>
      </c>
      <c r="F36" s="328" t="s">
        <v>1962</v>
      </c>
      <c r="G36" s="329" t="s">
        <v>1963</v>
      </c>
      <c r="H36" s="327" t="s">
        <v>1230</v>
      </c>
      <c r="I36" s="359" t="s">
        <v>1964</v>
      </c>
      <c r="J36" s="359" t="s">
        <v>1965</v>
      </c>
      <c r="K36" s="359" t="s">
        <v>1966</v>
      </c>
      <c r="L36" s="359" t="s">
        <v>1967</v>
      </c>
      <c r="M36" s="359" t="s">
        <v>1968</v>
      </c>
    </row>
    <row r="37" spans="1:13" ht="24">
      <c r="A37" s="240" t="s">
        <v>1989</v>
      </c>
      <c r="B37" s="241" t="str">
        <f>估价对象房地状况!G3</f>
        <v>估价对象位于XX开发区，园区建设成熟度XX，产业集聚程度XX</v>
      </c>
      <c r="C37" s="331" t="s">
        <v>1970</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1971</v>
      </c>
      <c r="B38" s="241" t="str">
        <f>估价对象房地状况!G4</f>
        <v>估价对象周边道路状况、公共交通通达情况、停车便捷程度，综合评价交通便捷度较好</v>
      </c>
      <c r="C38" s="331" t="s">
        <v>1970</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1973</v>
      </c>
      <c r="B39" s="241">
        <f>估价对象房地状况!G17</f>
        <v>0</v>
      </c>
      <c r="C39" s="331" t="s">
        <v>1970</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1986</v>
      </c>
      <c r="B40" s="241">
        <f>估价对象房地状况!G22</f>
        <v>0</v>
      </c>
      <c r="C40" s="331" t="s">
        <v>1970</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1980</v>
      </c>
      <c r="B41" s="243" t="str">
        <f>估价对象房地状况!G19</f>
        <v>估价对象所在区域公共配套设施齐备情况</v>
      </c>
      <c r="C41" s="331" t="s">
        <v>1970</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1982</v>
      </c>
      <c r="B42" s="343"/>
      <c r="C42" s="331" t="s">
        <v>1970</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1978</v>
      </c>
      <c r="B43" s="341" t="s">
        <v>1979</v>
      </c>
      <c r="C43" s="331" t="s">
        <v>1990</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1991</v>
      </c>
      <c r="B44" s="354" t="str">
        <f>估价对象房地状况!G18</f>
        <v>该园区内是否有污染型企业，绿化情况，卫生条件，整体环境状况判断</v>
      </c>
      <c r="C44" s="331" t="s">
        <v>1981</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94" t="s">
        <v>1992</v>
      </c>
      <c r="B1" s="3094"/>
      <c r="C1" s="3094"/>
      <c r="D1" s="3094"/>
      <c r="E1" s="3094"/>
      <c r="F1" s="3094"/>
      <c r="H1" s="270"/>
      <c r="I1" s="303" t="s">
        <v>1604</v>
      </c>
      <c r="J1" s="228" t="s">
        <v>1610</v>
      </c>
      <c r="K1" s="228" t="s">
        <v>1630</v>
      </c>
      <c r="L1" s="228" t="s">
        <v>1651</v>
      </c>
      <c r="M1" s="228" t="s">
        <v>1679</v>
      </c>
      <c r="N1" s="228" t="s">
        <v>1714</v>
      </c>
      <c r="O1" s="228" t="s">
        <v>1763</v>
      </c>
      <c r="P1" s="228" t="s">
        <v>1812</v>
      </c>
      <c r="Q1" s="228" t="s">
        <v>1852</v>
      </c>
      <c r="R1" s="228" t="s">
        <v>1898</v>
      </c>
      <c r="S1" s="228" t="s">
        <v>1926</v>
      </c>
      <c r="T1" s="263" t="s">
        <v>1948</v>
      </c>
    </row>
    <row r="2" spans="1:20">
      <c r="A2" s="3095" t="s">
        <v>1993</v>
      </c>
      <c r="B2" s="3095"/>
      <c r="C2" s="3095"/>
      <c r="D2" s="3095"/>
      <c r="E2" s="3095"/>
      <c r="F2" s="3095"/>
      <c r="I2" s="304" t="s">
        <v>1605</v>
      </c>
      <c r="J2" s="285" t="s">
        <v>1611</v>
      </c>
      <c r="K2" s="285" t="s">
        <v>1631</v>
      </c>
      <c r="L2" s="285" t="s">
        <v>1652</v>
      </c>
      <c r="M2" s="285" t="s">
        <v>1680</v>
      </c>
      <c r="N2" s="285" t="s">
        <v>1715</v>
      </c>
      <c r="O2" s="285" t="s">
        <v>1764</v>
      </c>
      <c r="P2" s="285" t="s">
        <v>1813</v>
      </c>
      <c r="Q2" s="285" t="s">
        <v>1853</v>
      </c>
      <c r="R2" s="285" t="s">
        <v>1899</v>
      </c>
      <c r="S2" s="285" t="s">
        <v>1927</v>
      </c>
      <c r="T2" s="285" t="s">
        <v>1949</v>
      </c>
    </row>
    <row r="3" spans="1:20" s="270" customFormat="1" ht="19.5" customHeight="1">
      <c r="A3" s="3096" t="s">
        <v>1602</v>
      </c>
      <c r="B3" s="275"/>
      <c r="C3" s="276" t="s">
        <v>1600</v>
      </c>
      <c r="D3" s="276" t="s">
        <v>354</v>
      </c>
      <c r="E3" s="276" t="s">
        <v>403</v>
      </c>
      <c r="F3" s="276" t="s">
        <v>1601</v>
      </c>
      <c r="G3" s="277"/>
      <c r="I3" s="304" t="s">
        <v>1606</v>
      </c>
      <c r="J3" s="285" t="s">
        <v>1612</v>
      </c>
      <c r="K3" s="285" t="s">
        <v>1632</v>
      </c>
      <c r="L3" s="285" t="s">
        <v>1653</v>
      </c>
      <c r="M3" s="285" t="s">
        <v>1681</v>
      </c>
      <c r="N3" s="285" t="s">
        <v>1716</v>
      </c>
      <c r="O3" s="285" t="s">
        <v>1765</v>
      </c>
      <c r="P3" s="285" t="s">
        <v>1814</v>
      </c>
      <c r="Q3" s="285" t="s">
        <v>1854</v>
      </c>
      <c r="R3" s="285" t="s">
        <v>1900</v>
      </c>
      <c r="S3" s="285" t="s">
        <v>1928</v>
      </c>
      <c r="T3" s="285" t="s">
        <v>1950</v>
      </c>
    </row>
    <row r="4" spans="1:20" s="270" customFormat="1" ht="19.5" customHeight="1">
      <c r="A4" s="3097"/>
      <c r="B4" s="278" t="s">
        <v>1603</v>
      </c>
      <c r="C4" s="278" t="s">
        <v>1994</v>
      </c>
      <c r="D4" s="278" t="s">
        <v>1994</v>
      </c>
      <c r="E4" s="278" t="s">
        <v>1994</v>
      </c>
      <c r="F4" s="279" t="s">
        <v>1994</v>
      </c>
      <c r="G4" s="277"/>
      <c r="I4" s="304" t="s">
        <v>1607</v>
      </c>
      <c r="J4" s="285" t="s">
        <v>1613</v>
      </c>
      <c r="K4" s="285" t="s">
        <v>1633</v>
      </c>
      <c r="L4" s="285" t="s">
        <v>1654</v>
      </c>
      <c r="M4" s="285" t="s">
        <v>1682</v>
      </c>
      <c r="N4" s="285" t="s">
        <v>1717</v>
      </c>
      <c r="O4" s="285" t="s">
        <v>1766</v>
      </c>
      <c r="P4" s="285" t="s">
        <v>1815</v>
      </c>
      <c r="Q4" s="285" t="s">
        <v>1855</v>
      </c>
      <c r="R4" s="285" t="s">
        <v>1901</v>
      </c>
      <c r="S4" s="285" t="s">
        <v>1929</v>
      </c>
      <c r="T4" s="285" t="s">
        <v>1951</v>
      </c>
    </row>
    <row r="5" spans="1:20" ht="14.25" customHeight="1">
      <c r="A5" s="280" t="s">
        <v>1604</v>
      </c>
      <c r="B5" s="281" t="s">
        <v>1605</v>
      </c>
      <c r="C5" s="281">
        <v>29530</v>
      </c>
      <c r="D5" s="281">
        <v>28130</v>
      </c>
      <c r="E5" s="281">
        <v>27930</v>
      </c>
      <c r="F5" s="282">
        <v>11300</v>
      </c>
      <c r="G5" s="283" t="s">
        <v>1604</v>
      </c>
      <c r="H5" s="284">
        <f>SUMPRODUCT((B5:B9=基准地价修正!I2)*(C3:F3=基准地价修正!E2)*(C5:F9))</f>
        <v>0</v>
      </c>
      <c r="I5" s="304" t="s">
        <v>1608</v>
      </c>
      <c r="J5" s="285" t="s">
        <v>1614</v>
      </c>
      <c r="K5" s="285" t="s">
        <v>1634</v>
      </c>
      <c r="L5" s="285" t="s">
        <v>1655</v>
      </c>
      <c r="M5" s="285" t="s">
        <v>1683</v>
      </c>
      <c r="N5" s="285" t="s">
        <v>1718</v>
      </c>
      <c r="O5" s="285" t="s">
        <v>1767</v>
      </c>
      <c r="P5" s="285" t="s">
        <v>1816</v>
      </c>
      <c r="Q5" s="285" t="s">
        <v>1856</v>
      </c>
      <c r="R5" s="285" t="s">
        <v>1903</v>
      </c>
      <c r="S5" s="285" t="s">
        <v>1930</v>
      </c>
      <c r="T5" s="285" t="s">
        <v>1952</v>
      </c>
    </row>
    <row r="6" spans="1:20" ht="14.25" customHeight="1">
      <c r="A6" s="280" t="s">
        <v>1604</v>
      </c>
      <c r="B6" s="285" t="s">
        <v>1606</v>
      </c>
      <c r="C6" s="285">
        <v>30290</v>
      </c>
      <c r="D6" s="285">
        <v>29210</v>
      </c>
      <c r="E6" s="285">
        <v>28860</v>
      </c>
      <c r="F6" s="286">
        <v>12600</v>
      </c>
      <c r="G6" s="287" t="s">
        <v>1610</v>
      </c>
      <c r="H6" s="288">
        <f>SUMPRODUCT((B10:B28=基准地价修正!I2)*(C3:F3=基准地价修正!E2)*(C10:F28))</f>
        <v>0</v>
      </c>
      <c r="I6" s="304" t="s">
        <v>1609</v>
      </c>
      <c r="J6" s="285" t="s">
        <v>1615</v>
      </c>
      <c r="K6" s="285" t="s">
        <v>1635</v>
      </c>
      <c r="L6" s="285" t="s">
        <v>1656</v>
      </c>
      <c r="M6" s="285" t="s">
        <v>1684</v>
      </c>
      <c r="N6" s="285" t="s">
        <v>1719</v>
      </c>
      <c r="O6" s="285" t="s">
        <v>1768</v>
      </c>
      <c r="P6" s="285" t="s">
        <v>1817</v>
      </c>
      <c r="Q6" s="285" t="s">
        <v>1857</v>
      </c>
      <c r="R6" s="285" t="s">
        <v>1904</v>
      </c>
      <c r="S6" s="285" t="s">
        <v>1931</v>
      </c>
      <c r="T6" s="285" t="s">
        <v>1953</v>
      </c>
    </row>
    <row r="7" spans="1:20" ht="14.25" customHeight="1">
      <c r="A7" s="280" t="s">
        <v>1604</v>
      </c>
      <c r="B7" s="289" t="s">
        <v>1607</v>
      </c>
      <c r="C7" s="285">
        <v>29350</v>
      </c>
      <c r="D7" s="285">
        <v>28410</v>
      </c>
      <c r="E7" s="285">
        <v>27990</v>
      </c>
      <c r="F7" s="286">
        <v>12300</v>
      </c>
      <c r="G7" s="287" t="s">
        <v>1630</v>
      </c>
      <c r="H7" s="288">
        <f>SUMPRODUCT((B29:B48=基准地价修正!I2)*(C3:F3=基准地价修正!E2)*(C29:F48))</f>
        <v>0</v>
      </c>
      <c r="J7" s="285" t="s">
        <v>1616</v>
      </c>
      <c r="K7" s="285" t="s">
        <v>1636</v>
      </c>
      <c r="L7" s="285" t="s">
        <v>1657</v>
      </c>
      <c r="M7" s="285" t="s">
        <v>1685</v>
      </c>
      <c r="N7" s="285" t="s">
        <v>1720</v>
      </c>
      <c r="O7" s="285" t="s">
        <v>1769</v>
      </c>
      <c r="P7" s="285" t="s">
        <v>1818</v>
      </c>
      <c r="Q7" s="285" t="s">
        <v>1858</v>
      </c>
      <c r="R7" s="285" t="s">
        <v>1905</v>
      </c>
      <c r="S7" s="285" t="s">
        <v>1932</v>
      </c>
      <c r="T7" s="289" t="s">
        <v>1954</v>
      </c>
    </row>
    <row r="8" spans="1:20" ht="14.25" customHeight="1">
      <c r="A8" s="280" t="s">
        <v>1604</v>
      </c>
      <c r="B8" s="285" t="s">
        <v>1608</v>
      </c>
      <c r="C8" s="285">
        <v>30890</v>
      </c>
      <c r="D8" s="285">
        <v>29780</v>
      </c>
      <c r="E8" s="285">
        <v>29270</v>
      </c>
      <c r="F8" s="286">
        <v>11600</v>
      </c>
      <c r="G8" s="287" t="s">
        <v>1651</v>
      </c>
      <c r="H8" s="288">
        <f>SUMPRODUCT((B49:B75=基准地价修正!I2)*(C3:F3=基准地价修正!E2)*(C49:F75))</f>
        <v>0</v>
      </c>
      <c r="J8" s="285" t="s">
        <v>1617</v>
      </c>
      <c r="K8" s="285" t="s">
        <v>1637</v>
      </c>
      <c r="L8" s="285" t="s">
        <v>1658</v>
      </c>
      <c r="M8" s="285" t="s">
        <v>1686</v>
      </c>
      <c r="N8" s="285" t="s">
        <v>1721</v>
      </c>
      <c r="O8" s="285" t="s">
        <v>1770</v>
      </c>
      <c r="P8" s="285" t="s">
        <v>1819</v>
      </c>
      <c r="Q8" s="285" t="s">
        <v>1859</v>
      </c>
      <c r="R8" s="285" t="s">
        <v>1906</v>
      </c>
      <c r="S8" s="285" t="s">
        <v>1933</v>
      </c>
      <c r="T8" s="285" t="s">
        <v>1955</v>
      </c>
    </row>
    <row r="9" spans="1:20" ht="14.25" customHeight="1">
      <c r="A9" s="280" t="s">
        <v>1604</v>
      </c>
      <c r="B9" s="290" t="s">
        <v>1609</v>
      </c>
      <c r="C9" s="291">
        <v>28140</v>
      </c>
      <c r="D9" s="291"/>
      <c r="E9" s="291"/>
      <c r="F9" s="292"/>
      <c r="G9" s="287" t="s">
        <v>1679</v>
      </c>
      <c r="H9" s="288">
        <f>SUMPRODUCT((B76:B109=基准地价修正!I2)*(C3:F3=基准地价修正!E2)*(C76:F109))</f>
        <v>0</v>
      </c>
      <c r="J9" s="285" t="s">
        <v>1618</v>
      </c>
      <c r="K9" s="285" t="s">
        <v>1638</v>
      </c>
      <c r="L9" s="285" t="s">
        <v>1659</v>
      </c>
      <c r="M9" s="285" t="s">
        <v>1687</v>
      </c>
      <c r="N9" s="285" t="s">
        <v>1722</v>
      </c>
      <c r="O9" s="285" t="s">
        <v>1771</v>
      </c>
      <c r="P9" s="285" t="s">
        <v>1820</v>
      </c>
      <c r="Q9" s="285" t="s">
        <v>1860</v>
      </c>
      <c r="R9" s="285" t="s">
        <v>1907</v>
      </c>
      <c r="S9" s="285" t="s">
        <v>1934</v>
      </c>
    </row>
    <row r="10" spans="1:20" ht="14.25" customHeight="1">
      <c r="A10" s="280" t="s">
        <v>1610</v>
      </c>
      <c r="B10" s="281" t="s">
        <v>1611</v>
      </c>
      <c r="C10" s="281">
        <v>27450</v>
      </c>
      <c r="D10" s="281">
        <v>26180</v>
      </c>
      <c r="E10" s="281">
        <v>25980</v>
      </c>
      <c r="F10" s="282">
        <v>8910</v>
      </c>
      <c r="G10" s="287" t="s">
        <v>1714</v>
      </c>
      <c r="H10" s="288">
        <f>SUMPRODUCT((B110:B157=基准地价修正!I2)*(C3:F3=基准地价修正!E2)*(C110:F157))</f>
        <v>0</v>
      </c>
      <c r="J10" s="285" t="s">
        <v>1619</v>
      </c>
      <c r="K10" s="285" t="s">
        <v>1639</v>
      </c>
      <c r="L10" s="285" t="s">
        <v>1660</v>
      </c>
      <c r="M10" s="285" t="s">
        <v>1688</v>
      </c>
      <c r="N10" s="285" t="s">
        <v>1723</v>
      </c>
      <c r="O10" s="285" t="s">
        <v>1772</v>
      </c>
      <c r="P10" s="285" t="s">
        <v>1821</v>
      </c>
      <c r="Q10" s="285" t="s">
        <v>1861</v>
      </c>
      <c r="R10" s="285" t="s">
        <v>1908</v>
      </c>
      <c r="S10" s="285" t="s">
        <v>1935</v>
      </c>
    </row>
    <row r="11" spans="1:20" ht="14.25" customHeight="1">
      <c r="A11" s="280" t="s">
        <v>1610</v>
      </c>
      <c r="B11" s="289" t="s">
        <v>1612</v>
      </c>
      <c r="C11" s="285">
        <v>22950</v>
      </c>
      <c r="D11" s="285">
        <v>22630</v>
      </c>
      <c r="E11" s="285">
        <v>22030</v>
      </c>
      <c r="F11" s="293">
        <v>8330</v>
      </c>
      <c r="G11" s="287" t="s">
        <v>1763</v>
      </c>
      <c r="H11" s="288">
        <f>SUMPRODUCT((B158:B205=基准地价修正!I2)*(C3:F3=基准地价修正!E2)*(C158:F205))</f>
        <v>0</v>
      </c>
      <c r="J11" s="285" t="s">
        <v>1620</v>
      </c>
      <c r="K11" s="285" t="s">
        <v>1640</v>
      </c>
      <c r="L11" s="285" t="s">
        <v>1661</v>
      </c>
      <c r="M11" s="285" t="s">
        <v>1689</v>
      </c>
      <c r="N11" s="285" t="s">
        <v>1724</v>
      </c>
      <c r="O11" s="285" t="s">
        <v>1773</v>
      </c>
      <c r="P11" s="285" t="s">
        <v>1822</v>
      </c>
      <c r="Q11" s="285" t="s">
        <v>1862</v>
      </c>
      <c r="R11" s="285" t="s">
        <v>1909</v>
      </c>
      <c r="S11" s="285" t="s">
        <v>1936</v>
      </c>
    </row>
    <row r="12" spans="1:20" ht="14.25" customHeight="1">
      <c r="A12" s="280" t="s">
        <v>1610</v>
      </c>
      <c r="B12" s="289" t="s">
        <v>1613</v>
      </c>
      <c r="C12" s="285">
        <v>24940</v>
      </c>
      <c r="D12" s="285">
        <v>23180</v>
      </c>
      <c r="E12" s="285">
        <v>22910</v>
      </c>
      <c r="F12" s="293">
        <v>7180</v>
      </c>
      <c r="G12" s="287" t="s">
        <v>1812</v>
      </c>
      <c r="H12" s="288">
        <f>SUMPRODUCT((B206:B244=基准地价修正!I2)*(C3:F3=基准地价修正!E2)*(C206:F244))</f>
        <v>0</v>
      </c>
      <c r="J12" s="285" t="s">
        <v>1621</v>
      </c>
      <c r="K12" s="285" t="s">
        <v>1641</v>
      </c>
      <c r="L12" s="285" t="s">
        <v>1662</v>
      </c>
      <c r="M12" s="285" t="s">
        <v>1690</v>
      </c>
      <c r="N12" s="285" t="s">
        <v>1725</v>
      </c>
      <c r="O12" s="285" t="s">
        <v>1774</v>
      </c>
      <c r="P12" s="285" t="s">
        <v>1823</v>
      </c>
      <c r="Q12" s="285" t="s">
        <v>1863</v>
      </c>
      <c r="R12" s="285" t="s">
        <v>1910</v>
      </c>
      <c r="S12" s="285" t="s">
        <v>1937</v>
      </c>
    </row>
    <row r="13" spans="1:20" ht="14.25" customHeight="1">
      <c r="A13" s="280" t="s">
        <v>1610</v>
      </c>
      <c r="B13" s="289" t="s">
        <v>1614</v>
      </c>
      <c r="C13" s="285">
        <v>24140</v>
      </c>
      <c r="D13" s="285">
        <v>22270</v>
      </c>
      <c r="E13" s="285">
        <v>21950</v>
      </c>
      <c r="F13" s="293">
        <v>7600</v>
      </c>
      <c r="G13" s="287" t="s">
        <v>1852</v>
      </c>
      <c r="H13" s="288">
        <f>SUMPRODUCT((B245:B289=基准地价修正!I2)*(C3:F3=基准地价修正!E2)*(C245:F289))</f>
        <v>0</v>
      </c>
      <c r="J13" s="285" t="s">
        <v>1622</v>
      </c>
      <c r="K13" s="285" t="s">
        <v>1642</v>
      </c>
      <c r="L13" s="285" t="s">
        <v>1663</v>
      </c>
      <c r="M13" s="285" t="s">
        <v>1691</v>
      </c>
      <c r="N13" s="285" t="s">
        <v>1726</v>
      </c>
      <c r="O13" s="285" t="s">
        <v>1775</v>
      </c>
      <c r="P13" s="285" t="s">
        <v>1824</v>
      </c>
      <c r="Q13" s="285" t="s">
        <v>1864</v>
      </c>
      <c r="R13" s="285" t="s">
        <v>1911</v>
      </c>
      <c r="S13" s="285" t="s">
        <v>1938</v>
      </c>
    </row>
    <row r="14" spans="1:20" ht="14.25" customHeight="1">
      <c r="A14" s="280" t="s">
        <v>1610</v>
      </c>
      <c r="B14" s="289" t="s">
        <v>1615</v>
      </c>
      <c r="C14" s="285">
        <v>25600</v>
      </c>
      <c r="D14" s="285">
        <v>22260</v>
      </c>
      <c r="E14" s="285">
        <v>22110</v>
      </c>
      <c r="F14" s="293">
        <v>7630</v>
      </c>
      <c r="G14" s="287" t="s">
        <v>1898</v>
      </c>
      <c r="H14" s="288">
        <f>SUMPRODUCT((B290:B316=基准地价修正!I2)*(C3:F3=基准地价修正!E2)*(C290:F316))</f>
        <v>0</v>
      </c>
      <c r="J14" s="285" t="s">
        <v>1623</v>
      </c>
      <c r="K14" s="285" t="s">
        <v>1643</v>
      </c>
      <c r="L14" s="285" t="s">
        <v>1664</v>
      </c>
      <c r="M14" s="285" t="s">
        <v>1692</v>
      </c>
      <c r="N14" s="285" t="s">
        <v>1727</v>
      </c>
      <c r="O14" s="285" t="s">
        <v>1776</v>
      </c>
      <c r="P14" s="285" t="s">
        <v>1825</v>
      </c>
      <c r="Q14" s="285" t="s">
        <v>1865</v>
      </c>
      <c r="R14" s="285" t="s">
        <v>1912</v>
      </c>
      <c r="S14" s="285" t="s">
        <v>1939</v>
      </c>
    </row>
    <row r="15" spans="1:20" ht="14.25" customHeight="1">
      <c r="A15" s="280" t="s">
        <v>1610</v>
      </c>
      <c r="B15" s="289" t="s">
        <v>1616</v>
      </c>
      <c r="C15" s="285">
        <v>24760</v>
      </c>
      <c r="D15" s="285">
        <v>24440</v>
      </c>
      <c r="E15" s="285">
        <v>24130</v>
      </c>
      <c r="F15" s="293">
        <v>9480</v>
      </c>
      <c r="G15" s="287" t="s">
        <v>1926</v>
      </c>
      <c r="H15" s="288">
        <f>SUMPRODUCT((B317:B337=基准地价修正!I2)*(C3:F3=基准地价修正!E2)*(C317:F337))</f>
        <v>0</v>
      </c>
      <c r="J15" s="285" t="s">
        <v>1624</v>
      </c>
      <c r="K15" s="285" t="s">
        <v>1644</v>
      </c>
      <c r="L15" s="285" t="s">
        <v>1665</v>
      </c>
      <c r="M15" s="285" t="s">
        <v>1693</v>
      </c>
      <c r="N15" s="285" t="s">
        <v>1728</v>
      </c>
      <c r="O15" s="285" t="s">
        <v>1777</v>
      </c>
      <c r="P15" s="285" t="s">
        <v>1826</v>
      </c>
      <c r="Q15" s="285" t="s">
        <v>1866</v>
      </c>
      <c r="R15" s="285" t="s">
        <v>1913</v>
      </c>
      <c r="S15" s="285" t="s">
        <v>1940</v>
      </c>
    </row>
    <row r="16" spans="1:20" ht="14.25" customHeight="1">
      <c r="A16" s="280" t="s">
        <v>1610</v>
      </c>
      <c r="B16" s="289" t="s">
        <v>1617</v>
      </c>
      <c r="C16" s="285">
        <v>22220</v>
      </c>
      <c r="D16" s="285">
        <v>22310</v>
      </c>
      <c r="E16" s="285">
        <v>22000</v>
      </c>
      <c r="F16" s="293">
        <v>8900</v>
      </c>
      <c r="G16" s="294" t="s">
        <v>1948</v>
      </c>
      <c r="H16" s="295">
        <f>SUMPRODUCT((B338:B344=基准地价修正!I2)*(C3:F3=基准地价修正!E2)*(C338:F344))</f>
        <v>0</v>
      </c>
      <c r="J16" s="285" t="s">
        <v>1625</v>
      </c>
      <c r="K16" s="285" t="s">
        <v>1645</v>
      </c>
      <c r="L16" s="285" t="s">
        <v>1666</v>
      </c>
      <c r="M16" s="285" t="s">
        <v>1694</v>
      </c>
      <c r="N16" s="285" t="s">
        <v>1729</v>
      </c>
      <c r="O16" s="285" t="s">
        <v>1778</v>
      </c>
      <c r="P16" s="285" t="s">
        <v>1827</v>
      </c>
      <c r="Q16" s="285" t="s">
        <v>1867</v>
      </c>
      <c r="R16" s="285" t="s">
        <v>1914</v>
      </c>
      <c r="S16" s="285" t="s">
        <v>1941</v>
      </c>
    </row>
    <row r="17" spans="1:19" ht="14.25" customHeight="1">
      <c r="A17" s="280" t="s">
        <v>1610</v>
      </c>
      <c r="B17" s="289" t="s">
        <v>1618</v>
      </c>
      <c r="C17" s="285">
        <v>24700</v>
      </c>
      <c r="D17" s="285">
        <v>25150</v>
      </c>
      <c r="E17" s="285">
        <v>24700</v>
      </c>
      <c r="F17" s="296"/>
      <c r="H17" s="297"/>
      <c r="J17" s="285" t="s">
        <v>1626</v>
      </c>
      <c r="K17" s="285" t="s">
        <v>1646</v>
      </c>
      <c r="L17" s="285" t="s">
        <v>1667</v>
      </c>
      <c r="M17" s="285" t="s">
        <v>1695</v>
      </c>
      <c r="N17" s="285" t="s">
        <v>1730</v>
      </c>
      <c r="O17" s="285" t="s">
        <v>1779</v>
      </c>
      <c r="P17" s="285" t="s">
        <v>1828</v>
      </c>
      <c r="Q17" s="285" t="s">
        <v>1868</v>
      </c>
      <c r="R17" s="285" t="s">
        <v>1915</v>
      </c>
      <c r="S17" s="285" t="s">
        <v>1942</v>
      </c>
    </row>
    <row r="18" spans="1:19" ht="14.25" customHeight="1">
      <c r="A18" s="280" t="s">
        <v>1610</v>
      </c>
      <c r="B18" s="289" t="s">
        <v>1619</v>
      </c>
      <c r="C18" s="285">
        <v>22350</v>
      </c>
      <c r="D18" s="285">
        <v>24340</v>
      </c>
      <c r="E18" s="285">
        <v>24100</v>
      </c>
      <c r="F18" s="296"/>
      <c r="H18" s="297"/>
      <c r="J18" s="285" t="s">
        <v>1627</v>
      </c>
      <c r="K18" s="285" t="s">
        <v>1647</v>
      </c>
      <c r="L18" s="285" t="s">
        <v>1668</v>
      </c>
      <c r="M18" s="285" t="s">
        <v>1696</v>
      </c>
      <c r="N18" s="285" t="s">
        <v>1731</v>
      </c>
      <c r="O18" s="285" t="s">
        <v>1780</v>
      </c>
      <c r="P18" s="285" t="s">
        <v>1829</v>
      </c>
      <c r="Q18" s="285" t="s">
        <v>1869</v>
      </c>
      <c r="R18" s="285" t="s">
        <v>1916</v>
      </c>
      <c r="S18" s="285" t="s">
        <v>1943</v>
      </c>
    </row>
    <row r="19" spans="1:19" ht="14.25" customHeight="1">
      <c r="A19" s="280" t="s">
        <v>1610</v>
      </c>
      <c r="B19" s="289" t="s">
        <v>1620</v>
      </c>
      <c r="C19" s="285">
        <v>23430</v>
      </c>
      <c r="D19" s="285">
        <v>21580</v>
      </c>
      <c r="E19" s="285">
        <v>21350</v>
      </c>
      <c r="F19" s="296"/>
      <c r="H19" s="297"/>
      <c r="J19" s="285" t="s">
        <v>1628</v>
      </c>
      <c r="K19" s="285" t="s">
        <v>1648</v>
      </c>
      <c r="L19" s="285" t="s">
        <v>1669</v>
      </c>
      <c r="M19" s="285" t="s">
        <v>1697</v>
      </c>
      <c r="N19" s="285" t="s">
        <v>1732</v>
      </c>
      <c r="O19" s="285" t="s">
        <v>1781</v>
      </c>
      <c r="P19" s="285" t="s">
        <v>1830</v>
      </c>
      <c r="Q19" s="285" t="s">
        <v>1870</v>
      </c>
      <c r="R19" s="285" t="s">
        <v>1917</v>
      </c>
      <c r="S19" s="285" t="s">
        <v>1944</v>
      </c>
    </row>
    <row r="20" spans="1:19" ht="14.25" customHeight="1">
      <c r="A20" s="280" t="s">
        <v>1610</v>
      </c>
      <c r="B20" s="289" t="s">
        <v>1621</v>
      </c>
      <c r="C20" s="285">
        <v>27660</v>
      </c>
      <c r="D20" s="285">
        <v>24240</v>
      </c>
      <c r="E20" s="285">
        <v>24020</v>
      </c>
      <c r="F20" s="296"/>
      <c r="J20" s="285" t="s">
        <v>1629</v>
      </c>
      <c r="K20" s="285" t="s">
        <v>1649</v>
      </c>
      <c r="L20" s="285" t="s">
        <v>1670</v>
      </c>
      <c r="M20" s="285" t="s">
        <v>1698</v>
      </c>
      <c r="N20" s="285" t="s">
        <v>1733</v>
      </c>
      <c r="O20" s="285" t="s">
        <v>1782</v>
      </c>
      <c r="P20" s="285" t="s">
        <v>1831</v>
      </c>
      <c r="Q20" s="285" t="s">
        <v>1871</v>
      </c>
      <c r="R20" s="285" t="s">
        <v>1918</v>
      </c>
      <c r="S20" s="285" t="s">
        <v>1945</v>
      </c>
    </row>
    <row r="21" spans="1:19" ht="14.25" customHeight="1">
      <c r="A21" s="280" t="s">
        <v>1610</v>
      </c>
      <c r="B21" s="289" t="s">
        <v>1622</v>
      </c>
      <c r="C21" s="285">
        <v>24720</v>
      </c>
      <c r="D21" s="285">
        <v>21670</v>
      </c>
      <c r="E21" s="285">
        <v>21510</v>
      </c>
      <c r="F21" s="296"/>
      <c r="K21" s="285" t="s">
        <v>1650</v>
      </c>
      <c r="L21" s="285" t="s">
        <v>1671</v>
      </c>
      <c r="M21" s="285" t="s">
        <v>1699</v>
      </c>
      <c r="N21" s="285" t="s">
        <v>1734</v>
      </c>
      <c r="O21" s="285" t="s">
        <v>1783</v>
      </c>
      <c r="P21" s="285" t="s">
        <v>1832</v>
      </c>
      <c r="Q21" s="285" t="s">
        <v>1872</v>
      </c>
      <c r="R21" s="285" t="s">
        <v>1919</v>
      </c>
      <c r="S21" s="285" t="s">
        <v>1946</v>
      </c>
    </row>
    <row r="22" spans="1:19" ht="14.25" customHeight="1">
      <c r="A22" s="280" t="s">
        <v>1610</v>
      </c>
      <c r="B22" s="289" t="s">
        <v>1623</v>
      </c>
      <c r="C22" s="285">
        <v>26530</v>
      </c>
      <c r="D22" s="285">
        <v>22980</v>
      </c>
      <c r="E22" s="285">
        <v>22650</v>
      </c>
      <c r="F22" s="296"/>
      <c r="L22" s="285" t="s">
        <v>1672</v>
      </c>
      <c r="M22" s="285" t="s">
        <v>1700</v>
      </c>
      <c r="N22" s="285" t="s">
        <v>1735</v>
      </c>
      <c r="O22" s="285" t="s">
        <v>1784</v>
      </c>
      <c r="P22" s="285" t="s">
        <v>1833</v>
      </c>
      <c r="Q22" s="285" t="s">
        <v>1873</v>
      </c>
      <c r="R22" s="285" t="s">
        <v>1920</v>
      </c>
      <c r="S22" s="289" t="s">
        <v>1947</v>
      </c>
    </row>
    <row r="23" spans="1:19" ht="14.25" customHeight="1">
      <c r="A23" s="280" t="s">
        <v>1610</v>
      </c>
      <c r="B23" s="289" t="s">
        <v>1624</v>
      </c>
      <c r="C23" s="285">
        <v>24700</v>
      </c>
      <c r="D23" s="285">
        <v>27290</v>
      </c>
      <c r="E23" s="285">
        <v>26710</v>
      </c>
      <c r="F23" s="296"/>
      <c r="L23" s="285" t="s">
        <v>1673</v>
      </c>
      <c r="M23" s="285" t="s">
        <v>1701</v>
      </c>
      <c r="N23" s="285" t="s">
        <v>1736</v>
      </c>
      <c r="O23" s="285" t="s">
        <v>1785</v>
      </c>
      <c r="P23" s="285" t="s">
        <v>1834</v>
      </c>
      <c r="Q23" s="285" t="s">
        <v>1874</v>
      </c>
      <c r="R23" s="285" t="s">
        <v>1921</v>
      </c>
    </row>
    <row r="24" spans="1:19" ht="14.25" customHeight="1">
      <c r="A24" s="280" t="s">
        <v>1610</v>
      </c>
      <c r="B24" s="289" t="s">
        <v>1625</v>
      </c>
      <c r="C24" s="285">
        <v>23070</v>
      </c>
      <c r="D24" s="285">
        <v>24130</v>
      </c>
      <c r="E24" s="285">
        <v>23860</v>
      </c>
      <c r="F24" s="296"/>
      <c r="L24" s="285" t="s">
        <v>1674</v>
      </c>
      <c r="M24" s="285" t="s">
        <v>1702</v>
      </c>
      <c r="N24" s="285" t="s">
        <v>1737</v>
      </c>
      <c r="O24" s="285" t="s">
        <v>1786</v>
      </c>
      <c r="P24" s="285" t="s">
        <v>1835</v>
      </c>
      <c r="Q24" s="285" t="s">
        <v>1875</v>
      </c>
      <c r="R24" s="285" t="s">
        <v>1922</v>
      </c>
    </row>
    <row r="25" spans="1:19" ht="14.25" customHeight="1">
      <c r="A25" s="280" t="s">
        <v>1610</v>
      </c>
      <c r="B25" s="289" t="s">
        <v>1626</v>
      </c>
      <c r="C25" s="285">
        <v>27550</v>
      </c>
      <c r="D25" s="285">
        <v>25850</v>
      </c>
      <c r="E25" s="285">
        <v>25340</v>
      </c>
      <c r="F25" s="296"/>
      <c r="L25" s="285" t="s">
        <v>1675</v>
      </c>
      <c r="M25" s="285" t="s">
        <v>1703</v>
      </c>
      <c r="N25" s="285" t="s">
        <v>1738</v>
      </c>
      <c r="O25" s="285" t="s">
        <v>1787</v>
      </c>
      <c r="P25" s="285" t="s">
        <v>1836</v>
      </c>
      <c r="Q25" s="285" t="s">
        <v>1876</v>
      </c>
      <c r="R25" s="285" t="s">
        <v>1923</v>
      </c>
    </row>
    <row r="26" spans="1:19" ht="14.25" customHeight="1">
      <c r="A26" s="280" t="s">
        <v>1610</v>
      </c>
      <c r="B26" s="289" t="s">
        <v>1627</v>
      </c>
      <c r="C26" s="285"/>
      <c r="D26" s="285">
        <v>23900</v>
      </c>
      <c r="E26" s="285">
        <v>23590</v>
      </c>
      <c r="F26" s="296"/>
      <c r="L26" s="285" t="s">
        <v>1676</v>
      </c>
      <c r="M26" s="285" t="s">
        <v>1704</v>
      </c>
      <c r="N26" s="285" t="s">
        <v>1739</v>
      </c>
      <c r="O26" s="285" t="s">
        <v>1788</v>
      </c>
      <c r="P26" s="285" t="s">
        <v>1837</v>
      </c>
      <c r="Q26" s="285" t="s">
        <v>1877</v>
      </c>
      <c r="R26" s="285" t="s">
        <v>1924</v>
      </c>
    </row>
    <row r="27" spans="1:19" ht="14.25" customHeight="1">
      <c r="A27" s="280" t="s">
        <v>1610</v>
      </c>
      <c r="B27" s="289" t="s">
        <v>1628</v>
      </c>
      <c r="C27" s="285"/>
      <c r="D27" s="285">
        <v>22850</v>
      </c>
      <c r="E27" s="285">
        <v>21920</v>
      </c>
      <c r="F27" s="296"/>
      <c r="L27" s="285" t="s">
        <v>1677</v>
      </c>
      <c r="M27" s="285" t="s">
        <v>1705</v>
      </c>
      <c r="N27" s="285" t="s">
        <v>1740</v>
      </c>
      <c r="O27" s="285" t="s">
        <v>1789</v>
      </c>
      <c r="P27" s="285" t="s">
        <v>1838</v>
      </c>
      <c r="Q27" s="285" t="s">
        <v>1878</v>
      </c>
      <c r="R27" s="285" t="s">
        <v>1925</v>
      </c>
    </row>
    <row r="28" spans="1:19" ht="14.25" customHeight="1">
      <c r="A28" s="298" t="s">
        <v>1610</v>
      </c>
      <c r="B28" s="290" t="s">
        <v>1629</v>
      </c>
      <c r="C28" s="291"/>
      <c r="D28" s="291">
        <v>26610</v>
      </c>
      <c r="E28" s="291">
        <v>26370</v>
      </c>
      <c r="F28" s="292"/>
      <c r="L28" s="285" t="s">
        <v>1678</v>
      </c>
      <c r="M28" s="285" t="s">
        <v>1706</v>
      </c>
      <c r="N28" s="285" t="s">
        <v>1741</v>
      </c>
      <c r="O28" s="285" t="s">
        <v>1790</v>
      </c>
      <c r="P28" s="285" t="s">
        <v>1839</v>
      </c>
      <c r="Q28" s="285" t="s">
        <v>1879</v>
      </c>
    </row>
    <row r="29" spans="1:19" ht="14.25" customHeight="1">
      <c r="A29" s="280" t="s">
        <v>1630</v>
      </c>
      <c r="B29" s="281" t="s">
        <v>1631</v>
      </c>
      <c r="C29" s="281">
        <v>22090</v>
      </c>
      <c r="D29" s="281">
        <v>21860</v>
      </c>
      <c r="E29" s="281">
        <v>19380</v>
      </c>
      <c r="F29" s="282">
        <v>6610</v>
      </c>
      <c r="M29" s="285" t="s">
        <v>1707</v>
      </c>
      <c r="N29" s="285" t="s">
        <v>1742</v>
      </c>
      <c r="O29" s="285" t="s">
        <v>1791</v>
      </c>
      <c r="P29" s="285" t="s">
        <v>1840</v>
      </c>
      <c r="Q29" s="285" t="s">
        <v>1880</v>
      </c>
    </row>
    <row r="30" spans="1:19" ht="14.25" customHeight="1">
      <c r="A30" s="280" t="s">
        <v>1630</v>
      </c>
      <c r="B30" s="289" t="s">
        <v>1632</v>
      </c>
      <c r="C30" s="285">
        <v>21380</v>
      </c>
      <c r="D30" s="285">
        <v>19930</v>
      </c>
      <c r="E30" s="285">
        <v>19860</v>
      </c>
      <c r="F30" s="293">
        <v>6010</v>
      </c>
      <c r="H30" s="297"/>
      <c r="M30" s="285" t="s">
        <v>1708</v>
      </c>
      <c r="N30" s="285" t="s">
        <v>1743</v>
      </c>
      <c r="O30" s="285" t="s">
        <v>1792</v>
      </c>
      <c r="P30" s="285" t="s">
        <v>1995</v>
      </c>
      <c r="Q30" s="285" t="s">
        <v>1881</v>
      </c>
    </row>
    <row r="31" spans="1:19" ht="14.25" customHeight="1">
      <c r="A31" s="280" t="s">
        <v>1630</v>
      </c>
      <c r="B31" s="289" t="s">
        <v>1633</v>
      </c>
      <c r="C31" s="285">
        <v>21670</v>
      </c>
      <c r="D31" s="285">
        <v>20660</v>
      </c>
      <c r="E31" s="285">
        <v>20290</v>
      </c>
      <c r="F31" s="293">
        <v>5840</v>
      </c>
      <c r="H31" s="297"/>
      <c r="M31" s="285" t="s">
        <v>1709</v>
      </c>
      <c r="N31" s="285" t="s">
        <v>1744</v>
      </c>
      <c r="O31" s="285" t="s">
        <v>1793</v>
      </c>
      <c r="P31" s="285" t="s">
        <v>1842</v>
      </c>
      <c r="Q31" s="285" t="s">
        <v>1882</v>
      </c>
    </row>
    <row r="32" spans="1:19" ht="14.25" customHeight="1">
      <c r="A32" s="280" t="s">
        <v>1630</v>
      </c>
      <c r="B32" s="289" t="s">
        <v>1634</v>
      </c>
      <c r="C32" s="285">
        <v>22280</v>
      </c>
      <c r="D32" s="285">
        <v>21800</v>
      </c>
      <c r="E32" s="285">
        <v>17650</v>
      </c>
      <c r="F32" s="293">
        <v>4690</v>
      </c>
      <c r="H32" s="297"/>
      <c r="M32" s="285" t="s">
        <v>1710</v>
      </c>
      <c r="N32" s="285" t="s">
        <v>1745</v>
      </c>
      <c r="O32" s="285" t="s">
        <v>1794</v>
      </c>
      <c r="P32" s="285" t="s">
        <v>1843</v>
      </c>
      <c r="Q32" s="285" t="s">
        <v>1883</v>
      </c>
    </row>
    <row r="33" spans="1:17" ht="14.25" customHeight="1">
      <c r="A33" s="280" t="s">
        <v>1630</v>
      </c>
      <c r="B33" s="289" t="s">
        <v>1635</v>
      </c>
      <c r="C33" s="285">
        <v>22130</v>
      </c>
      <c r="D33" s="285">
        <v>20460</v>
      </c>
      <c r="E33" s="285">
        <v>18500</v>
      </c>
      <c r="F33" s="293">
        <v>5340</v>
      </c>
      <c r="H33" s="297"/>
      <c r="M33" s="285" t="s">
        <v>1711</v>
      </c>
      <c r="N33" s="285" t="s">
        <v>1746</v>
      </c>
      <c r="O33" s="285" t="s">
        <v>1795</v>
      </c>
      <c r="P33" s="285" t="s">
        <v>1844</v>
      </c>
      <c r="Q33" s="285" t="s">
        <v>1884</v>
      </c>
    </row>
    <row r="34" spans="1:17" ht="14.25" customHeight="1">
      <c r="A34" s="280" t="s">
        <v>1630</v>
      </c>
      <c r="B34" s="289" t="s">
        <v>1636</v>
      </c>
      <c r="C34" s="285">
        <v>22070</v>
      </c>
      <c r="D34" s="285">
        <v>20110</v>
      </c>
      <c r="E34" s="285">
        <v>18830</v>
      </c>
      <c r="F34" s="293">
        <v>5190</v>
      </c>
      <c r="H34" s="297"/>
      <c r="M34" s="285" t="s">
        <v>1712</v>
      </c>
      <c r="N34" s="285" t="s">
        <v>1747</v>
      </c>
      <c r="O34" s="285" t="s">
        <v>1796</v>
      </c>
      <c r="P34" s="285" t="s">
        <v>1845</v>
      </c>
      <c r="Q34" s="285" t="s">
        <v>1885</v>
      </c>
    </row>
    <row r="35" spans="1:17" ht="14.25" customHeight="1">
      <c r="A35" s="280" t="s">
        <v>1630</v>
      </c>
      <c r="B35" s="289" t="s">
        <v>1637</v>
      </c>
      <c r="C35" s="285">
        <v>22240</v>
      </c>
      <c r="D35" s="285">
        <v>19550</v>
      </c>
      <c r="E35" s="285">
        <v>19220</v>
      </c>
      <c r="F35" s="293">
        <v>5800</v>
      </c>
      <c r="H35" s="297"/>
      <c r="M35" s="285" t="s">
        <v>1713</v>
      </c>
      <c r="N35" s="285" t="s">
        <v>1748</v>
      </c>
      <c r="O35" s="285" t="s">
        <v>1797</v>
      </c>
      <c r="P35" s="285" t="s">
        <v>1846</v>
      </c>
      <c r="Q35" s="285" t="s">
        <v>1886</v>
      </c>
    </row>
    <row r="36" spans="1:17" ht="14.25" customHeight="1">
      <c r="A36" s="280" t="s">
        <v>1630</v>
      </c>
      <c r="B36" s="289" t="s">
        <v>1638</v>
      </c>
      <c r="C36" s="285">
        <v>19750</v>
      </c>
      <c r="D36" s="285">
        <v>19790</v>
      </c>
      <c r="E36" s="285">
        <v>18510</v>
      </c>
      <c r="F36" s="293">
        <v>6520</v>
      </c>
      <c r="H36" s="297"/>
      <c r="N36" s="285" t="s">
        <v>1749</v>
      </c>
      <c r="O36" s="285" t="s">
        <v>1798</v>
      </c>
      <c r="P36" s="285" t="s">
        <v>1847</v>
      </c>
      <c r="Q36" s="285" t="s">
        <v>1887</v>
      </c>
    </row>
    <row r="37" spans="1:17" ht="14.25" customHeight="1">
      <c r="A37" s="280" t="s">
        <v>1630</v>
      </c>
      <c r="B37" s="289" t="s">
        <v>1639</v>
      </c>
      <c r="C37" s="285">
        <v>22380</v>
      </c>
      <c r="D37" s="285">
        <v>18530</v>
      </c>
      <c r="E37" s="285">
        <v>17930</v>
      </c>
      <c r="F37" s="293">
        <v>6270</v>
      </c>
      <c r="H37" s="299"/>
      <c r="N37" s="285" t="s">
        <v>1750</v>
      </c>
      <c r="O37" s="285" t="s">
        <v>1799</v>
      </c>
      <c r="P37" s="285" t="s">
        <v>1848</v>
      </c>
      <c r="Q37" s="285" t="s">
        <v>1888</v>
      </c>
    </row>
    <row r="38" spans="1:17" ht="14.25" customHeight="1">
      <c r="A38" s="280" t="s">
        <v>1630</v>
      </c>
      <c r="B38" s="289" t="s">
        <v>1640</v>
      </c>
      <c r="C38" s="285">
        <v>20200</v>
      </c>
      <c r="D38" s="285">
        <v>20070</v>
      </c>
      <c r="E38" s="285">
        <v>19950</v>
      </c>
      <c r="F38" s="293"/>
      <c r="H38" s="300"/>
      <c r="N38" s="285" t="s">
        <v>1751</v>
      </c>
      <c r="O38" s="285" t="s">
        <v>1800</v>
      </c>
      <c r="P38" s="285" t="s">
        <v>1849</v>
      </c>
      <c r="Q38" s="285" t="s">
        <v>1889</v>
      </c>
    </row>
    <row r="39" spans="1:17" ht="14.25" customHeight="1">
      <c r="A39" s="280" t="s">
        <v>1630</v>
      </c>
      <c r="B39" s="289" t="s">
        <v>1641</v>
      </c>
      <c r="C39" s="285">
        <v>19300</v>
      </c>
      <c r="D39" s="285">
        <v>20360</v>
      </c>
      <c r="E39" s="285">
        <v>20230</v>
      </c>
      <c r="F39" s="293"/>
      <c r="H39" s="300"/>
      <c r="N39" s="285" t="s">
        <v>1752</v>
      </c>
      <c r="O39" s="285" t="s">
        <v>1801</v>
      </c>
      <c r="P39" s="285" t="s">
        <v>1850</v>
      </c>
      <c r="Q39" s="285" t="s">
        <v>1890</v>
      </c>
    </row>
    <row r="40" spans="1:17" ht="14.25" customHeight="1">
      <c r="A40" s="280" t="s">
        <v>1630</v>
      </c>
      <c r="B40" s="289" t="s">
        <v>1642</v>
      </c>
      <c r="C40" s="285">
        <v>20210</v>
      </c>
      <c r="D40" s="285">
        <v>19060</v>
      </c>
      <c r="E40" s="285">
        <v>18890</v>
      </c>
      <c r="F40" s="293"/>
      <c r="H40" s="300"/>
      <c r="N40" s="285" t="s">
        <v>1753</v>
      </c>
      <c r="O40" s="285" t="s">
        <v>1802</v>
      </c>
      <c r="P40" s="285" t="s">
        <v>1851</v>
      </c>
      <c r="Q40" s="285" t="s">
        <v>1891</v>
      </c>
    </row>
    <row r="41" spans="1:17" ht="14.25" customHeight="1">
      <c r="A41" s="280" t="s">
        <v>1630</v>
      </c>
      <c r="B41" s="289" t="s">
        <v>1643</v>
      </c>
      <c r="C41" s="285">
        <v>20560</v>
      </c>
      <c r="D41" s="285">
        <v>21040</v>
      </c>
      <c r="E41" s="285">
        <v>20740</v>
      </c>
      <c r="F41" s="293"/>
      <c r="H41" s="300"/>
      <c r="N41" s="289" t="s">
        <v>1754</v>
      </c>
      <c r="O41" s="289" t="s">
        <v>1803</v>
      </c>
      <c r="Q41" s="289" t="s">
        <v>1892</v>
      </c>
    </row>
    <row r="42" spans="1:17" ht="14.25" customHeight="1">
      <c r="A42" s="280" t="s">
        <v>1630</v>
      </c>
      <c r="B42" s="289" t="s">
        <v>1644</v>
      </c>
      <c r="C42" s="285">
        <v>19280</v>
      </c>
      <c r="D42" s="285">
        <v>22940</v>
      </c>
      <c r="E42" s="285">
        <v>22500</v>
      </c>
      <c r="F42" s="293"/>
      <c r="H42" s="300"/>
      <c r="N42" s="285" t="s">
        <v>1755</v>
      </c>
      <c r="O42" s="285" t="s">
        <v>1804</v>
      </c>
      <c r="Q42" s="285" t="s">
        <v>1893</v>
      </c>
    </row>
    <row r="43" spans="1:17" ht="14.25" customHeight="1">
      <c r="A43" s="280" t="s">
        <v>1630</v>
      </c>
      <c r="B43" s="289" t="s">
        <v>1645</v>
      </c>
      <c r="C43" s="285">
        <v>21520</v>
      </c>
      <c r="D43" s="285">
        <v>19230</v>
      </c>
      <c r="E43" s="285">
        <v>18540</v>
      </c>
      <c r="F43" s="293"/>
      <c r="H43" s="300"/>
      <c r="N43" s="285" t="s">
        <v>1756</v>
      </c>
      <c r="O43" s="285" t="s">
        <v>1805</v>
      </c>
      <c r="Q43" s="285" t="s">
        <v>1894</v>
      </c>
    </row>
    <row r="44" spans="1:17" ht="14.25" customHeight="1">
      <c r="A44" s="280" t="s">
        <v>1630</v>
      </c>
      <c r="B44" s="289" t="s">
        <v>1646</v>
      </c>
      <c r="C44" s="285">
        <v>23260</v>
      </c>
      <c r="D44" s="285">
        <v>21180</v>
      </c>
      <c r="E44" s="285">
        <v>20730</v>
      </c>
      <c r="F44" s="293"/>
      <c r="H44" s="300"/>
      <c r="N44" s="285" t="s">
        <v>1757</v>
      </c>
      <c r="O44" s="285" t="s">
        <v>1806</v>
      </c>
      <c r="Q44" s="285" t="s">
        <v>1895</v>
      </c>
    </row>
    <row r="45" spans="1:17" ht="14.25" customHeight="1">
      <c r="A45" s="280" t="s">
        <v>1630</v>
      </c>
      <c r="B45" s="289" t="s">
        <v>1647</v>
      </c>
      <c r="C45" s="285">
        <v>19610</v>
      </c>
      <c r="D45" s="285">
        <v>18090</v>
      </c>
      <c r="E45" s="285">
        <v>17970</v>
      </c>
      <c r="F45" s="293"/>
      <c r="H45" s="297"/>
      <c r="N45" s="285" t="s">
        <v>1758</v>
      </c>
      <c r="O45" s="285" t="s">
        <v>1807</v>
      </c>
      <c r="Q45" s="285" t="s">
        <v>1896</v>
      </c>
    </row>
    <row r="46" spans="1:17" ht="14.25" customHeight="1">
      <c r="A46" s="280" t="s">
        <v>1630</v>
      </c>
      <c r="B46" s="289" t="s">
        <v>1648</v>
      </c>
      <c r="C46" s="285">
        <v>21660</v>
      </c>
      <c r="D46" s="285">
        <v>19190</v>
      </c>
      <c r="E46" s="285">
        <v>19790</v>
      </c>
      <c r="F46" s="293"/>
      <c r="H46" s="300"/>
      <c r="N46" s="285" t="s">
        <v>1759</v>
      </c>
      <c r="O46" s="285" t="s">
        <v>1808</v>
      </c>
      <c r="Q46" s="285" t="s">
        <v>1897</v>
      </c>
    </row>
    <row r="47" spans="1:17" ht="14.25" customHeight="1">
      <c r="A47" s="280" t="s">
        <v>1630</v>
      </c>
      <c r="B47" s="289" t="s">
        <v>1649</v>
      </c>
      <c r="C47" s="285">
        <v>18220</v>
      </c>
      <c r="D47" s="285"/>
      <c r="E47" s="285">
        <v>17220</v>
      </c>
      <c r="F47" s="293"/>
      <c r="H47" s="300"/>
      <c r="N47" s="285" t="s">
        <v>1760</v>
      </c>
      <c r="O47" s="285" t="s">
        <v>1809</v>
      </c>
    </row>
    <row r="48" spans="1:17" ht="14.25" customHeight="1">
      <c r="A48" s="280" t="s">
        <v>1630</v>
      </c>
      <c r="B48" s="290" t="s">
        <v>1650</v>
      </c>
      <c r="C48" s="291">
        <v>19430</v>
      </c>
      <c r="D48" s="291"/>
      <c r="E48" s="291">
        <v>17830</v>
      </c>
      <c r="F48" s="301"/>
      <c r="H48" s="297"/>
      <c r="N48" s="285" t="s">
        <v>1761</v>
      </c>
      <c r="O48" s="285" t="s">
        <v>1810</v>
      </c>
    </row>
    <row r="49" spans="1:15" ht="14.25" customHeight="1">
      <c r="A49" s="280" t="s">
        <v>1651</v>
      </c>
      <c r="B49" s="281" t="s">
        <v>1652</v>
      </c>
      <c r="C49" s="281">
        <v>17090</v>
      </c>
      <c r="D49" s="281">
        <v>16950</v>
      </c>
      <c r="E49" s="281">
        <v>16310</v>
      </c>
      <c r="F49" s="282">
        <v>4540</v>
      </c>
      <c r="H49" s="300"/>
      <c r="N49" s="285" t="s">
        <v>1762</v>
      </c>
      <c r="O49" s="285" t="s">
        <v>1811</v>
      </c>
    </row>
    <row r="50" spans="1:15" ht="14.25" customHeight="1">
      <c r="A50" s="280" t="s">
        <v>1651</v>
      </c>
      <c r="B50" s="285" t="s">
        <v>1653</v>
      </c>
      <c r="C50" s="285">
        <v>19040</v>
      </c>
      <c r="D50" s="285">
        <v>16960</v>
      </c>
      <c r="E50" s="285">
        <v>14800</v>
      </c>
      <c r="F50" s="293">
        <v>3940</v>
      </c>
      <c r="H50" s="300"/>
    </row>
    <row r="51" spans="1:15" ht="14.25" customHeight="1">
      <c r="A51" s="280" t="s">
        <v>1651</v>
      </c>
      <c r="B51" s="285" t="s">
        <v>1654</v>
      </c>
      <c r="C51" s="285">
        <v>17040</v>
      </c>
      <c r="D51" s="285">
        <v>16930</v>
      </c>
      <c r="E51" s="285">
        <v>15030</v>
      </c>
      <c r="F51" s="293">
        <v>4120</v>
      </c>
      <c r="H51" s="300"/>
    </row>
    <row r="52" spans="1:15" ht="14.25" customHeight="1">
      <c r="A52" s="280" t="s">
        <v>1651</v>
      </c>
      <c r="B52" s="285" t="s">
        <v>1655</v>
      </c>
      <c r="C52" s="285">
        <v>17110</v>
      </c>
      <c r="D52" s="285">
        <v>17750</v>
      </c>
      <c r="E52" s="285">
        <v>17310</v>
      </c>
      <c r="F52" s="293">
        <v>3220</v>
      </c>
      <c r="H52" s="300"/>
    </row>
    <row r="53" spans="1:15" ht="14.25" customHeight="1">
      <c r="A53" s="280" t="s">
        <v>1651</v>
      </c>
      <c r="B53" s="285" t="s">
        <v>1656</v>
      </c>
      <c r="C53" s="285">
        <v>17810</v>
      </c>
      <c r="D53" s="285">
        <v>17260</v>
      </c>
      <c r="E53" s="285">
        <v>17090</v>
      </c>
      <c r="F53" s="293">
        <v>3520</v>
      </c>
      <c r="H53" s="300"/>
    </row>
    <row r="54" spans="1:15" ht="14.25" customHeight="1">
      <c r="A54" s="280" t="s">
        <v>1651</v>
      </c>
      <c r="B54" s="285" t="s">
        <v>1657</v>
      </c>
      <c r="C54" s="285">
        <v>17410</v>
      </c>
      <c r="D54" s="285">
        <v>16780</v>
      </c>
      <c r="E54" s="285">
        <v>16370</v>
      </c>
      <c r="F54" s="293">
        <v>3410</v>
      </c>
      <c r="H54" s="300"/>
    </row>
    <row r="55" spans="1:15" ht="14.25" customHeight="1">
      <c r="A55" s="280" t="s">
        <v>1651</v>
      </c>
      <c r="B55" s="285" t="s">
        <v>1658</v>
      </c>
      <c r="C55" s="285">
        <v>16930</v>
      </c>
      <c r="D55" s="285">
        <v>14720</v>
      </c>
      <c r="E55" s="285">
        <v>15000</v>
      </c>
      <c r="F55" s="293">
        <v>3710</v>
      </c>
      <c r="H55" s="300"/>
    </row>
    <row r="56" spans="1:15" ht="14.25" customHeight="1">
      <c r="A56" s="280" t="s">
        <v>1651</v>
      </c>
      <c r="B56" s="285" t="s">
        <v>1659</v>
      </c>
      <c r="C56" s="285">
        <v>14930</v>
      </c>
      <c r="D56" s="285">
        <v>15850</v>
      </c>
      <c r="E56" s="285">
        <v>14320</v>
      </c>
      <c r="F56" s="293">
        <v>3960</v>
      </c>
      <c r="H56" s="300"/>
    </row>
    <row r="57" spans="1:15" ht="14.25" customHeight="1">
      <c r="A57" s="280" t="s">
        <v>1651</v>
      </c>
      <c r="B57" s="285" t="s">
        <v>1660</v>
      </c>
      <c r="C57" s="285">
        <v>16160</v>
      </c>
      <c r="D57" s="285">
        <v>16190</v>
      </c>
      <c r="E57" s="285">
        <v>15650</v>
      </c>
      <c r="F57" s="293">
        <v>4200</v>
      </c>
      <c r="H57" s="300"/>
    </row>
    <row r="58" spans="1:15" ht="14.25" customHeight="1">
      <c r="A58" s="280" t="s">
        <v>1651</v>
      </c>
      <c r="B58" s="285" t="s">
        <v>1661</v>
      </c>
      <c r="C58" s="285">
        <v>16360</v>
      </c>
      <c r="D58" s="285">
        <v>14050</v>
      </c>
      <c r="E58" s="285">
        <v>16070</v>
      </c>
      <c r="F58" s="293">
        <v>3990</v>
      </c>
      <c r="H58" s="300"/>
    </row>
    <row r="59" spans="1:15" ht="14.25" customHeight="1">
      <c r="A59" s="280" t="s">
        <v>1651</v>
      </c>
      <c r="B59" s="285" t="s">
        <v>1662</v>
      </c>
      <c r="C59" s="285">
        <v>14160</v>
      </c>
      <c r="D59" s="285">
        <v>16620</v>
      </c>
      <c r="E59" s="285">
        <v>13940</v>
      </c>
      <c r="F59" s="293">
        <v>4260</v>
      </c>
      <c r="H59" s="300"/>
    </row>
    <row r="60" spans="1:15" ht="14.25" customHeight="1">
      <c r="A60" s="280" t="s">
        <v>1651</v>
      </c>
      <c r="B60" s="285" t="s">
        <v>1663</v>
      </c>
      <c r="C60" s="285">
        <v>16750</v>
      </c>
      <c r="D60" s="285">
        <v>13910</v>
      </c>
      <c r="E60" s="285">
        <v>16550</v>
      </c>
      <c r="F60" s="293">
        <v>4550</v>
      </c>
      <c r="H60" s="300"/>
    </row>
    <row r="61" spans="1:15" ht="14.25" customHeight="1">
      <c r="A61" s="280" t="s">
        <v>1651</v>
      </c>
      <c r="B61" s="285" t="s">
        <v>1664</v>
      </c>
      <c r="C61" s="285">
        <v>14000</v>
      </c>
      <c r="D61" s="285">
        <v>14550</v>
      </c>
      <c r="E61" s="285">
        <v>13860</v>
      </c>
      <c r="F61" s="302"/>
      <c r="H61" s="300"/>
    </row>
    <row r="62" spans="1:15" ht="14.25" customHeight="1">
      <c r="A62" s="280" t="s">
        <v>1651</v>
      </c>
      <c r="B62" s="285" t="s">
        <v>1665</v>
      </c>
      <c r="C62" s="285">
        <v>14660</v>
      </c>
      <c r="D62" s="285">
        <v>17450</v>
      </c>
      <c r="E62" s="285">
        <v>14470</v>
      </c>
      <c r="F62" s="302"/>
      <c r="H62" s="300"/>
    </row>
    <row r="63" spans="1:15" ht="14.25" customHeight="1">
      <c r="A63" s="280" t="s">
        <v>1651</v>
      </c>
      <c r="B63" s="285" t="s">
        <v>1666</v>
      </c>
      <c r="C63" s="285">
        <v>17610</v>
      </c>
      <c r="D63" s="285">
        <v>16500</v>
      </c>
      <c r="E63" s="285">
        <v>17330</v>
      </c>
      <c r="F63" s="302"/>
      <c r="H63" s="300"/>
    </row>
    <row r="64" spans="1:15" ht="14.25" customHeight="1">
      <c r="A64" s="280" t="s">
        <v>1651</v>
      </c>
      <c r="B64" s="285" t="s">
        <v>1667</v>
      </c>
      <c r="C64" s="285">
        <v>16590</v>
      </c>
      <c r="D64" s="285">
        <v>15130</v>
      </c>
      <c r="E64" s="285">
        <v>16420</v>
      </c>
      <c r="F64" s="302"/>
      <c r="H64" s="300"/>
    </row>
    <row r="65" spans="1:8" s="271" customFormat="1" ht="14.25" customHeight="1">
      <c r="A65" s="280" t="s">
        <v>1651</v>
      </c>
      <c r="B65" s="285" t="s">
        <v>1668</v>
      </c>
      <c r="C65" s="285">
        <v>15220</v>
      </c>
      <c r="D65" s="285">
        <v>14660</v>
      </c>
      <c r="E65" s="285">
        <v>15060</v>
      </c>
      <c r="F65" s="293"/>
      <c r="H65" s="300"/>
    </row>
    <row r="66" spans="1:8" s="271" customFormat="1" ht="14.25" customHeight="1">
      <c r="A66" s="280" t="s">
        <v>1651</v>
      </c>
      <c r="B66" s="285" t="s">
        <v>1669</v>
      </c>
      <c r="C66" s="285">
        <v>14720</v>
      </c>
      <c r="D66" s="285">
        <v>15970</v>
      </c>
      <c r="E66" s="285">
        <v>14610</v>
      </c>
      <c r="F66" s="293"/>
      <c r="H66" s="300"/>
    </row>
    <row r="67" spans="1:8" s="271" customFormat="1" ht="14.25" customHeight="1">
      <c r="A67" s="280" t="s">
        <v>1651</v>
      </c>
      <c r="B67" s="285" t="s">
        <v>1670</v>
      </c>
      <c r="C67" s="285">
        <v>16080</v>
      </c>
      <c r="D67" s="285">
        <v>14840</v>
      </c>
      <c r="E67" s="285">
        <v>15630</v>
      </c>
      <c r="F67" s="293"/>
      <c r="H67" s="300"/>
    </row>
    <row r="68" spans="1:8" s="271" customFormat="1" ht="14.25" customHeight="1">
      <c r="A68" s="280" t="s">
        <v>1651</v>
      </c>
      <c r="B68" s="285" t="s">
        <v>1671</v>
      </c>
      <c r="C68" s="285">
        <v>14940</v>
      </c>
      <c r="D68" s="285">
        <v>18000</v>
      </c>
      <c r="E68" s="285">
        <v>14040</v>
      </c>
      <c r="F68" s="293"/>
      <c r="H68" s="300"/>
    </row>
    <row r="69" spans="1:8" s="271" customFormat="1" ht="14.25" customHeight="1">
      <c r="A69" s="280" t="s">
        <v>1651</v>
      </c>
      <c r="B69" s="285" t="s">
        <v>1672</v>
      </c>
      <c r="C69" s="285">
        <v>18810</v>
      </c>
      <c r="D69" s="285">
        <v>15100</v>
      </c>
      <c r="E69" s="285">
        <v>14710</v>
      </c>
      <c r="F69" s="293"/>
      <c r="H69" s="300"/>
    </row>
    <row r="70" spans="1:8" s="271" customFormat="1" ht="14.25" customHeight="1">
      <c r="A70" s="280" t="s">
        <v>1651</v>
      </c>
      <c r="B70" s="285" t="s">
        <v>1673</v>
      </c>
      <c r="C70" s="285">
        <v>18270</v>
      </c>
      <c r="D70" s="285"/>
      <c r="E70" s="285"/>
      <c r="F70" s="293"/>
      <c r="H70" s="300"/>
    </row>
    <row r="71" spans="1:8" s="271" customFormat="1" ht="14.25" customHeight="1">
      <c r="A71" s="280" t="s">
        <v>1651</v>
      </c>
      <c r="B71" s="285" t="s">
        <v>1674</v>
      </c>
      <c r="C71" s="285">
        <v>15230</v>
      </c>
      <c r="D71" s="285"/>
      <c r="E71" s="285"/>
      <c r="F71" s="293"/>
      <c r="H71" s="300"/>
    </row>
    <row r="72" spans="1:8" s="271" customFormat="1" ht="14.25" customHeight="1">
      <c r="A72" s="280" t="s">
        <v>1651</v>
      </c>
      <c r="B72" s="285" t="s">
        <v>1675</v>
      </c>
      <c r="C72" s="285"/>
      <c r="D72" s="285"/>
      <c r="E72" s="285"/>
      <c r="F72" s="293">
        <v>4120</v>
      </c>
      <c r="H72" s="300"/>
    </row>
    <row r="73" spans="1:8" s="271" customFormat="1" ht="14.25" customHeight="1">
      <c r="A73" s="280" t="s">
        <v>1651</v>
      </c>
      <c r="B73" s="285" t="s">
        <v>1676</v>
      </c>
      <c r="C73" s="285"/>
      <c r="D73" s="285"/>
      <c r="E73" s="285"/>
      <c r="F73" s="293">
        <v>3930</v>
      </c>
      <c r="H73" s="300"/>
    </row>
    <row r="74" spans="1:8" s="271" customFormat="1" ht="14.25" customHeight="1">
      <c r="A74" s="280" t="s">
        <v>1651</v>
      </c>
      <c r="B74" s="285" t="s">
        <v>1677</v>
      </c>
      <c r="C74" s="285"/>
      <c r="D74" s="285"/>
      <c r="E74" s="285"/>
      <c r="F74" s="293">
        <v>4060</v>
      </c>
      <c r="H74" s="300"/>
    </row>
    <row r="75" spans="1:8" s="271" customFormat="1" ht="14.25" customHeight="1">
      <c r="A75" s="280" t="s">
        <v>1651</v>
      </c>
      <c r="B75" s="291" t="s">
        <v>1678</v>
      </c>
      <c r="C75" s="291"/>
      <c r="D75" s="291"/>
      <c r="E75" s="291"/>
      <c r="F75" s="301">
        <v>3750</v>
      </c>
      <c r="H75" s="300"/>
    </row>
    <row r="76" spans="1:8" s="271" customFormat="1" ht="14.25" customHeight="1">
      <c r="A76" s="280" t="s">
        <v>1679</v>
      </c>
      <c r="B76" s="281" t="s">
        <v>1680</v>
      </c>
      <c r="C76" s="281">
        <v>14690</v>
      </c>
      <c r="D76" s="281">
        <v>14640</v>
      </c>
      <c r="E76" s="281">
        <v>14590</v>
      </c>
      <c r="F76" s="282">
        <v>3060</v>
      </c>
      <c r="H76" s="300"/>
    </row>
    <row r="77" spans="1:8" s="271" customFormat="1" ht="14.25" customHeight="1">
      <c r="A77" s="280" t="s">
        <v>1679</v>
      </c>
      <c r="B77" s="285" t="s">
        <v>1681</v>
      </c>
      <c r="C77" s="285">
        <v>12550</v>
      </c>
      <c r="D77" s="285">
        <v>12480</v>
      </c>
      <c r="E77" s="285">
        <v>12450</v>
      </c>
      <c r="F77" s="293">
        <v>2590</v>
      </c>
      <c r="H77" s="300"/>
    </row>
    <row r="78" spans="1:8" s="271" customFormat="1" ht="14.25" customHeight="1">
      <c r="A78" s="280" t="s">
        <v>1679</v>
      </c>
      <c r="B78" s="285" t="s">
        <v>1682</v>
      </c>
      <c r="C78" s="285">
        <v>14360</v>
      </c>
      <c r="D78" s="285">
        <v>14320</v>
      </c>
      <c r="E78" s="285">
        <v>12510</v>
      </c>
      <c r="F78" s="293">
        <v>2700</v>
      </c>
      <c r="H78" s="300"/>
    </row>
    <row r="79" spans="1:8" s="271" customFormat="1" ht="14.25" customHeight="1">
      <c r="A79" s="280" t="s">
        <v>1679</v>
      </c>
      <c r="B79" s="285" t="s">
        <v>1683</v>
      </c>
      <c r="C79" s="285">
        <v>12590</v>
      </c>
      <c r="D79" s="285">
        <v>12540</v>
      </c>
      <c r="E79" s="285">
        <v>12350</v>
      </c>
      <c r="F79" s="293">
        <v>2740</v>
      </c>
      <c r="H79" s="300"/>
    </row>
    <row r="80" spans="1:8" s="271" customFormat="1" ht="14.25" customHeight="1">
      <c r="A80" s="280" t="s">
        <v>1679</v>
      </c>
      <c r="B80" s="285" t="s">
        <v>1684</v>
      </c>
      <c r="C80" s="285">
        <v>12450</v>
      </c>
      <c r="D80" s="285">
        <v>12370</v>
      </c>
      <c r="E80" s="285">
        <v>10790</v>
      </c>
      <c r="F80" s="293">
        <v>2290</v>
      </c>
      <c r="H80" s="300"/>
    </row>
    <row r="81" spans="1:8" s="271" customFormat="1" ht="14.25" customHeight="1">
      <c r="A81" s="280" t="s">
        <v>1679</v>
      </c>
      <c r="B81" s="285" t="s">
        <v>1685</v>
      </c>
      <c r="C81" s="285">
        <v>14210</v>
      </c>
      <c r="D81" s="285">
        <v>14150</v>
      </c>
      <c r="E81" s="285">
        <v>12730</v>
      </c>
      <c r="F81" s="293">
        <v>2240</v>
      </c>
      <c r="H81" s="300"/>
    </row>
    <row r="82" spans="1:8" s="271" customFormat="1" ht="14.25" customHeight="1">
      <c r="A82" s="280" t="s">
        <v>1679</v>
      </c>
      <c r="B82" s="285" t="s">
        <v>1686</v>
      </c>
      <c r="C82" s="285">
        <v>10860</v>
      </c>
      <c r="D82" s="285">
        <v>10820</v>
      </c>
      <c r="E82" s="285">
        <v>14720</v>
      </c>
      <c r="F82" s="293">
        <v>2490</v>
      </c>
      <c r="H82" s="300"/>
    </row>
    <row r="83" spans="1:8" s="271" customFormat="1" ht="14.25" customHeight="1">
      <c r="A83" s="280" t="s">
        <v>1679</v>
      </c>
      <c r="B83" s="285" t="s">
        <v>1687</v>
      </c>
      <c r="C83" s="285">
        <v>12810</v>
      </c>
      <c r="D83" s="285">
        <v>12760</v>
      </c>
      <c r="E83" s="285">
        <v>14830</v>
      </c>
      <c r="F83" s="293">
        <v>2450</v>
      </c>
      <c r="H83" s="300"/>
    </row>
    <row r="84" spans="1:8" s="271" customFormat="1" ht="14.25" customHeight="1">
      <c r="A84" s="280" t="s">
        <v>1679</v>
      </c>
      <c r="B84" s="285" t="s">
        <v>1688</v>
      </c>
      <c r="C84" s="285">
        <v>14950</v>
      </c>
      <c r="D84" s="285">
        <v>14810</v>
      </c>
      <c r="E84" s="285">
        <v>12590</v>
      </c>
      <c r="F84" s="293">
        <v>2540</v>
      </c>
      <c r="H84" s="300"/>
    </row>
    <row r="85" spans="1:8" s="271" customFormat="1" ht="14.25" customHeight="1">
      <c r="A85" s="280" t="s">
        <v>1679</v>
      </c>
      <c r="B85" s="285" t="s">
        <v>1689</v>
      </c>
      <c r="C85" s="285">
        <v>14960</v>
      </c>
      <c r="D85" s="285">
        <v>14890</v>
      </c>
      <c r="E85" s="285">
        <v>12840</v>
      </c>
      <c r="F85" s="293">
        <v>2840</v>
      </c>
      <c r="H85" s="300"/>
    </row>
    <row r="86" spans="1:8" s="271" customFormat="1" ht="14.25" customHeight="1">
      <c r="A86" s="280" t="s">
        <v>1679</v>
      </c>
      <c r="B86" s="285" t="s">
        <v>1690</v>
      </c>
      <c r="C86" s="285">
        <v>12730</v>
      </c>
      <c r="D86" s="285">
        <v>12660</v>
      </c>
      <c r="E86" s="285">
        <v>13310</v>
      </c>
      <c r="F86" s="293">
        <v>3140</v>
      </c>
      <c r="H86" s="300"/>
    </row>
    <row r="87" spans="1:8" s="271" customFormat="1" ht="14.25" customHeight="1">
      <c r="A87" s="280" t="s">
        <v>1679</v>
      </c>
      <c r="B87" s="285" t="s">
        <v>1691</v>
      </c>
      <c r="C87" s="285">
        <v>12940</v>
      </c>
      <c r="D87" s="285">
        <v>12890</v>
      </c>
      <c r="E87" s="285">
        <v>11580</v>
      </c>
      <c r="F87" s="302"/>
      <c r="H87" s="300"/>
    </row>
    <row r="88" spans="1:8" s="271" customFormat="1" ht="14.25" customHeight="1">
      <c r="A88" s="280" t="s">
        <v>1679</v>
      </c>
      <c r="B88" s="285" t="s">
        <v>1692</v>
      </c>
      <c r="C88" s="285">
        <v>13430</v>
      </c>
      <c r="D88" s="285">
        <v>13360</v>
      </c>
      <c r="E88" s="285">
        <v>12790</v>
      </c>
      <c r="F88" s="302"/>
      <c r="H88" s="300"/>
    </row>
    <row r="89" spans="1:8" s="271" customFormat="1" ht="14.25" customHeight="1">
      <c r="A89" s="280" t="s">
        <v>1679</v>
      </c>
      <c r="B89" s="285" t="s">
        <v>1693</v>
      </c>
      <c r="C89" s="285">
        <v>11680</v>
      </c>
      <c r="D89" s="285">
        <v>11630</v>
      </c>
      <c r="E89" s="285">
        <v>11320</v>
      </c>
      <c r="F89" s="302"/>
      <c r="H89" s="300"/>
    </row>
    <row r="90" spans="1:8" s="271" customFormat="1" ht="14.25" customHeight="1">
      <c r="A90" s="280" t="s">
        <v>1679</v>
      </c>
      <c r="B90" s="285" t="s">
        <v>1694</v>
      </c>
      <c r="C90" s="285">
        <v>12890</v>
      </c>
      <c r="D90" s="285">
        <v>12820</v>
      </c>
      <c r="E90" s="285">
        <v>12710</v>
      </c>
      <c r="F90" s="302"/>
      <c r="H90" s="300"/>
    </row>
    <row r="91" spans="1:8" s="271" customFormat="1" ht="14.25" customHeight="1">
      <c r="A91" s="280" t="s">
        <v>1679</v>
      </c>
      <c r="B91" s="285" t="s">
        <v>1695</v>
      </c>
      <c r="C91" s="285">
        <v>11410</v>
      </c>
      <c r="D91" s="285">
        <v>11360</v>
      </c>
      <c r="E91" s="285">
        <v>12670</v>
      </c>
      <c r="F91" s="302"/>
      <c r="H91" s="300"/>
    </row>
    <row r="92" spans="1:8" s="271" customFormat="1" ht="14.25" customHeight="1">
      <c r="A92" s="280" t="s">
        <v>1679</v>
      </c>
      <c r="B92" s="285" t="s">
        <v>1696</v>
      </c>
      <c r="C92" s="285">
        <v>12770</v>
      </c>
      <c r="D92" s="285">
        <v>12740</v>
      </c>
      <c r="E92" s="285">
        <v>11970</v>
      </c>
      <c r="F92" s="302"/>
      <c r="H92" s="300"/>
    </row>
    <row r="93" spans="1:8" s="271" customFormat="1" ht="14.25" customHeight="1">
      <c r="A93" s="280" t="s">
        <v>1679</v>
      </c>
      <c r="B93" s="285" t="s">
        <v>1697</v>
      </c>
      <c r="C93" s="285">
        <v>12740</v>
      </c>
      <c r="D93" s="285">
        <v>12700</v>
      </c>
      <c r="E93" s="285">
        <v>12540</v>
      </c>
      <c r="F93" s="302"/>
      <c r="H93" s="300"/>
    </row>
    <row r="94" spans="1:8" s="271" customFormat="1" ht="14.25" customHeight="1">
      <c r="A94" s="280" t="s">
        <v>1679</v>
      </c>
      <c r="B94" s="285" t="s">
        <v>1698</v>
      </c>
      <c r="C94" s="285">
        <v>12020</v>
      </c>
      <c r="D94" s="285">
        <v>11990</v>
      </c>
      <c r="E94" s="285">
        <v>13110</v>
      </c>
      <c r="F94" s="302"/>
      <c r="H94" s="300"/>
    </row>
    <row r="95" spans="1:8" s="271" customFormat="1" ht="14.25" customHeight="1">
      <c r="A95" s="280" t="s">
        <v>1679</v>
      </c>
      <c r="B95" s="285" t="s">
        <v>1699</v>
      </c>
      <c r="C95" s="285">
        <v>12620</v>
      </c>
      <c r="D95" s="285">
        <v>12580</v>
      </c>
      <c r="E95" s="285">
        <v>13160</v>
      </c>
      <c r="F95" s="293"/>
      <c r="H95" s="300"/>
    </row>
    <row r="96" spans="1:8" s="271" customFormat="1" ht="14.25" customHeight="1">
      <c r="A96" s="280" t="s">
        <v>1679</v>
      </c>
      <c r="B96" s="285" t="s">
        <v>1700</v>
      </c>
      <c r="C96" s="285">
        <v>13200</v>
      </c>
      <c r="D96" s="285">
        <v>13150</v>
      </c>
      <c r="E96" s="285">
        <v>12900</v>
      </c>
      <c r="F96" s="293"/>
      <c r="H96" s="300"/>
    </row>
    <row r="97" spans="1:8" s="271" customFormat="1" ht="14.25" customHeight="1">
      <c r="A97" s="280" t="s">
        <v>1679</v>
      </c>
      <c r="B97" s="285" t="s">
        <v>1701</v>
      </c>
      <c r="C97" s="285">
        <v>13270</v>
      </c>
      <c r="D97" s="285">
        <v>13210</v>
      </c>
      <c r="E97" s="285">
        <v>11080</v>
      </c>
      <c r="F97" s="293"/>
      <c r="H97" s="300"/>
    </row>
    <row r="98" spans="1:8" s="271" customFormat="1" ht="14.25" customHeight="1">
      <c r="A98" s="280" t="s">
        <v>1679</v>
      </c>
      <c r="B98" s="285" t="s">
        <v>1702</v>
      </c>
      <c r="C98" s="285">
        <v>13010</v>
      </c>
      <c r="D98" s="285">
        <v>12930</v>
      </c>
      <c r="E98" s="285">
        <v>12840</v>
      </c>
      <c r="F98" s="293"/>
      <c r="H98" s="300"/>
    </row>
    <row r="99" spans="1:8" s="271" customFormat="1" ht="14.25" customHeight="1">
      <c r="A99" s="280" t="s">
        <v>1679</v>
      </c>
      <c r="B99" s="285" t="s">
        <v>1703</v>
      </c>
      <c r="C99" s="285">
        <v>11190</v>
      </c>
      <c r="D99" s="285">
        <v>11130</v>
      </c>
      <c r="E99" s="285"/>
      <c r="F99" s="293"/>
      <c r="H99" s="300"/>
    </row>
    <row r="100" spans="1:8" s="271" customFormat="1" ht="14.25" customHeight="1">
      <c r="A100" s="280" t="s">
        <v>1679</v>
      </c>
      <c r="B100" s="285" t="s">
        <v>1704</v>
      </c>
      <c r="C100" s="285">
        <v>14280</v>
      </c>
      <c r="D100" s="285">
        <v>14180</v>
      </c>
      <c r="E100" s="285"/>
      <c r="F100" s="293"/>
      <c r="H100" s="300"/>
    </row>
    <row r="101" spans="1:8" s="271" customFormat="1" ht="14.25" customHeight="1">
      <c r="A101" s="280" t="s">
        <v>1679</v>
      </c>
      <c r="B101" s="285" t="s">
        <v>1705</v>
      </c>
      <c r="C101" s="285">
        <v>12960</v>
      </c>
      <c r="D101" s="285">
        <v>12890</v>
      </c>
      <c r="E101" s="285"/>
      <c r="F101" s="293"/>
      <c r="H101" s="300"/>
    </row>
    <row r="102" spans="1:8" s="271" customFormat="1" ht="14.25" customHeight="1">
      <c r="A102" s="280" t="s">
        <v>1679</v>
      </c>
      <c r="B102" s="285" t="s">
        <v>1706</v>
      </c>
      <c r="C102" s="285"/>
      <c r="D102" s="285"/>
      <c r="E102" s="285"/>
      <c r="F102" s="293">
        <v>3100</v>
      </c>
      <c r="H102" s="300"/>
    </row>
    <row r="103" spans="1:8" s="271" customFormat="1" ht="14.25" customHeight="1">
      <c r="A103" s="280" t="s">
        <v>1679</v>
      </c>
      <c r="B103" s="285" t="s">
        <v>1707</v>
      </c>
      <c r="C103" s="285"/>
      <c r="D103" s="285"/>
      <c r="E103" s="285"/>
      <c r="F103" s="293">
        <v>2320</v>
      </c>
      <c r="H103" s="300"/>
    </row>
    <row r="104" spans="1:8" s="271" customFormat="1" ht="14.25" customHeight="1">
      <c r="A104" s="280" t="s">
        <v>1679</v>
      </c>
      <c r="B104" s="285" t="s">
        <v>1708</v>
      </c>
      <c r="C104" s="285"/>
      <c r="D104" s="285"/>
      <c r="E104" s="285"/>
      <c r="F104" s="293">
        <v>2320</v>
      </c>
      <c r="H104" s="300"/>
    </row>
    <row r="105" spans="1:8" s="271" customFormat="1" ht="14.25" customHeight="1">
      <c r="A105" s="280" t="s">
        <v>1679</v>
      </c>
      <c r="B105" s="285" t="s">
        <v>1709</v>
      </c>
      <c r="C105" s="285"/>
      <c r="D105" s="285"/>
      <c r="E105" s="285"/>
      <c r="F105" s="293">
        <v>2320</v>
      </c>
      <c r="H105" s="300"/>
    </row>
    <row r="106" spans="1:8" s="271" customFormat="1" ht="14.25" customHeight="1">
      <c r="A106" s="280" t="s">
        <v>1679</v>
      </c>
      <c r="B106" s="285" t="s">
        <v>1710</v>
      </c>
      <c r="C106" s="285"/>
      <c r="D106" s="285"/>
      <c r="E106" s="285"/>
      <c r="F106" s="293">
        <v>2320</v>
      </c>
      <c r="H106" s="300"/>
    </row>
    <row r="107" spans="1:8" s="271" customFormat="1" ht="14.25" customHeight="1">
      <c r="A107" s="280" t="s">
        <v>1679</v>
      </c>
      <c r="B107" s="285" t="s">
        <v>1711</v>
      </c>
      <c r="C107" s="285"/>
      <c r="D107" s="285"/>
      <c r="E107" s="285"/>
      <c r="F107" s="293">
        <v>2280</v>
      </c>
      <c r="H107" s="300"/>
    </row>
    <row r="108" spans="1:8" s="271" customFormat="1" ht="14.25" customHeight="1">
      <c r="A108" s="280" t="s">
        <v>1679</v>
      </c>
      <c r="B108" s="285" t="s">
        <v>1712</v>
      </c>
      <c r="C108" s="285"/>
      <c r="D108" s="285"/>
      <c r="E108" s="285"/>
      <c r="F108" s="293">
        <v>2280</v>
      </c>
      <c r="H108" s="300"/>
    </row>
    <row r="109" spans="1:8" s="271" customFormat="1" ht="14.25" customHeight="1">
      <c r="A109" s="280" t="s">
        <v>1679</v>
      </c>
      <c r="B109" s="291" t="s">
        <v>1713</v>
      </c>
      <c r="C109" s="291"/>
      <c r="D109" s="291"/>
      <c r="E109" s="291"/>
      <c r="F109" s="301">
        <v>2280</v>
      </c>
      <c r="H109" s="300"/>
    </row>
    <row r="110" spans="1:8" s="271" customFormat="1" ht="14.25" customHeight="1">
      <c r="A110" s="280" t="s">
        <v>1714</v>
      </c>
      <c r="B110" s="281" t="s">
        <v>1715</v>
      </c>
      <c r="C110" s="281">
        <v>10520</v>
      </c>
      <c r="D110" s="281">
        <v>10490</v>
      </c>
      <c r="E110" s="281">
        <v>10760</v>
      </c>
      <c r="F110" s="282">
        <v>2160</v>
      </c>
      <c r="H110" s="300"/>
    </row>
    <row r="111" spans="1:8" s="271" customFormat="1" ht="14.25" customHeight="1">
      <c r="A111" s="280" t="s">
        <v>1714</v>
      </c>
      <c r="B111" s="285" t="s">
        <v>1716</v>
      </c>
      <c r="C111" s="285">
        <v>10090</v>
      </c>
      <c r="D111" s="285">
        <v>10060</v>
      </c>
      <c r="E111" s="285">
        <v>10300</v>
      </c>
      <c r="F111" s="293">
        <v>2010</v>
      </c>
      <c r="H111" s="300"/>
    </row>
    <row r="112" spans="1:8" s="271" customFormat="1" ht="14.25" customHeight="1">
      <c r="A112" s="280" t="s">
        <v>1714</v>
      </c>
      <c r="B112" s="285" t="s">
        <v>1717</v>
      </c>
      <c r="C112" s="285">
        <v>9910</v>
      </c>
      <c r="D112" s="285">
        <v>9850</v>
      </c>
      <c r="E112" s="285">
        <v>9960</v>
      </c>
      <c r="F112" s="293">
        <v>2090</v>
      </c>
      <c r="H112" s="300"/>
    </row>
    <row r="113" spans="1:8" s="271" customFormat="1" ht="14.25" customHeight="1">
      <c r="A113" s="280" t="s">
        <v>1714</v>
      </c>
      <c r="B113" s="285" t="s">
        <v>1718</v>
      </c>
      <c r="C113" s="285">
        <v>11430</v>
      </c>
      <c r="D113" s="285">
        <v>11400</v>
      </c>
      <c r="E113" s="285">
        <v>11710</v>
      </c>
      <c r="F113" s="293">
        <v>2050</v>
      </c>
      <c r="H113" s="300"/>
    </row>
    <row r="114" spans="1:8" s="271" customFormat="1" ht="14.25" customHeight="1">
      <c r="A114" s="280" t="s">
        <v>1714</v>
      </c>
      <c r="B114" s="285" t="s">
        <v>1719</v>
      </c>
      <c r="C114" s="285">
        <v>11390</v>
      </c>
      <c r="D114" s="285">
        <v>11350</v>
      </c>
      <c r="E114" s="285">
        <v>11640</v>
      </c>
      <c r="F114" s="293">
        <v>1620</v>
      </c>
      <c r="H114" s="300"/>
    </row>
    <row r="115" spans="1:8" s="271" customFormat="1" ht="14.25" customHeight="1">
      <c r="A115" s="280" t="s">
        <v>1714</v>
      </c>
      <c r="B115" s="285" t="s">
        <v>1720</v>
      </c>
      <c r="C115" s="285">
        <v>9930</v>
      </c>
      <c r="D115" s="285">
        <v>9900</v>
      </c>
      <c r="E115" s="285">
        <v>10160</v>
      </c>
      <c r="F115" s="293">
        <v>1580</v>
      </c>
      <c r="H115" s="300"/>
    </row>
    <row r="116" spans="1:8" s="271" customFormat="1" ht="14.25" customHeight="1">
      <c r="A116" s="280" t="s">
        <v>1714</v>
      </c>
      <c r="B116" s="285" t="s">
        <v>1721</v>
      </c>
      <c r="C116" s="285">
        <v>9150</v>
      </c>
      <c r="D116" s="285">
        <v>9120</v>
      </c>
      <c r="E116" s="285">
        <v>9380</v>
      </c>
      <c r="F116" s="293">
        <v>1750</v>
      </c>
      <c r="H116" s="300"/>
    </row>
    <row r="117" spans="1:8" s="271" customFormat="1" ht="14.25" customHeight="1">
      <c r="A117" s="280" t="s">
        <v>1714</v>
      </c>
      <c r="B117" s="285" t="s">
        <v>1722</v>
      </c>
      <c r="C117" s="285">
        <v>10680</v>
      </c>
      <c r="D117" s="285">
        <v>10650</v>
      </c>
      <c r="E117" s="285">
        <v>10970</v>
      </c>
      <c r="F117" s="293">
        <v>1730</v>
      </c>
      <c r="H117" s="300"/>
    </row>
    <row r="118" spans="1:8" s="271" customFormat="1" ht="14.25" customHeight="1">
      <c r="A118" s="280" t="s">
        <v>1714</v>
      </c>
      <c r="B118" s="285" t="s">
        <v>1723</v>
      </c>
      <c r="C118" s="285">
        <v>10080</v>
      </c>
      <c r="D118" s="285">
        <v>10050</v>
      </c>
      <c r="E118" s="285">
        <v>10350</v>
      </c>
      <c r="F118" s="293">
        <v>1920</v>
      </c>
      <c r="H118" s="300"/>
    </row>
    <row r="119" spans="1:8" s="271" customFormat="1" ht="14.25" customHeight="1">
      <c r="A119" s="280" t="s">
        <v>1714</v>
      </c>
      <c r="B119" s="285" t="s">
        <v>1724</v>
      </c>
      <c r="C119" s="285">
        <v>9450</v>
      </c>
      <c r="D119" s="285">
        <v>9410</v>
      </c>
      <c r="E119" s="285">
        <v>9680</v>
      </c>
      <c r="F119" s="293">
        <v>1880</v>
      </c>
      <c r="H119" s="300"/>
    </row>
    <row r="120" spans="1:8" s="271" customFormat="1" ht="14.25" customHeight="1">
      <c r="A120" s="280" t="s">
        <v>1714</v>
      </c>
      <c r="B120" s="285" t="s">
        <v>1725</v>
      </c>
      <c r="C120" s="285">
        <v>8730</v>
      </c>
      <c r="D120" s="285">
        <v>8700</v>
      </c>
      <c r="E120" s="285">
        <v>8950</v>
      </c>
      <c r="F120" s="293">
        <v>1830</v>
      </c>
      <c r="H120" s="300"/>
    </row>
    <row r="121" spans="1:8" s="271" customFormat="1" ht="14.25" customHeight="1">
      <c r="A121" s="280" t="s">
        <v>1714</v>
      </c>
      <c r="B121" s="285" t="s">
        <v>1726</v>
      </c>
      <c r="C121" s="285">
        <v>10070</v>
      </c>
      <c r="D121" s="285">
        <v>10040</v>
      </c>
      <c r="E121" s="285">
        <v>10270</v>
      </c>
      <c r="F121" s="293">
        <v>1960</v>
      </c>
      <c r="H121" s="300"/>
    </row>
    <row r="122" spans="1:8" s="271" customFormat="1" ht="14.25" customHeight="1">
      <c r="A122" s="280" t="s">
        <v>1714</v>
      </c>
      <c r="B122" s="285" t="s">
        <v>1727</v>
      </c>
      <c r="C122" s="285">
        <v>10500</v>
      </c>
      <c r="D122" s="285">
        <v>10470</v>
      </c>
      <c r="E122" s="285">
        <v>10780</v>
      </c>
      <c r="F122" s="293">
        <v>2180</v>
      </c>
      <c r="H122" s="300"/>
    </row>
    <row r="123" spans="1:8" s="271" customFormat="1" ht="14.25" customHeight="1">
      <c r="A123" s="280" t="s">
        <v>1714</v>
      </c>
      <c r="B123" s="285" t="s">
        <v>1728</v>
      </c>
      <c r="C123" s="285">
        <v>10390</v>
      </c>
      <c r="D123" s="285">
        <v>10360</v>
      </c>
      <c r="E123" s="285">
        <v>10660</v>
      </c>
      <c r="F123" s="293">
        <v>2040</v>
      </c>
      <c r="H123" s="300"/>
    </row>
    <row r="124" spans="1:8" s="271" customFormat="1" ht="14.25" customHeight="1">
      <c r="A124" s="280" t="s">
        <v>1714</v>
      </c>
      <c r="B124" s="285" t="s">
        <v>1729</v>
      </c>
      <c r="C124" s="285">
        <v>10390</v>
      </c>
      <c r="D124" s="285">
        <v>10360</v>
      </c>
      <c r="E124" s="285">
        <v>10680</v>
      </c>
      <c r="F124" s="302"/>
      <c r="H124" s="300"/>
    </row>
    <row r="125" spans="1:8" s="271" customFormat="1" ht="14.25" customHeight="1">
      <c r="A125" s="280" t="s">
        <v>1714</v>
      </c>
      <c r="B125" s="285" t="s">
        <v>1730</v>
      </c>
      <c r="C125" s="285">
        <v>10440</v>
      </c>
      <c r="D125" s="285">
        <v>10410</v>
      </c>
      <c r="E125" s="285">
        <v>10710</v>
      </c>
      <c r="F125" s="302"/>
      <c r="H125" s="300"/>
    </row>
    <row r="126" spans="1:8" s="271" customFormat="1" ht="14.25" customHeight="1">
      <c r="A126" s="280" t="s">
        <v>1714</v>
      </c>
      <c r="B126" s="285" t="s">
        <v>1731</v>
      </c>
      <c r="C126" s="285">
        <v>10780</v>
      </c>
      <c r="D126" s="285">
        <v>10750</v>
      </c>
      <c r="E126" s="285">
        <v>11080</v>
      </c>
      <c r="F126" s="302"/>
      <c r="H126" s="300"/>
    </row>
    <row r="127" spans="1:8" s="271" customFormat="1" ht="14.25" customHeight="1">
      <c r="A127" s="280" t="s">
        <v>1714</v>
      </c>
      <c r="B127" s="285" t="s">
        <v>1732</v>
      </c>
      <c r="C127" s="285">
        <v>10100</v>
      </c>
      <c r="D127" s="285">
        <v>10070</v>
      </c>
      <c r="E127" s="285">
        <v>10350</v>
      </c>
      <c r="F127" s="302"/>
      <c r="H127" s="300"/>
    </row>
    <row r="128" spans="1:8" s="271" customFormat="1" ht="14.25" customHeight="1">
      <c r="A128" s="280" t="s">
        <v>1714</v>
      </c>
      <c r="B128" s="285" t="s">
        <v>1733</v>
      </c>
      <c r="C128" s="285">
        <v>9200</v>
      </c>
      <c r="D128" s="285">
        <v>9160</v>
      </c>
      <c r="E128" s="285">
        <v>9660</v>
      </c>
      <c r="F128" s="302"/>
      <c r="H128" s="300"/>
    </row>
    <row r="129" spans="1:8" s="271" customFormat="1" ht="14.25" customHeight="1">
      <c r="A129" s="280" t="s">
        <v>1714</v>
      </c>
      <c r="B129" s="285" t="s">
        <v>1734</v>
      </c>
      <c r="C129" s="285">
        <v>10340</v>
      </c>
      <c r="D129" s="285">
        <v>10310</v>
      </c>
      <c r="E129" s="285">
        <v>10580</v>
      </c>
      <c r="F129" s="302"/>
      <c r="H129" s="300"/>
    </row>
    <row r="130" spans="1:8" s="271" customFormat="1" ht="14.25" customHeight="1">
      <c r="A130" s="280" t="s">
        <v>1714</v>
      </c>
      <c r="B130" s="285" t="s">
        <v>1735</v>
      </c>
      <c r="C130" s="285">
        <v>9680</v>
      </c>
      <c r="D130" s="285">
        <v>9660</v>
      </c>
      <c r="E130" s="285">
        <v>9950</v>
      </c>
      <c r="F130" s="302"/>
      <c r="H130" s="300"/>
    </row>
    <row r="131" spans="1:8" s="271" customFormat="1" ht="14.25" customHeight="1">
      <c r="A131" s="280" t="s">
        <v>1714</v>
      </c>
      <c r="B131" s="285" t="s">
        <v>1736</v>
      </c>
      <c r="C131" s="285">
        <v>9540</v>
      </c>
      <c r="D131" s="285">
        <v>9510</v>
      </c>
      <c r="E131" s="285">
        <v>9790</v>
      </c>
      <c r="F131" s="302"/>
      <c r="H131" s="300"/>
    </row>
    <row r="132" spans="1:8" s="271" customFormat="1" ht="14.25" customHeight="1">
      <c r="A132" s="280" t="s">
        <v>1714</v>
      </c>
      <c r="B132" s="285" t="s">
        <v>1737</v>
      </c>
      <c r="C132" s="285">
        <v>9320</v>
      </c>
      <c r="D132" s="285">
        <v>9290</v>
      </c>
      <c r="E132" s="285">
        <v>9570</v>
      </c>
      <c r="F132" s="302"/>
      <c r="H132" s="300"/>
    </row>
    <row r="133" spans="1:8" s="271" customFormat="1" ht="14.25" customHeight="1">
      <c r="A133" s="280" t="s">
        <v>1714</v>
      </c>
      <c r="B133" s="285" t="s">
        <v>1738</v>
      </c>
      <c r="C133" s="285">
        <v>10310</v>
      </c>
      <c r="D133" s="285">
        <v>10280</v>
      </c>
      <c r="E133" s="285">
        <v>10530</v>
      </c>
      <c r="F133" s="302"/>
      <c r="H133" s="300"/>
    </row>
    <row r="134" spans="1:8" s="271" customFormat="1" ht="14.25" customHeight="1">
      <c r="A134" s="280" t="s">
        <v>1714</v>
      </c>
      <c r="B134" s="285" t="s">
        <v>1739</v>
      </c>
      <c r="C134" s="285">
        <v>10370</v>
      </c>
      <c r="D134" s="285">
        <v>10310</v>
      </c>
      <c r="E134" s="285">
        <v>10240</v>
      </c>
      <c r="F134" s="293">
        <v>2060</v>
      </c>
      <c r="H134" s="300"/>
    </row>
    <row r="135" spans="1:8" s="271" customFormat="1" ht="14.25" customHeight="1">
      <c r="A135" s="280" t="s">
        <v>1714</v>
      </c>
      <c r="B135" s="285" t="s">
        <v>1740</v>
      </c>
      <c r="C135" s="285">
        <v>9300</v>
      </c>
      <c r="D135" s="285">
        <v>9270</v>
      </c>
      <c r="E135" s="285">
        <v>9350</v>
      </c>
      <c r="F135" s="302"/>
      <c r="H135" s="300"/>
    </row>
    <row r="136" spans="1:8" s="271" customFormat="1" ht="14.25" customHeight="1">
      <c r="A136" s="280" t="s">
        <v>1714</v>
      </c>
      <c r="B136" s="285" t="s">
        <v>1741</v>
      </c>
      <c r="C136" s="285">
        <v>10160</v>
      </c>
      <c r="D136" s="285">
        <v>10110</v>
      </c>
      <c r="E136" s="285">
        <v>10080</v>
      </c>
      <c r="F136" s="302"/>
      <c r="H136" s="300"/>
    </row>
    <row r="137" spans="1:8" s="271" customFormat="1" ht="14.25" customHeight="1">
      <c r="A137" s="280" t="s">
        <v>1714</v>
      </c>
      <c r="B137" s="285" t="s">
        <v>1742</v>
      </c>
      <c r="C137" s="285">
        <v>9200</v>
      </c>
      <c r="D137" s="285">
        <v>9170</v>
      </c>
      <c r="E137" s="285">
        <v>9450</v>
      </c>
      <c r="F137" s="302"/>
      <c r="H137" s="300"/>
    </row>
    <row r="138" spans="1:8" s="271" customFormat="1" ht="14.25" customHeight="1">
      <c r="A138" s="280" t="s">
        <v>1714</v>
      </c>
      <c r="B138" s="285" t="s">
        <v>1743</v>
      </c>
      <c r="C138" s="285">
        <v>9690</v>
      </c>
      <c r="D138" s="285">
        <v>9660</v>
      </c>
      <c r="E138" s="285">
        <v>9840</v>
      </c>
      <c r="F138" s="302"/>
      <c r="H138" s="300"/>
    </row>
    <row r="139" spans="1:8" s="271" customFormat="1" ht="14.25" customHeight="1">
      <c r="A139" s="280" t="s">
        <v>1714</v>
      </c>
      <c r="B139" s="285" t="s">
        <v>1744</v>
      </c>
      <c r="C139" s="285">
        <v>10290</v>
      </c>
      <c r="D139" s="285">
        <v>10260</v>
      </c>
      <c r="E139" s="285">
        <v>10550</v>
      </c>
      <c r="F139" s="293">
        <v>1700</v>
      </c>
      <c r="H139" s="300"/>
    </row>
    <row r="140" spans="1:8" s="271" customFormat="1" ht="14.25" customHeight="1">
      <c r="A140" s="280" t="s">
        <v>1714</v>
      </c>
      <c r="B140" s="285" t="s">
        <v>1745</v>
      </c>
      <c r="C140" s="285">
        <v>9740</v>
      </c>
      <c r="D140" s="285">
        <v>9710</v>
      </c>
      <c r="E140" s="285">
        <v>10000</v>
      </c>
      <c r="F140" s="293">
        <v>2000</v>
      </c>
      <c r="H140" s="300"/>
    </row>
    <row r="141" spans="1:8" s="271" customFormat="1" ht="14.25" customHeight="1">
      <c r="A141" s="280" t="s">
        <v>1714</v>
      </c>
      <c r="B141" s="285" t="s">
        <v>1746</v>
      </c>
      <c r="C141" s="285">
        <v>9810</v>
      </c>
      <c r="D141" s="285">
        <v>9770</v>
      </c>
      <c r="E141" s="285">
        <v>10060</v>
      </c>
      <c r="F141" s="302"/>
      <c r="H141" s="300"/>
    </row>
    <row r="142" spans="1:8" s="271" customFormat="1" ht="14.25" customHeight="1">
      <c r="A142" s="280" t="s">
        <v>1714</v>
      </c>
      <c r="B142" s="285" t="s">
        <v>1747</v>
      </c>
      <c r="C142" s="285">
        <v>9300</v>
      </c>
      <c r="D142" s="285">
        <v>9270</v>
      </c>
      <c r="E142" s="285">
        <v>9530</v>
      </c>
      <c r="F142" s="302"/>
      <c r="H142" s="300"/>
    </row>
    <row r="143" spans="1:8" s="271" customFormat="1" ht="14.25" customHeight="1">
      <c r="A143" s="280" t="s">
        <v>1714</v>
      </c>
      <c r="B143" s="285" t="s">
        <v>1748</v>
      </c>
      <c r="C143" s="285">
        <v>10080</v>
      </c>
      <c r="D143" s="285">
        <v>10050</v>
      </c>
      <c r="E143" s="285">
        <v>10340</v>
      </c>
      <c r="F143" s="302"/>
      <c r="H143" s="300"/>
    </row>
    <row r="144" spans="1:8" s="271" customFormat="1" ht="14.25" customHeight="1">
      <c r="A144" s="280" t="s">
        <v>1714</v>
      </c>
      <c r="B144" s="285" t="s">
        <v>1749</v>
      </c>
      <c r="C144" s="285">
        <v>9820</v>
      </c>
      <c r="D144" s="285">
        <v>9750</v>
      </c>
      <c r="E144" s="285">
        <v>9900</v>
      </c>
      <c r="F144" s="302"/>
      <c r="H144" s="300"/>
    </row>
    <row r="145" spans="1:8" s="271" customFormat="1" ht="14.25" customHeight="1">
      <c r="A145" s="280" t="s">
        <v>1714</v>
      </c>
      <c r="B145" s="285" t="s">
        <v>1750</v>
      </c>
      <c r="C145" s="285"/>
      <c r="D145" s="285"/>
      <c r="E145" s="285"/>
      <c r="F145" s="293">
        <v>1740</v>
      </c>
      <c r="H145" s="300"/>
    </row>
    <row r="146" spans="1:8" s="271" customFormat="1" ht="14.25" customHeight="1">
      <c r="A146" s="280" t="s">
        <v>1714</v>
      </c>
      <c r="B146" s="285" t="s">
        <v>1751</v>
      </c>
      <c r="C146" s="285"/>
      <c r="D146" s="285"/>
      <c r="E146" s="285"/>
      <c r="F146" s="293">
        <v>1740</v>
      </c>
      <c r="H146" s="300"/>
    </row>
    <row r="147" spans="1:8" s="271" customFormat="1" ht="14.25" customHeight="1">
      <c r="A147" s="280" t="s">
        <v>1714</v>
      </c>
      <c r="B147" s="285" t="s">
        <v>1752</v>
      </c>
      <c r="C147" s="285"/>
      <c r="D147" s="285"/>
      <c r="E147" s="285"/>
      <c r="F147" s="293">
        <v>1740</v>
      </c>
      <c r="H147" s="300"/>
    </row>
    <row r="148" spans="1:8" s="271" customFormat="1" ht="14.25" customHeight="1">
      <c r="A148" s="280" t="s">
        <v>1714</v>
      </c>
      <c r="B148" s="285" t="s">
        <v>1753</v>
      </c>
      <c r="C148" s="285"/>
      <c r="D148" s="285"/>
      <c r="E148" s="285"/>
      <c r="F148" s="293">
        <v>1740</v>
      </c>
      <c r="H148" s="300"/>
    </row>
    <row r="149" spans="1:8" s="271" customFormat="1" ht="14.25" customHeight="1">
      <c r="A149" s="280" t="s">
        <v>1714</v>
      </c>
      <c r="B149" s="285" t="s">
        <v>1754</v>
      </c>
      <c r="C149" s="285"/>
      <c r="D149" s="285"/>
      <c r="E149" s="285"/>
      <c r="F149" s="293">
        <v>1740</v>
      </c>
      <c r="H149" s="300"/>
    </row>
    <row r="150" spans="1:8" s="271" customFormat="1" ht="14.25" customHeight="1">
      <c r="A150" s="280" t="s">
        <v>1714</v>
      </c>
      <c r="B150" s="285" t="s">
        <v>1755</v>
      </c>
      <c r="C150" s="285"/>
      <c r="D150" s="285"/>
      <c r="E150" s="285"/>
      <c r="F150" s="293">
        <v>1610</v>
      </c>
      <c r="H150" s="300"/>
    </row>
    <row r="151" spans="1:8" s="271" customFormat="1" ht="14.25" customHeight="1">
      <c r="A151" s="280" t="s">
        <v>1714</v>
      </c>
      <c r="B151" s="285" t="s">
        <v>1756</v>
      </c>
      <c r="C151" s="285"/>
      <c r="D151" s="285"/>
      <c r="E151" s="285"/>
      <c r="F151" s="293">
        <v>1610</v>
      </c>
      <c r="H151" s="300"/>
    </row>
    <row r="152" spans="1:8" s="271" customFormat="1" ht="14.25" customHeight="1">
      <c r="A152" s="280" t="s">
        <v>1714</v>
      </c>
      <c r="B152" s="285" t="s">
        <v>1757</v>
      </c>
      <c r="C152" s="285"/>
      <c r="D152" s="285"/>
      <c r="E152" s="285"/>
      <c r="F152" s="293">
        <v>1610</v>
      </c>
      <c r="H152" s="300"/>
    </row>
    <row r="153" spans="1:8" s="271" customFormat="1" ht="14.25" customHeight="1">
      <c r="A153" s="280" t="s">
        <v>1714</v>
      </c>
      <c r="B153" s="285" t="s">
        <v>1758</v>
      </c>
      <c r="C153" s="285"/>
      <c r="D153" s="285"/>
      <c r="E153" s="285"/>
      <c r="F153" s="293">
        <v>1610</v>
      </c>
      <c r="H153" s="300"/>
    </row>
    <row r="154" spans="1:8" s="271" customFormat="1" ht="14.25" customHeight="1">
      <c r="A154" s="280" t="s">
        <v>1714</v>
      </c>
      <c r="B154" s="285" t="s">
        <v>1759</v>
      </c>
      <c r="C154" s="285"/>
      <c r="D154" s="285"/>
      <c r="E154" s="285"/>
      <c r="F154" s="293">
        <v>1610</v>
      </c>
      <c r="H154" s="300"/>
    </row>
    <row r="155" spans="1:8" s="271" customFormat="1" ht="14.25" customHeight="1">
      <c r="A155" s="280" t="s">
        <v>1714</v>
      </c>
      <c r="B155" s="285" t="s">
        <v>1760</v>
      </c>
      <c r="C155" s="285"/>
      <c r="D155" s="285"/>
      <c r="E155" s="285"/>
      <c r="F155" s="293">
        <v>1800</v>
      </c>
      <c r="H155" s="300"/>
    </row>
    <row r="156" spans="1:8" s="271" customFormat="1" ht="14.25" customHeight="1">
      <c r="A156" s="280" t="s">
        <v>1714</v>
      </c>
      <c r="B156" s="285" t="s">
        <v>1761</v>
      </c>
      <c r="C156" s="285"/>
      <c r="D156" s="285"/>
      <c r="E156" s="285"/>
      <c r="F156" s="293">
        <v>1910</v>
      </c>
      <c r="H156" s="300"/>
    </row>
    <row r="157" spans="1:8" s="271" customFormat="1" ht="14.25" customHeight="1">
      <c r="A157" s="280" t="s">
        <v>1714</v>
      </c>
      <c r="B157" s="291" t="s">
        <v>1762</v>
      </c>
      <c r="C157" s="291"/>
      <c r="D157" s="291"/>
      <c r="E157" s="291"/>
      <c r="F157" s="301">
        <v>1500</v>
      </c>
      <c r="H157" s="300"/>
    </row>
    <row r="158" spans="1:8" s="271" customFormat="1" ht="14.25" customHeight="1">
      <c r="A158" s="280" t="s">
        <v>1763</v>
      </c>
      <c r="B158" s="281" t="s">
        <v>1764</v>
      </c>
      <c r="C158" s="281">
        <v>8170</v>
      </c>
      <c r="D158" s="281">
        <v>8140</v>
      </c>
      <c r="E158" s="281">
        <v>8590</v>
      </c>
      <c r="F158" s="282">
        <v>1450</v>
      </c>
      <c r="H158" s="300"/>
    </row>
    <row r="159" spans="1:8" s="271" customFormat="1" ht="14.25" customHeight="1">
      <c r="A159" s="280" t="s">
        <v>1763</v>
      </c>
      <c r="B159" s="285" t="s">
        <v>1765</v>
      </c>
      <c r="C159" s="285">
        <v>7410</v>
      </c>
      <c r="D159" s="285">
        <v>7370</v>
      </c>
      <c r="E159" s="285">
        <v>8030</v>
      </c>
      <c r="F159" s="293">
        <v>1510</v>
      </c>
      <c r="H159" s="300"/>
    </row>
    <row r="160" spans="1:8" s="271" customFormat="1" ht="14.25" customHeight="1">
      <c r="A160" s="280" t="s">
        <v>1763</v>
      </c>
      <c r="B160" s="285" t="s">
        <v>1766</v>
      </c>
      <c r="C160" s="285">
        <v>7240</v>
      </c>
      <c r="D160" s="285">
        <v>7210</v>
      </c>
      <c r="E160" s="285">
        <v>7860</v>
      </c>
      <c r="F160" s="293">
        <v>1370</v>
      </c>
      <c r="H160" s="300"/>
    </row>
    <row r="161" spans="1:8" s="271" customFormat="1" ht="14.25" customHeight="1">
      <c r="A161" s="280" t="s">
        <v>1763</v>
      </c>
      <c r="B161" s="285" t="s">
        <v>1767</v>
      </c>
      <c r="C161" s="285">
        <v>7720</v>
      </c>
      <c r="D161" s="285">
        <v>7690</v>
      </c>
      <c r="E161" s="285">
        <v>8200</v>
      </c>
      <c r="F161" s="293">
        <v>1190</v>
      </c>
      <c r="H161" s="300"/>
    </row>
    <row r="162" spans="1:8" s="271" customFormat="1" ht="14.25" customHeight="1">
      <c r="A162" s="280" t="s">
        <v>1763</v>
      </c>
      <c r="B162" s="285" t="s">
        <v>1768</v>
      </c>
      <c r="C162" s="285">
        <v>6900</v>
      </c>
      <c r="D162" s="285">
        <v>6870</v>
      </c>
      <c r="E162" s="285">
        <v>7500</v>
      </c>
      <c r="F162" s="293">
        <v>1390</v>
      </c>
      <c r="H162" s="300"/>
    </row>
    <row r="163" spans="1:8" s="271" customFormat="1" ht="14.25" customHeight="1">
      <c r="A163" s="280" t="s">
        <v>1763</v>
      </c>
      <c r="B163" s="285" t="s">
        <v>1769</v>
      </c>
      <c r="C163" s="285">
        <v>7120</v>
      </c>
      <c r="D163" s="285">
        <v>7090</v>
      </c>
      <c r="E163" s="285">
        <v>7690</v>
      </c>
      <c r="F163" s="293">
        <v>1230</v>
      </c>
      <c r="H163" s="300"/>
    </row>
    <row r="164" spans="1:8" s="271" customFormat="1" ht="14.25" customHeight="1">
      <c r="A164" s="280" t="s">
        <v>1763</v>
      </c>
      <c r="B164" s="285" t="s">
        <v>1770</v>
      </c>
      <c r="C164" s="285">
        <v>6560</v>
      </c>
      <c r="D164" s="285">
        <v>6530</v>
      </c>
      <c r="E164" s="285">
        <v>7110</v>
      </c>
      <c r="F164" s="293">
        <v>1340</v>
      </c>
      <c r="H164" s="300"/>
    </row>
    <row r="165" spans="1:8" s="271" customFormat="1" ht="14.25" customHeight="1">
      <c r="A165" s="280" t="s">
        <v>1763</v>
      </c>
      <c r="B165" s="285" t="s">
        <v>1771</v>
      </c>
      <c r="C165" s="285">
        <v>7450</v>
      </c>
      <c r="D165" s="285">
        <v>7430</v>
      </c>
      <c r="E165" s="285">
        <v>8110</v>
      </c>
      <c r="F165" s="293">
        <v>1290</v>
      </c>
      <c r="H165" s="300"/>
    </row>
    <row r="166" spans="1:8" s="271" customFormat="1" ht="14.25" customHeight="1">
      <c r="A166" s="280" t="s">
        <v>1763</v>
      </c>
      <c r="B166" s="285" t="s">
        <v>1772</v>
      </c>
      <c r="C166" s="285">
        <v>7490</v>
      </c>
      <c r="D166" s="285">
        <v>7460</v>
      </c>
      <c r="E166" s="285">
        <v>8150</v>
      </c>
      <c r="F166" s="293">
        <v>1350</v>
      </c>
      <c r="H166" s="300"/>
    </row>
    <row r="167" spans="1:8" s="271" customFormat="1" ht="14.25" customHeight="1">
      <c r="A167" s="280" t="s">
        <v>1763</v>
      </c>
      <c r="B167" s="285" t="s">
        <v>1773</v>
      </c>
      <c r="C167" s="285">
        <v>7540</v>
      </c>
      <c r="D167" s="285">
        <v>7510</v>
      </c>
      <c r="E167" s="285">
        <v>8030</v>
      </c>
      <c r="F167" s="302"/>
      <c r="H167" s="300"/>
    </row>
    <row r="168" spans="1:8" s="271" customFormat="1" ht="14.25" customHeight="1">
      <c r="A168" s="280" t="s">
        <v>1763</v>
      </c>
      <c r="B168" s="285" t="s">
        <v>1774</v>
      </c>
      <c r="C168" s="285">
        <v>7210</v>
      </c>
      <c r="D168" s="285">
        <v>7180</v>
      </c>
      <c r="E168" s="285">
        <v>7830</v>
      </c>
      <c r="F168" s="302"/>
      <c r="H168" s="300"/>
    </row>
    <row r="169" spans="1:8" s="271" customFormat="1" ht="14.25" customHeight="1">
      <c r="A169" s="280" t="s">
        <v>1763</v>
      </c>
      <c r="B169" s="285" t="s">
        <v>1775</v>
      </c>
      <c r="C169" s="285">
        <v>7040</v>
      </c>
      <c r="D169" s="285">
        <v>7020</v>
      </c>
      <c r="E169" s="285">
        <v>7670</v>
      </c>
      <c r="F169" s="302"/>
      <c r="H169" s="300"/>
    </row>
    <row r="170" spans="1:8" s="271" customFormat="1" ht="14.25" customHeight="1">
      <c r="A170" s="280" t="s">
        <v>1763</v>
      </c>
      <c r="B170" s="285" t="s">
        <v>1776</v>
      </c>
      <c r="C170" s="285">
        <v>8040</v>
      </c>
      <c r="D170" s="285">
        <v>7190</v>
      </c>
      <c r="E170" s="285">
        <v>7850</v>
      </c>
      <c r="F170" s="302"/>
      <c r="H170" s="300"/>
    </row>
    <row r="171" spans="1:8" s="271" customFormat="1" ht="14.25" customHeight="1">
      <c r="A171" s="280" t="s">
        <v>1763</v>
      </c>
      <c r="B171" s="285" t="s">
        <v>1777</v>
      </c>
      <c r="C171" s="285">
        <v>7860</v>
      </c>
      <c r="D171" s="285">
        <v>7720</v>
      </c>
      <c r="E171" s="285">
        <v>8150</v>
      </c>
      <c r="F171" s="293">
        <v>1110</v>
      </c>
      <c r="H171" s="300"/>
    </row>
    <row r="172" spans="1:8" s="271" customFormat="1" ht="14.25" customHeight="1">
      <c r="A172" s="280" t="s">
        <v>1763</v>
      </c>
      <c r="B172" s="285" t="s">
        <v>1778</v>
      </c>
      <c r="C172" s="285">
        <v>7210</v>
      </c>
      <c r="D172" s="285">
        <v>7170</v>
      </c>
      <c r="E172" s="285">
        <v>7320</v>
      </c>
      <c r="F172" s="302"/>
      <c r="H172" s="300"/>
    </row>
    <row r="173" spans="1:8" s="271" customFormat="1" ht="14.25" customHeight="1">
      <c r="A173" s="280" t="s">
        <v>1763</v>
      </c>
      <c r="B173" s="285" t="s">
        <v>1779</v>
      </c>
      <c r="C173" s="285">
        <v>6860</v>
      </c>
      <c r="D173" s="285">
        <v>6810</v>
      </c>
      <c r="E173" s="285">
        <v>7440</v>
      </c>
      <c r="F173" s="302"/>
      <c r="H173" s="300"/>
    </row>
    <row r="174" spans="1:8" s="271" customFormat="1" ht="14.25" customHeight="1">
      <c r="A174" s="280" t="s">
        <v>1763</v>
      </c>
      <c r="B174" s="285" t="s">
        <v>1780</v>
      </c>
      <c r="C174" s="285">
        <v>7120</v>
      </c>
      <c r="D174" s="285">
        <v>7090</v>
      </c>
      <c r="E174" s="285">
        <v>7500</v>
      </c>
      <c r="F174" s="293">
        <v>1490</v>
      </c>
      <c r="H174" s="300"/>
    </row>
    <row r="175" spans="1:8" s="271" customFormat="1" ht="14.25" customHeight="1">
      <c r="A175" s="280" t="s">
        <v>1763</v>
      </c>
      <c r="B175" s="285" t="s">
        <v>1781</v>
      </c>
      <c r="C175" s="285">
        <v>7850</v>
      </c>
      <c r="D175" s="285">
        <v>7820</v>
      </c>
      <c r="E175" s="285">
        <v>8120</v>
      </c>
      <c r="F175" s="293">
        <v>1530</v>
      </c>
      <c r="H175" s="300"/>
    </row>
    <row r="176" spans="1:8" s="271" customFormat="1" ht="14.25" customHeight="1">
      <c r="A176" s="280" t="s">
        <v>1763</v>
      </c>
      <c r="B176" s="285" t="s">
        <v>1782</v>
      </c>
      <c r="C176" s="285">
        <v>7620</v>
      </c>
      <c r="D176" s="285">
        <v>7570</v>
      </c>
      <c r="E176" s="285">
        <v>7990</v>
      </c>
      <c r="F176" s="293">
        <v>1480</v>
      </c>
      <c r="H176" s="300"/>
    </row>
    <row r="177" spans="1:8" s="271" customFormat="1" ht="14.25" customHeight="1">
      <c r="A177" s="280" t="s">
        <v>1763</v>
      </c>
      <c r="B177" s="285" t="s">
        <v>1783</v>
      </c>
      <c r="C177" s="285">
        <v>8590</v>
      </c>
      <c r="D177" s="285">
        <v>8570</v>
      </c>
      <c r="E177" s="285">
        <v>8740</v>
      </c>
      <c r="F177" s="293">
        <v>1540</v>
      </c>
      <c r="H177" s="300"/>
    </row>
    <row r="178" spans="1:8" s="271" customFormat="1" ht="14.25" customHeight="1">
      <c r="A178" s="280" t="s">
        <v>1763</v>
      </c>
      <c r="B178" s="285" t="s">
        <v>1784</v>
      </c>
      <c r="C178" s="285">
        <v>7510</v>
      </c>
      <c r="D178" s="285">
        <v>7470</v>
      </c>
      <c r="E178" s="285">
        <v>8090</v>
      </c>
      <c r="F178" s="293">
        <v>1320</v>
      </c>
      <c r="H178" s="300"/>
    </row>
    <row r="179" spans="1:8" s="271" customFormat="1" ht="14.25" customHeight="1">
      <c r="A179" s="280" t="s">
        <v>1763</v>
      </c>
      <c r="B179" s="285" t="s">
        <v>1785</v>
      </c>
      <c r="C179" s="285">
        <v>6380</v>
      </c>
      <c r="D179" s="285">
        <v>6340</v>
      </c>
      <c r="E179" s="285">
        <v>6810</v>
      </c>
      <c r="F179" s="302"/>
      <c r="H179" s="300"/>
    </row>
    <row r="180" spans="1:8" s="271" customFormat="1" ht="14.25" customHeight="1">
      <c r="A180" s="280" t="s">
        <v>1763</v>
      </c>
      <c r="B180" s="285" t="s">
        <v>1786</v>
      </c>
      <c r="C180" s="285">
        <v>7830</v>
      </c>
      <c r="D180" s="285">
        <v>7800</v>
      </c>
      <c r="E180" s="285">
        <v>7780</v>
      </c>
      <c r="F180" s="293">
        <v>1440</v>
      </c>
      <c r="H180" s="300"/>
    </row>
    <row r="181" spans="1:8" s="271" customFormat="1" ht="14.25" customHeight="1">
      <c r="A181" s="280" t="s">
        <v>1763</v>
      </c>
      <c r="B181" s="285" t="s">
        <v>1787</v>
      </c>
      <c r="C181" s="285">
        <v>7110</v>
      </c>
      <c r="D181" s="285">
        <v>7080</v>
      </c>
      <c r="E181" s="285">
        <v>7730</v>
      </c>
      <c r="F181" s="293">
        <v>1350</v>
      </c>
      <c r="H181" s="300"/>
    </row>
    <row r="182" spans="1:8" s="271" customFormat="1" ht="14.25" customHeight="1">
      <c r="A182" s="280" t="s">
        <v>1763</v>
      </c>
      <c r="B182" s="285" t="s">
        <v>1788</v>
      </c>
      <c r="C182" s="285">
        <v>7310</v>
      </c>
      <c r="D182" s="285">
        <v>7280</v>
      </c>
      <c r="E182" s="285">
        <v>7950</v>
      </c>
      <c r="F182" s="293">
        <v>1220</v>
      </c>
      <c r="H182" s="300"/>
    </row>
    <row r="183" spans="1:8" s="271" customFormat="1" ht="14.25" customHeight="1">
      <c r="A183" s="280" t="s">
        <v>1763</v>
      </c>
      <c r="B183" s="285" t="s">
        <v>1789</v>
      </c>
      <c r="C183" s="285">
        <v>7470</v>
      </c>
      <c r="D183" s="285">
        <v>7440</v>
      </c>
      <c r="E183" s="285">
        <v>7880</v>
      </c>
      <c r="F183" s="302"/>
      <c r="H183" s="300"/>
    </row>
    <row r="184" spans="1:8" s="271" customFormat="1" ht="14.25" customHeight="1">
      <c r="A184" s="280" t="s">
        <v>1763</v>
      </c>
      <c r="B184" s="285" t="s">
        <v>1790</v>
      </c>
      <c r="C184" s="285">
        <v>6960</v>
      </c>
      <c r="D184" s="285">
        <v>6930</v>
      </c>
      <c r="E184" s="285">
        <v>7570</v>
      </c>
      <c r="F184" s="302"/>
      <c r="H184" s="300"/>
    </row>
    <row r="185" spans="1:8" s="271" customFormat="1" ht="14.25" customHeight="1">
      <c r="A185" s="280" t="s">
        <v>1763</v>
      </c>
      <c r="B185" s="285" t="s">
        <v>1791</v>
      </c>
      <c r="C185" s="285">
        <v>7260</v>
      </c>
      <c r="D185" s="285">
        <v>7230</v>
      </c>
      <c r="E185" s="285">
        <v>7710</v>
      </c>
      <c r="F185" s="293">
        <v>1360</v>
      </c>
      <c r="H185" s="300"/>
    </row>
    <row r="186" spans="1:8" s="271" customFormat="1" ht="14.25" customHeight="1">
      <c r="A186" s="280" t="s">
        <v>1763</v>
      </c>
      <c r="B186" s="285" t="s">
        <v>1792</v>
      </c>
      <c r="C186" s="285"/>
      <c r="D186" s="285"/>
      <c r="E186" s="285"/>
      <c r="F186" s="293">
        <v>1560</v>
      </c>
      <c r="H186" s="300"/>
    </row>
    <row r="187" spans="1:8" s="271" customFormat="1" ht="14.25" customHeight="1">
      <c r="A187" s="280" t="s">
        <v>1763</v>
      </c>
      <c r="B187" s="285" t="s">
        <v>1793</v>
      </c>
      <c r="C187" s="285"/>
      <c r="D187" s="285"/>
      <c r="E187" s="285"/>
      <c r="F187" s="293">
        <v>1560</v>
      </c>
      <c r="H187" s="300"/>
    </row>
    <row r="188" spans="1:8" s="271" customFormat="1" ht="14.25" customHeight="1">
      <c r="A188" s="280" t="s">
        <v>1763</v>
      </c>
      <c r="B188" s="285" t="s">
        <v>1794</v>
      </c>
      <c r="C188" s="285"/>
      <c r="D188" s="285"/>
      <c r="E188" s="285"/>
      <c r="F188" s="293">
        <v>1560</v>
      </c>
      <c r="H188" s="300"/>
    </row>
    <row r="189" spans="1:8" s="271" customFormat="1" ht="14.25" customHeight="1">
      <c r="A189" s="280" t="s">
        <v>1763</v>
      </c>
      <c r="B189" s="285" t="s">
        <v>1795</v>
      </c>
      <c r="C189" s="285"/>
      <c r="D189" s="285"/>
      <c r="E189" s="285"/>
      <c r="F189" s="293">
        <v>1320</v>
      </c>
      <c r="H189" s="300"/>
    </row>
    <row r="190" spans="1:8" s="271" customFormat="1" ht="14.25" customHeight="1">
      <c r="A190" s="280" t="s">
        <v>1763</v>
      </c>
      <c r="B190" s="285" t="s">
        <v>1796</v>
      </c>
      <c r="C190" s="285"/>
      <c r="D190" s="285"/>
      <c r="E190" s="285"/>
      <c r="F190" s="293">
        <v>1320</v>
      </c>
      <c r="H190" s="300"/>
    </row>
    <row r="191" spans="1:8" s="271" customFormat="1" ht="14.25" customHeight="1">
      <c r="A191" s="280" t="s">
        <v>1763</v>
      </c>
      <c r="B191" s="285" t="s">
        <v>1797</v>
      </c>
      <c r="C191" s="285"/>
      <c r="D191" s="285"/>
      <c r="E191" s="285"/>
      <c r="F191" s="293">
        <v>1320</v>
      </c>
      <c r="H191" s="300"/>
    </row>
    <row r="192" spans="1:8" s="271" customFormat="1" ht="14.25" customHeight="1">
      <c r="A192" s="280" t="s">
        <v>1763</v>
      </c>
      <c r="B192" s="285" t="s">
        <v>1798</v>
      </c>
      <c r="C192" s="285"/>
      <c r="D192" s="285"/>
      <c r="E192" s="285"/>
      <c r="F192" s="293">
        <v>1100</v>
      </c>
      <c r="H192" s="300"/>
    </row>
    <row r="193" spans="1:8" s="271" customFormat="1" ht="14.25" customHeight="1">
      <c r="A193" s="280" t="s">
        <v>1763</v>
      </c>
      <c r="B193" s="285" t="s">
        <v>1799</v>
      </c>
      <c r="C193" s="285"/>
      <c r="D193" s="285"/>
      <c r="E193" s="285"/>
      <c r="F193" s="293">
        <v>1100</v>
      </c>
      <c r="H193" s="300"/>
    </row>
    <row r="194" spans="1:8" s="271" customFormat="1" ht="14.25" customHeight="1">
      <c r="A194" s="280" t="s">
        <v>1763</v>
      </c>
      <c r="B194" s="285" t="s">
        <v>1800</v>
      </c>
      <c r="C194" s="285"/>
      <c r="D194" s="285"/>
      <c r="E194" s="285"/>
      <c r="F194" s="293">
        <v>1080</v>
      </c>
      <c r="H194" s="300"/>
    </row>
    <row r="195" spans="1:8" s="271" customFormat="1" ht="14.25" customHeight="1">
      <c r="A195" s="280" t="s">
        <v>1763</v>
      </c>
      <c r="B195" s="285" t="s">
        <v>1801</v>
      </c>
      <c r="C195" s="285"/>
      <c r="D195" s="285"/>
      <c r="E195" s="285"/>
      <c r="F195" s="293">
        <v>1270</v>
      </c>
      <c r="H195" s="300"/>
    </row>
    <row r="196" spans="1:8" s="271" customFormat="1" ht="14.25" customHeight="1">
      <c r="A196" s="280" t="s">
        <v>1763</v>
      </c>
      <c r="B196" s="285" t="s">
        <v>1802</v>
      </c>
      <c r="C196" s="285"/>
      <c r="D196" s="285"/>
      <c r="E196" s="285"/>
      <c r="F196" s="293">
        <v>1150</v>
      </c>
      <c r="H196" s="300"/>
    </row>
    <row r="197" spans="1:8" s="271" customFormat="1" ht="14.25" customHeight="1">
      <c r="A197" s="280" t="s">
        <v>1763</v>
      </c>
      <c r="B197" s="285" t="s">
        <v>1803</v>
      </c>
      <c r="C197" s="285"/>
      <c r="D197" s="285"/>
      <c r="E197" s="285"/>
      <c r="F197" s="293">
        <v>1330</v>
      </c>
      <c r="H197" s="300"/>
    </row>
    <row r="198" spans="1:8" s="271" customFormat="1" ht="14.25" customHeight="1">
      <c r="A198" s="280" t="s">
        <v>1763</v>
      </c>
      <c r="B198" s="285" t="s">
        <v>1804</v>
      </c>
      <c r="C198" s="285"/>
      <c r="D198" s="285"/>
      <c r="E198" s="285"/>
      <c r="F198" s="293">
        <v>1170</v>
      </c>
      <c r="H198" s="300"/>
    </row>
    <row r="199" spans="1:8" s="271" customFormat="1" ht="14.25" customHeight="1">
      <c r="A199" s="280" t="s">
        <v>1763</v>
      </c>
      <c r="B199" s="285" t="s">
        <v>1805</v>
      </c>
      <c r="C199" s="285"/>
      <c r="D199" s="285"/>
      <c r="E199" s="285"/>
      <c r="F199" s="293">
        <v>1120</v>
      </c>
      <c r="H199" s="300"/>
    </row>
    <row r="200" spans="1:8" s="271" customFormat="1" ht="14.25" customHeight="1">
      <c r="A200" s="280" t="s">
        <v>1763</v>
      </c>
      <c r="B200" s="285" t="s">
        <v>1806</v>
      </c>
      <c r="C200" s="285"/>
      <c r="D200" s="285"/>
      <c r="E200" s="285"/>
      <c r="F200" s="293">
        <v>1120</v>
      </c>
      <c r="H200" s="300"/>
    </row>
    <row r="201" spans="1:8" s="271" customFormat="1" ht="14.25" customHeight="1">
      <c r="A201" s="280" t="s">
        <v>1763</v>
      </c>
      <c r="B201" s="285" t="s">
        <v>1807</v>
      </c>
      <c r="C201" s="285"/>
      <c r="D201" s="285"/>
      <c r="E201" s="285"/>
      <c r="F201" s="293">
        <v>1540</v>
      </c>
      <c r="H201" s="300"/>
    </row>
    <row r="202" spans="1:8" s="271" customFormat="1" ht="14.25" customHeight="1">
      <c r="A202" s="280" t="s">
        <v>1763</v>
      </c>
      <c r="B202" s="285" t="s">
        <v>1808</v>
      </c>
      <c r="C202" s="285"/>
      <c r="D202" s="285"/>
      <c r="E202" s="285"/>
      <c r="F202" s="293">
        <v>1310</v>
      </c>
      <c r="H202" s="300"/>
    </row>
    <row r="203" spans="1:8" s="271" customFormat="1" ht="14.25" customHeight="1">
      <c r="A203" s="280" t="s">
        <v>1763</v>
      </c>
      <c r="B203" s="285" t="s">
        <v>1809</v>
      </c>
      <c r="C203" s="285"/>
      <c r="D203" s="285"/>
      <c r="E203" s="285"/>
      <c r="F203" s="293">
        <v>1310</v>
      </c>
      <c r="H203" s="300"/>
    </row>
    <row r="204" spans="1:8" s="271" customFormat="1" ht="14.25" customHeight="1">
      <c r="A204" s="280" t="s">
        <v>1763</v>
      </c>
      <c r="B204" s="285" t="s">
        <v>1810</v>
      </c>
      <c r="C204" s="285"/>
      <c r="D204" s="285"/>
      <c r="E204" s="285"/>
      <c r="F204" s="293">
        <v>1080</v>
      </c>
      <c r="H204" s="300"/>
    </row>
    <row r="205" spans="1:8" s="271" customFormat="1" ht="14.25" customHeight="1">
      <c r="A205" s="280" t="s">
        <v>1763</v>
      </c>
      <c r="B205" s="285" t="s">
        <v>1811</v>
      </c>
      <c r="C205" s="285"/>
      <c r="D205" s="285"/>
      <c r="E205" s="285"/>
      <c r="F205" s="293">
        <v>1080</v>
      </c>
      <c r="H205" s="300"/>
    </row>
    <row r="206" spans="1:8" s="271" customFormat="1" ht="14.25" customHeight="1">
      <c r="A206" s="280" t="s">
        <v>1812</v>
      </c>
      <c r="B206" s="281" t="s">
        <v>1813</v>
      </c>
      <c r="C206" s="281">
        <v>5450</v>
      </c>
      <c r="D206" s="281">
        <v>5430</v>
      </c>
      <c r="E206" s="281">
        <v>5700</v>
      </c>
      <c r="F206" s="282">
        <v>1020</v>
      </c>
      <c r="H206" s="300"/>
    </row>
    <row r="207" spans="1:8" s="271" customFormat="1" ht="14.25" customHeight="1">
      <c r="A207" s="280" t="s">
        <v>1812</v>
      </c>
      <c r="B207" s="285" t="s">
        <v>1814</v>
      </c>
      <c r="C207" s="285">
        <v>5860</v>
      </c>
      <c r="D207" s="285">
        <v>5820</v>
      </c>
      <c r="E207" s="285">
        <v>6050</v>
      </c>
      <c r="F207" s="293">
        <v>1080</v>
      </c>
      <c r="H207" s="300"/>
    </row>
    <row r="208" spans="1:8" s="271" customFormat="1" ht="14.25" customHeight="1">
      <c r="A208" s="280" t="s">
        <v>1812</v>
      </c>
      <c r="B208" s="285" t="s">
        <v>1815</v>
      </c>
      <c r="C208" s="285">
        <v>4630</v>
      </c>
      <c r="D208" s="285">
        <v>4600</v>
      </c>
      <c r="E208" s="285">
        <v>4840</v>
      </c>
      <c r="F208" s="293">
        <v>900</v>
      </c>
      <c r="H208" s="300"/>
    </row>
    <row r="209" spans="1:8" s="271" customFormat="1" ht="14.25" customHeight="1">
      <c r="A209" s="280" t="s">
        <v>1812</v>
      </c>
      <c r="B209" s="285" t="s">
        <v>1816</v>
      </c>
      <c r="C209" s="285">
        <v>5320</v>
      </c>
      <c r="D209" s="285">
        <v>5270</v>
      </c>
      <c r="E209" s="285">
        <v>5540</v>
      </c>
      <c r="F209" s="293">
        <v>980</v>
      </c>
      <c r="H209" s="300"/>
    </row>
    <row r="210" spans="1:8" s="271" customFormat="1" ht="14.25" customHeight="1">
      <c r="A210" s="280" t="s">
        <v>1812</v>
      </c>
      <c r="B210" s="285" t="s">
        <v>1817</v>
      </c>
      <c r="C210" s="285">
        <v>5760</v>
      </c>
      <c r="D210" s="285">
        <v>5710</v>
      </c>
      <c r="E210" s="285">
        <v>6010</v>
      </c>
      <c r="F210" s="293">
        <v>870</v>
      </c>
      <c r="H210" s="300"/>
    </row>
    <row r="211" spans="1:8" s="271" customFormat="1" ht="14.25" customHeight="1">
      <c r="A211" s="280" t="s">
        <v>1812</v>
      </c>
      <c r="B211" s="285" t="s">
        <v>1818</v>
      </c>
      <c r="C211" s="285">
        <v>4160</v>
      </c>
      <c r="D211" s="285">
        <v>4100</v>
      </c>
      <c r="E211" s="285">
        <v>4270</v>
      </c>
      <c r="F211" s="293">
        <v>790</v>
      </c>
      <c r="H211" s="300"/>
    </row>
    <row r="212" spans="1:8" s="271" customFormat="1" ht="14.25" customHeight="1">
      <c r="A212" s="280" t="s">
        <v>1812</v>
      </c>
      <c r="B212" s="285" t="s">
        <v>1819</v>
      </c>
      <c r="C212" s="285">
        <v>4880</v>
      </c>
      <c r="D212" s="285">
        <v>4850</v>
      </c>
      <c r="E212" s="285">
        <v>5110</v>
      </c>
      <c r="F212" s="293">
        <v>940</v>
      </c>
      <c r="H212" s="300"/>
    </row>
    <row r="213" spans="1:8" s="271" customFormat="1" ht="14.25" customHeight="1">
      <c r="A213" s="280" t="s">
        <v>1812</v>
      </c>
      <c r="B213" s="285" t="s">
        <v>1820</v>
      </c>
      <c r="C213" s="285">
        <v>4640</v>
      </c>
      <c r="D213" s="285">
        <v>4590</v>
      </c>
      <c r="E213" s="285">
        <v>4700</v>
      </c>
      <c r="F213" s="293">
        <v>1030</v>
      </c>
      <c r="H213" s="300"/>
    </row>
    <row r="214" spans="1:8" s="271" customFormat="1" ht="14.25" customHeight="1">
      <c r="A214" s="280" t="s">
        <v>1812</v>
      </c>
      <c r="B214" s="285" t="s">
        <v>1821</v>
      </c>
      <c r="C214" s="285">
        <v>4540</v>
      </c>
      <c r="D214" s="285">
        <v>4490</v>
      </c>
      <c r="E214" s="285">
        <v>4610</v>
      </c>
      <c r="F214" s="302"/>
      <c r="H214" s="300"/>
    </row>
    <row r="215" spans="1:8" s="271" customFormat="1" ht="14.25" customHeight="1">
      <c r="A215" s="280" t="s">
        <v>1812</v>
      </c>
      <c r="B215" s="285" t="s">
        <v>1822</v>
      </c>
      <c r="C215" s="285">
        <v>5280</v>
      </c>
      <c r="D215" s="285">
        <v>5250</v>
      </c>
      <c r="E215" s="285">
        <v>5520</v>
      </c>
      <c r="F215" s="293">
        <v>1000</v>
      </c>
      <c r="H215" s="300"/>
    </row>
    <row r="216" spans="1:8" s="271" customFormat="1" ht="14.25" customHeight="1">
      <c r="A216" s="280" t="s">
        <v>1812</v>
      </c>
      <c r="B216" s="285" t="s">
        <v>1823</v>
      </c>
      <c r="C216" s="285">
        <v>5100</v>
      </c>
      <c r="D216" s="285">
        <v>5050</v>
      </c>
      <c r="E216" s="285">
        <v>5300</v>
      </c>
      <c r="F216" s="293">
        <v>950</v>
      </c>
      <c r="H216" s="300"/>
    </row>
    <row r="217" spans="1:8" s="271" customFormat="1" ht="14.25" customHeight="1">
      <c r="A217" s="280" t="s">
        <v>1812</v>
      </c>
      <c r="B217" s="285" t="s">
        <v>1824</v>
      </c>
      <c r="C217" s="285">
        <v>5370</v>
      </c>
      <c r="D217" s="285">
        <v>5320</v>
      </c>
      <c r="E217" s="285">
        <v>5410</v>
      </c>
      <c r="F217" s="293">
        <v>950</v>
      </c>
      <c r="H217" s="300"/>
    </row>
    <row r="218" spans="1:8" s="271" customFormat="1" ht="14.25" customHeight="1">
      <c r="A218" s="280" t="s">
        <v>1812</v>
      </c>
      <c r="B218" s="285" t="s">
        <v>1825</v>
      </c>
      <c r="C218" s="285">
        <v>5540</v>
      </c>
      <c r="D218" s="285">
        <v>5480</v>
      </c>
      <c r="E218" s="285">
        <v>5740</v>
      </c>
      <c r="F218" s="293">
        <v>1020</v>
      </c>
      <c r="H218" s="300"/>
    </row>
    <row r="219" spans="1:8" s="271" customFormat="1" ht="14.25" customHeight="1">
      <c r="A219" s="280" t="s">
        <v>1812</v>
      </c>
      <c r="B219" s="285" t="s">
        <v>1826</v>
      </c>
      <c r="C219" s="285">
        <v>5140</v>
      </c>
      <c r="D219" s="285">
        <v>5100</v>
      </c>
      <c r="E219" s="285">
        <v>5350</v>
      </c>
      <c r="F219" s="293">
        <v>1120</v>
      </c>
      <c r="H219" s="300"/>
    </row>
    <row r="220" spans="1:8" s="271" customFormat="1" ht="14.25" customHeight="1">
      <c r="A220" s="280" t="s">
        <v>1812</v>
      </c>
      <c r="B220" s="285" t="s">
        <v>1827</v>
      </c>
      <c r="C220" s="285">
        <v>5040</v>
      </c>
      <c r="D220" s="285">
        <v>5000</v>
      </c>
      <c r="E220" s="285">
        <v>5240</v>
      </c>
      <c r="F220" s="293">
        <v>980</v>
      </c>
      <c r="H220" s="300"/>
    </row>
    <row r="221" spans="1:8" s="271" customFormat="1" ht="14.25" customHeight="1">
      <c r="A221" s="280" t="s">
        <v>1812</v>
      </c>
      <c r="B221" s="285" t="s">
        <v>1828</v>
      </c>
      <c r="C221" s="305"/>
      <c r="D221" s="305"/>
      <c r="E221" s="305"/>
      <c r="F221" s="293">
        <v>1070</v>
      </c>
      <c r="H221" s="300"/>
    </row>
    <row r="222" spans="1:8" s="271" customFormat="1" ht="14.25" customHeight="1">
      <c r="A222" s="280" t="s">
        <v>1812</v>
      </c>
      <c r="B222" s="285" t="s">
        <v>1829</v>
      </c>
      <c r="C222" s="305"/>
      <c r="D222" s="305"/>
      <c r="E222" s="305"/>
      <c r="F222" s="293">
        <v>870</v>
      </c>
      <c r="H222" s="300"/>
    </row>
    <row r="223" spans="1:8" s="271" customFormat="1" ht="14.25" customHeight="1">
      <c r="A223" s="280" t="s">
        <v>1812</v>
      </c>
      <c r="B223" s="285" t="s">
        <v>1830</v>
      </c>
      <c r="C223" s="305"/>
      <c r="D223" s="305"/>
      <c r="E223" s="305"/>
      <c r="F223" s="293">
        <v>940</v>
      </c>
      <c r="H223" s="300"/>
    </row>
    <row r="224" spans="1:8" s="271" customFormat="1" ht="14.25" customHeight="1">
      <c r="A224" s="280" t="s">
        <v>1812</v>
      </c>
      <c r="B224" s="285" t="s">
        <v>1831</v>
      </c>
      <c r="C224" s="305"/>
      <c r="D224" s="305"/>
      <c r="E224" s="305"/>
      <c r="F224" s="293">
        <v>990</v>
      </c>
      <c r="H224" s="300"/>
    </row>
    <row r="225" spans="1:8" s="271" customFormat="1" ht="14.25" customHeight="1">
      <c r="A225" s="280" t="s">
        <v>1812</v>
      </c>
      <c r="B225" s="285" t="s">
        <v>1832</v>
      </c>
      <c r="C225" s="285">
        <v>5730</v>
      </c>
      <c r="D225" s="285">
        <v>5680</v>
      </c>
      <c r="E225" s="285">
        <v>6020</v>
      </c>
      <c r="F225" s="293">
        <v>1000</v>
      </c>
      <c r="H225" s="300"/>
    </row>
    <row r="226" spans="1:8" s="271" customFormat="1" ht="14.25" customHeight="1">
      <c r="A226" s="280" t="s">
        <v>1812</v>
      </c>
      <c r="B226" s="285" t="s">
        <v>1833</v>
      </c>
      <c r="C226" s="285">
        <v>4970</v>
      </c>
      <c r="D226" s="285">
        <v>4940</v>
      </c>
      <c r="E226" s="285">
        <v>5180</v>
      </c>
      <c r="F226" s="293">
        <v>960</v>
      </c>
      <c r="H226" s="300"/>
    </row>
    <row r="227" spans="1:8" s="271" customFormat="1" ht="14.25" customHeight="1">
      <c r="A227" s="280" t="s">
        <v>1812</v>
      </c>
      <c r="B227" s="285" t="s">
        <v>1834</v>
      </c>
      <c r="C227" s="285">
        <v>5550</v>
      </c>
      <c r="D227" s="285">
        <v>5500</v>
      </c>
      <c r="E227" s="285">
        <v>5780</v>
      </c>
      <c r="F227" s="293">
        <v>940</v>
      </c>
      <c r="H227" s="300"/>
    </row>
    <row r="228" spans="1:8" s="271" customFormat="1" ht="14.25" customHeight="1">
      <c r="A228" s="280" t="s">
        <v>1812</v>
      </c>
      <c r="B228" s="285" t="s">
        <v>1835</v>
      </c>
      <c r="C228" s="285">
        <v>5460</v>
      </c>
      <c r="D228" s="285">
        <v>5420</v>
      </c>
      <c r="E228" s="285">
        <v>5690</v>
      </c>
      <c r="F228" s="293">
        <v>910</v>
      </c>
      <c r="H228" s="300"/>
    </row>
    <row r="229" spans="1:8" s="271" customFormat="1" ht="14.25" customHeight="1">
      <c r="A229" s="280" t="s">
        <v>1812</v>
      </c>
      <c r="B229" s="285" t="s">
        <v>1836</v>
      </c>
      <c r="C229" s="285">
        <v>5310</v>
      </c>
      <c r="D229" s="285">
        <v>5270</v>
      </c>
      <c r="E229" s="285">
        <v>5510</v>
      </c>
      <c r="F229" s="302"/>
      <c r="H229" s="300"/>
    </row>
    <row r="230" spans="1:8" s="271" customFormat="1" ht="14.25" customHeight="1">
      <c r="A230" s="280" t="s">
        <v>1812</v>
      </c>
      <c r="B230" s="285" t="s">
        <v>1837</v>
      </c>
      <c r="C230" s="285">
        <v>4540</v>
      </c>
      <c r="D230" s="285">
        <v>4500</v>
      </c>
      <c r="E230" s="285">
        <v>4730</v>
      </c>
      <c r="F230" s="302"/>
      <c r="H230" s="300"/>
    </row>
    <row r="231" spans="1:8" s="271" customFormat="1" ht="14.25" customHeight="1">
      <c r="A231" s="280" t="s">
        <v>1812</v>
      </c>
      <c r="B231" s="285" t="s">
        <v>1838</v>
      </c>
      <c r="C231" s="285">
        <v>4480</v>
      </c>
      <c r="D231" s="285">
        <v>4410</v>
      </c>
      <c r="E231" s="285">
        <v>4640</v>
      </c>
      <c r="F231" s="302"/>
      <c r="H231" s="300"/>
    </row>
    <row r="232" spans="1:8" s="271" customFormat="1" ht="14.25" customHeight="1">
      <c r="A232" s="280" t="s">
        <v>1812</v>
      </c>
      <c r="B232" s="285" t="s">
        <v>1839</v>
      </c>
      <c r="C232" s="285">
        <v>5670</v>
      </c>
      <c r="D232" s="285">
        <v>5600</v>
      </c>
      <c r="E232" s="285">
        <v>5890</v>
      </c>
      <c r="F232" s="293">
        <v>1150</v>
      </c>
      <c r="H232" s="300"/>
    </row>
    <row r="233" spans="1:8" s="271" customFormat="1" ht="14.25" customHeight="1">
      <c r="A233" s="280" t="s">
        <v>1812</v>
      </c>
      <c r="B233" s="285" t="s">
        <v>1840</v>
      </c>
      <c r="C233" s="285">
        <v>4590</v>
      </c>
      <c r="D233" s="285">
        <v>4500</v>
      </c>
      <c r="E233" s="285">
        <v>4600</v>
      </c>
      <c r="F233" s="302"/>
      <c r="H233" s="300"/>
    </row>
    <row r="234" spans="1:8" s="271" customFormat="1" ht="14.25" customHeight="1">
      <c r="A234" s="280" t="s">
        <v>1812</v>
      </c>
      <c r="B234" s="285" t="s">
        <v>1995</v>
      </c>
      <c r="C234" s="285">
        <v>3990</v>
      </c>
      <c r="D234" s="285">
        <v>3950</v>
      </c>
      <c r="E234" s="285">
        <v>4180</v>
      </c>
      <c r="F234" s="302"/>
      <c r="H234" s="300"/>
    </row>
    <row r="235" spans="1:8" s="271" customFormat="1" ht="14.25" customHeight="1">
      <c r="A235" s="280" t="s">
        <v>1812</v>
      </c>
      <c r="B235" s="285" t="s">
        <v>1842</v>
      </c>
      <c r="C235" s="285">
        <v>5590</v>
      </c>
      <c r="D235" s="285">
        <v>5540</v>
      </c>
      <c r="E235" s="285">
        <v>5810</v>
      </c>
      <c r="F235" s="293">
        <v>970</v>
      </c>
      <c r="H235" s="300"/>
    </row>
    <row r="236" spans="1:8" s="271" customFormat="1" ht="14.25" customHeight="1">
      <c r="A236" s="280" t="s">
        <v>1812</v>
      </c>
      <c r="B236" s="285" t="s">
        <v>1843</v>
      </c>
      <c r="C236" s="285"/>
      <c r="D236" s="285"/>
      <c r="E236" s="285"/>
      <c r="F236" s="293">
        <v>1020</v>
      </c>
      <c r="H236" s="300"/>
    </row>
    <row r="237" spans="1:8" s="271" customFormat="1" ht="14.25" customHeight="1">
      <c r="A237" s="280" t="s">
        <v>1812</v>
      </c>
      <c r="B237" s="285" t="s">
        <v>1844</v>
      </c>
      <c r="C237" s="285"/>
      <c r="D237" s="285"/>
      <c r="E237" s="285"/>
      <c r="F237" s="293">
        <v>960</v>
      </c>
      <c r="H237" s="300"/>
    </row>
    <row r="238" spans="1:8" s="271" customFormat="1" ht="14.25" customHeight="1">
      <c r="A238" s="280" t="s">
        <v>1812</v>
      </c>
      <c r="B238" s="285" t="s">
        <v>1845</v>
      </c>
      <c r="C238" s="285"/>
      <c r="D238" s="285"/>
      <c r="E238" s="285"/>
      <c r="F238" s="293">
        <v>960</v>
      </c>
      <c r="H238" s="300"/>
    </row>
    <row r="239" spans="1:8" s="271" customFormat="1" ht="14.25" customHeight="1">
      <c r="A239" s="280" t="s">
        <v>1812</v>
      </c>
      <c r="B239" s="285" t="s">
        <v>1846</v>
      </c>
      <c r="C239" s="285"/>
      <c r="D239" s="285"/>
      <c r="E239" s="285"/>
      <c r="F239" s="293">
        <v>960</v>
      </c>
      <c r="H239" s="300"/>
    </row>
    <row r="240" spans="1:8" s="271" customFormat="1" ht="14.25" customHeight="1">
      <c r="A240" s="280" t="s">
        <v>1812</v>
      </c>
      <c r="B240" s="285" t="s">
        <v>1847</v>
      </c>
      <c r="C240" s="285"/>
      <c r="D240" s="285"/>
      <c r="E240" s="285"/>
      <c r="F240" s="293">
        <v>990</v>
      </c>
      <c r="H240" s="300"/>
    </row>
    <row r="241" spans="1:8" s="271" customFormat="1" ht="14.25" customHeight="1">
      <c r="A241" s="280" t="s">
        <v>1812</v>
      </c>
      <c r="B241" s="285" t="s">
        <v>1848</v>
      </c>
      <c r="C241" s="285"/>
      <c r="D241" s="285"/>
      <c r="E241" s="285"/>
      <c r="F241" s="293">
        <v>1000</v>
      </c>
      <c r="H241" s="300"/>
    </row>
    <row r="242" spans="1:8" s="271" customFormat="1" ht="14.25" customHeight="1">
      <c r="A242" s="280" t="s">
        <v>1812</v>
      </c>
      <c r="B242" s="285" t="s">
        <v>1849</v>
      </c>
      <c r="C242" s="285"/>
      <c r="D242" s="285"/>
      <c r="E242" s="285"/>
      <c r="F242" s="293">
        <v>980</v>
      </c>
      <c r="H242" s="300"/>
    </row>
    <row r="243" spans="1:8" s="271" customFormat="1" ht="14.25" customHeight="1">
      <c r="A243" s="280" t="s">
        <v>1812</v>
      </c>
      <c r="B243" s="285" t="s">
        <v>1850</v>
      </c>
      <c r="C243" s="285"/>
      <c r="D243" s="285"/>
      <c r="E243" s="285"/>
      <c r="F243" s="293">
        <v>970</v>
      </c>
      <c r="H243" s="300"/>
    </row>
    <row r="244" spans="1:8" s="271" customFormat="1" ht="14.25" customHeight="1">
      <c r="A244" s="280" t="s">
        <v>1812</v>
      </c>
      <c r="B244" s="291" t="s">
        <v>1851</v>
      </c>
      <c r="C244" s="291"/>
      <c r="D244" s="291"/>
      <c r="E244" s="291"/>
      <c r="F244" s="301">
        <v>970</v>
      </c>
      <c r="H244" s="300"/>
    </row>
    <row r="245" spans="1:8" s="271" customFormat="1" ht="14.25" customHeight="1">
      <c r="A245" s="280" t="s">
        <v>1852</v>
      </c>
      <c r="B245" s="281" t="s">
        <v>1853</v>
      </c>
      <c r="C245" s="281">
        <v>4050</v>
      </c>
      <c r="D245" s="281">
        <v>4020</v>
      </c>
      <c r="E245" s="281">
        <v>4160</v>
      </c>
      <c r="F245" s="282">
        <v>840</v>
      </c>
      <c r="H245" s="300"/>
    </row>
    <row r="246" spans="1:8" s="271" customFormat="1" ht="14.25" customHeight="1">
      <c r="A246" s="280" t="s">
        <v>1852</v>
      </c>
      <c r="B246" s="285" t="s">
        <v>1854</v>
      </c>
      <c r="C246" s="285">
        <v>4010</v>
      </c>
      <c r="D246" s="285">
        <v>3960</v>
      </c>
      <c r="E246" s="285">
        <v>4130</v>
      </c>
      <c r="F246" s="293">
        <v>840</v>
      </c>
      <c r="H246" s="300"/>
    </row>
    <row r="247" spans="1:8" s="271" customFormat="1" ht="14.25" customHeight="1">
      <c r="A247" s="280" t="s">
        <v>1852</v>
      </c>
      <c r="B247" s="285" t="s">
        <v>1855</v>
      </c>
      <c r="C247" s="285">
        <v>3170</v>
      </c>
      <c r="D247" s="285">
        <v>3140</v>
      </c>
      <c r="E247" s="285">
        <v>3270</v>
      </c>
      <c r="F247" s="293">
        <v>640</v>
      </c>
      <c r="H247" s="300"/>
    </row>
    <row r="248" spans="1:8" s="271" customFormat="1" ht="14.25" customHeight="1">
      <c r="A248" s="280" t="s">
        <v>1852</v>
      </c>
      <c r="B248" s="285" t="s">
        <v>1856</v>
      </c>
      <c r="C248" s="285">
        <v>3140</v>
      </c>
      <c r="D248" s="285">
        <v>3120</v>
      </c>
      <c r="E248" s="285">
        <v>3240</v>
      </c>
      <c r="F248" s="293">
        <v>620</v>
      </c>
      <c r="H248" s="300"/>
    </row>
    <row r="249" spans="1:8" s="271" customFormat="1" ht="14.25" customHeight="1">
      <c r="A249" s="280" t="s">
        <v>1852</v>
      </c>
      <c r="B249" s="285" t="s">
        <v>1857</v>
      </c>
      <c r="C249" s="285">
        <v>3200</v>
      </c>
      <c r="D249" s="285">
        <v>3100</v>
      </c>
      <c r="E249" s="285">
        <v>3230</v>
      </c>
      <c r="F249" s="293">
        <v>750</v>
      </c>
      <c r="H249" s="300"/>
    </row>
    <row r="250" spans="1:8" s="271" customFormat="1" ht="14.25" customHeight="1">
      <c r="A250" s="280" t="s">
        <v>1852</v>
      </c>
      <c r="B250" s="285" t="s">
        <v>1858</v>
      </c>
      <c r="C250" s="285">
        <v>4060</v>
      </c>
      <c r="D250" s="285">
        <v>4000</v>
      </c>
      <c r="E250" s="285">
        <v>4140</v>
      </c>
      <c r="F250" s="293">
        <v>790</v>
      </c>
      <c r="H250" s="300"/>
    </row>
    <row r="251" spans="1:8" s="271" customFormat="1" ht="14.25" customHeight="1">
      <c r="A251" s="280" t="s">
        <v>1852</v>
      </c>
      <c r="B251" s="285" t="s">
        <v>1859</v>
      </c>
      <c r="C251" s="285">
        <v>3990</v>
      </c>
      <c r="D251" s="285">
        <v>3970</v>
      </c>
      <c r="E251" s="285">
        <v>4110</v>
      </c>
      <c r="F251" s="293">
        <v>730</v>
      </c>
      <c r="H251" s="300"/>
    </row>
    <row r="252" spans="1:8" s="271" customFormat="1" ht="14.25" customHeight="1">
      <c r="A252" s="280" t="s">
        <v>1852</v>
      </c>
      <c r="B252" s="285" t="s">
        <v>1860</v>
      </c>
      <c r="C252" s="285">
        <v>3560</v>
      </c>
      <c r="D252" s="285">
        <v>3530</v>
      </c>
      <c r="E252" s="285">
        <v>3650</v>
      </c>
      <c r="F252" s="293">
        <v>750</v>
      </c>
      <c r="H252" s="300"/>
    </row>
    <row r="253" spans="1:8" s="271" customFormat="1" ht="14.25" customHeight="1">
      <c r="A253" s="280" t="s">
        <v>1852</v>
      </c>
      <c r="B253" s="285" t="s">
        <v>1861</v>
      </c>
      <c r="C253" s="285">
        <v>3780</v>
      </c>
      <c r="D253" s="285">
        <v>3750</v>
      </c>
      <c r="E253" s="285">
        <v>3870</v>
      </c>
      <c r="F253" s="293">
        <v>770</v>
      </c>
      <c r="H253" s="300"/>
    </row>
    <row r="254" spans="1:8" s="271" customFormat="1" ht="14.25" customHeight="1">
      <c r="A254" s="280" t="s">
        <v>1852</v>
      </c>
      <c r="B254" s="285" t="s">
        <v>1862</v>
      </c>
      <c r="C254" s="305"/>
      <c r="D254" s="305"/>
      <c r="E254" s="305"/>
      <c r="F254" s="293">
        <v>740</v>
      </c>
      <c r="H254" s="300"/>
    </row>
    <row r="255" spans="1:8" s="271" customFormat="1" ht="14.25" customHeight="1">
      <c r="A255" s="280" t="s">
        <v>1852</v>
      </c>
      <c r="B255" s="285" t="s">
        <v>1863</v>
      </c>
      <c r="C255" s="305"/>
      <c r="D255" s="305"/>
      <c r="E255" s="305"/>
      <c r="F255" s="293">
        <v>760</v>
      </c>
      <c r="H255" s="300"/>
    </row>
    <row r="256" spans="1:8" s="271" customFormat="1" ht="14.25" customHeight="1">
      <c r="A256" s="280" t="s">
        <v>1852</v>
      </c>
      <c r="B256" s="285" t="s">
        <v>1864</v>
      </c>
      <c r="C256" s="285">
        <v>3760</v>
      </c>
      <c r="D256" s="285">
        <v>3730</v>
      </c>
      <c r="E256" s="285">
        <v>3870</v>
      </c>
      <c r="F256" s="293">
        <v>830</v>
      </c>
      <c r="H256" s="300"/>
    </row>
    <row r="257" spans="1:8" s="271" customFormat="1" ht="14.25" customHeight="1">
      <c r="A257" s="280" t="s">
        <v>1852</v>
      </c>
      <c r="B257" s="285" t="s">
        <v>1865</v>
      </c>
      <c r="C257" s="285">
        <v>3570</v>
      </c>
      <c r="D257" s="285">
        <v>3540</v>
      </c>
      <c r="E257" s="285">
        <v>3650</v>
      </c>
      <c r="F257" s="293">
        <v>790</v>
      </c>
      <c r="H257" s="300"/>
    </row>
    <row r="258" spans="1:8" s="271" customFormat="1" ht="14.25" customHeight="1">
      <c r="A258" s="280" t="s">
        <v>1852</v>
      </c>
      <c r="B258" s="285" t="s">
        <v>1866</v>
      </c>
      <c r="C258" s="285">
        <v>3410</v>
      </c>
      <c r="D258" s="285">
        <v>3380</v>
      </c>
      <c r="E258" s="285">
        <v>3500</v>
      </c>
      <c r="F258" s="293">
        <v>830</v>
      </c>
      <c r="H258" s="300"/>
    </row>
    <row r="259" spans="1:8" s="271" customFormat="1" ht="14.25" customHeight="1">
      <c r="A259" s="280" t="s">
        <v>1852</v>
      </c>
      <c r="B259" s="285" t="s">
        <v>1867</v>
      </c>
      <c r="C259" s="285">
        <v>3870</v>
      </c>
      <c r="D259" s="285">
        <v>3840</v>
      </c>
      <c r="E259" s="285">
        <v>3970</v>
      </c>
      <c r="F259" s="293">
        <v>830</v>
      </c>
      <c r="H259" s="300"/>
    </row>
    <row r="260" spans="1:8" s="271" customFormat="1" ht="14.25" customHeight="1">
      <c r="A260" s="280" t="s">
        <v>1852</v>
      </c>
      <c r="B260" s="285" t="s">
        <v>1868</v>
      </c>
      <c r="C260" s="285">
        <v>3700</v>
      </c>
      <c r="D260" s="285">
        <v>3660</v>
      </c>
      <c r="E260" s="285">
        <v>3810</v>
      </c>
      <c r="F260" s="293">
        <v>790</v>
      </c>
      <c r="H260" s="300"/>
    </row>
    <row r="261" spans="1:8" s="271" customFormat="1" ht="14.25" customHeight="1">
      <c r="A261" s="280" t="s">
        <v>1852</v>
      </c>
      <c r="B261" s="285" t="s">
        <v>1869</v>
      </c>
      <c r="C261" s="285">
        <v>3470</v>
      </c>
      <c r="D261" s="285">
        <v>3430</v>
      </c>
      <c r="E261" s="285">
        <v>3640</v>
      </c>
      <c r="F261" s="293">
        <v>760</v>
      </c>
      <c r="H261" s="300"/>
    </row>
    <row r="262" spans="1:8" s="271" customFormat="1" ht="14.25" customHeight="1">
      <c r="A262" s="280" t="s">
        <v>1852</v>
      </c>
      <c r="B262" s="285" t="s">
        <v>1870</v>
      </c>
      <c r="C262" s="285">
        <v>3510</v>
      </c>
      <c r="D262" s="285">
        <v>3470</v>
      </c>
      <c r="E262" s="285">
        <v>3680</v>
      </c>
      <c r="F262" s="302"/>
      <c r="H262" s="300"/>
    </row>
    <row r="263" spans="1:8" s="271" customFormat="1" ht="14.25" customHeight="1">
      <c r="A263" s="280" t="s">
        <v>1852</v>
      </c>
      <c r="B263" s="285" t="s">
        <v>1871</v>
      </c>
      <c r="C263" s="285">
        <v>3960</v>
      </c>
      <c r="D263" s="285">
        <v>3930</v>
      </c>
      <c r="E263" s="285">
        <v>4070</v>
      </c>
      <c r="F263" s="293">
        <v>830</v>
      </c>
      <c r="H263" s="300"/>
    </row>
    <row r="264" spans="1:8" s="271" customFormat="1" ht="14.25" customHeight="1">
      <c r="A264" s="280" t="s">
        <v>1852</v>
      </c>
      <c r="B264" s="285" t="s">
        <v>1872</v>
      </c>
      <c r="C264" s="285">
        <v>4010</v>
      </c>
      <c r="D264" s="285">
        <v>3980</v>
      </c>
      <c r="E264" s="285">
        <v>4150</v>
      </c>
      <c r="F264" s="293">
        <v>760</v>
      </c>
      <c r="H264" s="300"/>
    </row>
    <row r="265" spans="1:8" s="271" customFormat="1" ht="14.25" customHeight="1">
      <c r="A265" s="280" t="s">
        <v>1852</v>
      </c>
      <c r="B265" s="285" t="s">
        <v>1873</v>
      </c>
      <c r="C265" s="285">
        <v>3910</v>
      </c>
      <c r="D265" s="285">
        <v>3890</v>
      </c>
      <c r="E265" s="285">
        <v>4040</v>
      </c>
      <c r="F265" s="293">
        <v>780</v>
      </c>
      <c r="H265" s="300"/>
    </row>
    <row r="266" spans="1:8" s="271" customFormat="1" ht="14.25" customHeight="1">
      <c r="A266" s="280" t="s">
        <v>1852</v>
      </c>
      <c r="B266" s="285" t="s">
        <v>1874</v>
      </c>
      <c r="C266" s="285">
        <v>3930</v>
      </c>
      <c r="D266" s="285">
        <v>3900</v>
      </c>
      <c r="E266" s="285">
        <v>4080</v>
      </c>
      <c r="F266" s="293">
        <v>770</v>
      </c>
      <c r="H266" s="300"/>
    </row>
    <row r="267" spans="1:8" s="271" customFormat="1" ht="14.25" customHeight="1">
      <c r="A267" s="280" t="s">
        <v>1852</v>
      </c>
      <c r="B267" s="285" t="s">
        <v>1875</v>
      </c>
      <c r="C267" s="285">
        <v>3800</v>
      </c>
      <c r="D267" s="285">
        <v>3780</v>
      </c>
      <c r="E267" s="285">
        <v>3930</v>
      </c>
      <c r="F267" s="302"/>
      <c r="H267" s="300"/>
    </row>
    <row r="268" spans="1:8" s="271" customFormat="1" ht="14.25" customHeight="1">
      <c r="A268" s="280" t="s">
        <v>1852</v>
      </c>
      <c r="B268" s="285" t="s">
        <v>1876</v>
      </c>
      <c r="C268" s="285">
        <v>3460</v>
      </c>
      <c r="D268" s="285">
        <v>3430</v>
      </c>
      <c r="E268" s="285">
        <v>3560</v>
      </c>
      <c r="F268" s="293">
        <v>840</v>
      </c>
      <c r="H268" s="300"/>
    </row>
    <row r="269" spans="1:8" s="271" customFormat="1" ht="14.25" customHeight="1">
      <c r="A269" s="280" t="s">
        <v>1852</v>
      </c>
      <c r="B269" s="285" t="s">
        <v>1877</v>
      </c>
      <c r="C269" s="285">
        <v>3210</v>
      </c>
      <c r="D269" s="285">
        <v>3190</v>
      </c>
      <c r="E269" s="285">
        <v>3310</v>
      </c>
      <c r="F269" s="293">
        <v>730</v>
      </c>
      <c r="H269" s="300"/>
    </row>
    <row r="270" spans="1:8" s="271" customFormat="1" ht="14.25" customHeight="1">
      <c r="A270" s="280" t="s">
        <v>1852</v>
      </c>
      <c r="B270" s="285" t="s">
        <v>1878</v>
      </c>
      <c r="C270" s="285">
        <v>3240</v>
      </c>
      <c r="D270" s="285">
        <v>3210</v>
      </c>
      <c r="E270" s="285">
        <v>3390</v>
      </c>
      <c r="F270" s="293">
        <v>820</v>
      </c>
      <c r="H270" s="300"/>
    </row>
    <row r="271" spans="1:8" s="271" customFormat="1" ht="14.25" customHeight="1">
      <c r="A271" s="280" t="s">
        <v>1852</v>
      </c>
      <c r="B271" s="285" t="s">
        <v>1879</v>
      </c>
      <c r="C271" s="285">
        <v>3300</v>
      </c>
      <c r="D271" s="285">
        <v>3270</v>
      </c>
      <c r="E271" s="285">
        <v>3380</v>
      </c>
      <c r="F271" s="293">
        <v>750</v>
      </c>
      <c r="H271" s="300"/>
    </row>
    <row r="272" spans="1:8" s="271" customFormat="1" ht="14.25" customHeight="1">
      <c r="A272" s="280" t="s">
        <v>1852</v>
      </c>
      <c r="B272" s="285" t="s">
        <v>1880</v>
      </c>
      <c r="C272" s="305"/>
      <c r="D272" s="305"/>
      <c r="E272" s="305"/>
      <c r="F272" s="293">
        <v>740</v>
      </c>
      <c r="H272" s="300"/>
    </row>
    <row r="273" spans="1:8" s="271" customFormat="1" ht="14.25" customHeight="1">
      <c r="A273" s="280" t="s">
        <v>1852</v>
      </c>
      <c r="B273" s="285" t="s">
        <v>1881</v>
      </c>
      <c r="C273" s="285">
        <v>3130</v>
      </c>
      <c r="D273" s="285">
        <v>3100</v>
      </c>
      <c r="E273" s="285">
        <v>3230</v>
      </c>
      <c r="F273" s="293">
        <v>700</v>
      </c>
      <c r="H273" s="300"/>
    </row>
    <row r="274" spans="1:8" s="271" customFormat="1" ht="14.25" customHeight="1">
      <c r="A274" s="280" t="s">
        <v>1852</v>
      </c>
      <c r="B274" s="285" t="s">
        <v>1882</v>
      </c>
      <c r="C274" s="285">
        <v>3460</v>
      </c>
      <c r="D274" s="285">
        <v>3430</v>
      </c>
      <c r="E274" s="285">
        <v>3560</v>
      </c>
      <c r="F274" s="293">
        <v>690</v>
      </c>
      <c r="H274" s="300"/>
    </row>
    <row r="275" spans="1:8" s="271" customFormat="1" ht="14.25" customHeight="1">
      <c r="A275" s="280" t="s">
        <v>1852</v>
      </c>
      <c r="B275" s="285" t="s">
        <v>1883</v>
      </c>
      <c r="C275" s="285">
        <v>4040</v>
      </c>
      <c r="D275" s="285">
        <v>4020</v>
      </c>
      <c r="E275" s="285">
        <v>4160</v>
      </c>
      <c r="F275" s="293">
        <v>820</v>
      </c>
      <c r="H275" s="300"/>
    </row>
    <row r="276" spans="1:8" s="271" customFormat="1" ht="14.25" customHeight="1">
      <c r="A276" s="280" t="s">
        <v>1852</v>
      </c>
      <c r="B276" s="285" t="s">
        <v>1884</v>
      </c>
      <c r="C276" s="285">
        <v>3270</v>
      </c>
      <c r="D276" s="285">
        <v>3240</v>
      </c>
      <c r="E276" s="285">
        <v>3350</v>
      </c>
      <c r="F276" s="293">
        <v>680</v>
      </c>
      <c r="H276" s="300"/>
    </row>
    <row r="277" spans="1:8" s="271" customFormat="1" ht="14.25" customHeight="1">
      <c r="A277" s="280" t="s">
        <v>1852</v>
      </c>
      <c r="B277" s="285" t="s">
        <v>1885</v>
      </c>
      <c r="C277" s="285">
        <v>2930</v>
      </c>
      <c r="D277" s="285">
        <v>2900</v>
      </c>
      <c r="E277" s="285">
        <v>3000</v>
      </c>
      <c r="F277" s="293">
        <v>640</v>
      </c>
      <c r="H277" s="300"/>
    </row>
    <row r="278" spans="1:8" s="271" customFormat="1" ht="14.25" customHeight="1">
      <c r="A278" s="280" t="s">
        <v>1852</v>
      </c>
      <c r="B278" s="285" t="s">
        <v>1886</v>
      </c>
      <c r="C278" s="285">
        <v>4080</v>
      </c>
      <c r="D278" s="285">
        <v>4030</v>
      </c>
      <c r="E278" s="285">
        <v>4140</v>
      </c>
      <c r="F278" s="293">
        <v>850</v>
      </c>
      <c r="H278" s="300"/>
    </row>
    <row r="279" spans="1:8" s="271" customFormat="1" ht="14.25" customHeight="1">
      <c r="A279" s="280" t="s">
        <v>1852</v>
      </c>
      <c r="B279" s="285" t="s">
        <v>1887</v>
      </c>
      <c r="C279" s="285"/>
      <c r="D279" s="285"/>
      <c r="E279" s="285"/>
      <c r="F279" s="293">
        <v>760</v>
      </c>
      <c r="H279" s="300"/>
    </row>
    <row r="280" spans="1:8" s="271" customFormat="1" ht="14.25" customHeight="1">
      <c r="A280" s="280" t="s">
        <v>1852</v>
      </c>
      <c r="B280" s="285" t="s">
        <v>1888</v>
      </c>
      <c r="C280" s="285"/>
      <c r="D280" s="285"/>
      <c r="E280" s="285"/>
      <c r="F280" s="293">
        <v>760</v>
      </c>
      <c r="H280" s="300"/>
    </row>
    <row r="281" spans="1:8" s="271" customFormat="1" ht="14.25" customHeight="1">
      <c r="A281" s="280" t="s">
        <v>1852</v>
      </c>
      <c r="B281" s="285" t="s">
        <v>1889</v>
      </c>
      <c r="C281" s="285"/>
      <c r="D281" s="285"/>
      <c r="E281" s="285"/>
      <c r="F281" s="293">
        <v>780</v>
      </c>
      <c r="H281" s="300"/>
    </row>
    <row r="282" spans="1:8" s="271" customFormat="1" ht="14.25" customHeight="1">
      <c r="A282" s="280" t="s">
        <v>1852</v>
      </c>
      <c r="B282" s="285" t="s">
        <v>1890</v>
      </c>
      <c r="C282" s="285"/>
      <c r="D282" s="285"/>
      <c r="E282" s="285"/>
      <c r="F282" s="293">
        <v>730</v>
      </c>
      <c r="H282" s="300"/>
    </row>
    <row r="283" spans="1:8" s="271" customFormat="1" ht="14.25" customHeight="1">
      <c r="A283" s="280" t="s">
        <v>1852</v>
      </c>
      <c r="B283" s="285" t="s">
        <v>1891</v>
      </c>
      <c r="C283" s="285"/>
      <c r="D283" s="285"/>
      <c r="E283" s="285"/>
      <c r="F283" s="293">
        <v>770</v>
      </c>
      <c r="H283" s="300"/>
    </row>
    <row r="284" spans="1:8" s="271" customFormat="1" ht="14.25" customHeight="1">
      <c r="A284" s="280" t="s">
        <v>1852</v>
      </c>
      <c r="B284" s="285" t="s">
        <v>1892</v>
      </c>
      <c r="C284" s="285"/>
      <c r="D284" s="285"/>
      <c r="E284" s="285"/>
      <c r="F284" s="293">
        <v>640</v>
      </c>
      <c r="H284" s="300"/>
    </row>
    <row r="285" spans="1:8" s="271" customFormat="1" ht="14.25" customHeight="1">
      <c r="A285" s="280" t="s">
        <v>1852</v>
      </c>
      <c r="B285" s="285" t="s">
        <v>1893</v>
      </c>
      <c r="C285" s="285"/>
      <c r="D285" s="285"/>
      <c r="E285" s="285"/>
      <c r="F285" s="293">
        <v>640</v>
      </c>
      <c r="H285" s="300"/>
    </row>
    <row r="286" spans="1:8" s="271" customFormat="1" ht="14.25" customHeight="1">
      <c r="A286" s="280" t="s">
        <v>1852</v>
      </c>
      <c r="B286" s="285" t="s">
        <v>1894</v>
      </c>
      <c r="C286" s="285"/>
      <c r="D286" s="285"/>
      <c r="E286" s="285"/>
      <c r="F286" s="293">
        <v>850</v>
      </c>
      <c r="H286" s="300"/>
    </row>
    <row r="287" spans="1:8" s="271" customFormat="1" ht="14.25" customHeight="1">
      <c r="A287" s="280" t="s">
        <v>1852</v>
      </c>
      <c r="B287" s="285" t="s">
        <v>1895</v>
      </c>
      <c r="C287" s="285"/>
      <c r="D287" s="285"/>
      <c r="E287" s="285"/>
      <c r="F287" s="293">
        <v>760</v>
      </c>
      <c r="H287" s="300"/>
    </row>
    <row r="288" spans="1:8" s="271" customFormat="1" ht="14.25" customHeight="1">
      <c r="A288" s="280" t="s">
        <v>1852</v>
      </c>
      <c r="B288" s="285" t="s">
        <v>1896</v>
      </c>
      <c r="C288" s="285"/>
      <c r="D288" s="285"/>
      <c r="E288" s="285"/>
      <c r="F288" s="293">
        <v>830</v>
      </c>
      <c r="H288" s="300"/>
    </row>
    <row r="289" spans="1:8" s="271" customFormat="1" ht="14.25" customHeight="1">
      <c r="A289" s="280" t="s">
        <v>1852</v>
      </c>
      <c r="B289" s="291" t="s">
        <v>1897</v>
      </c>
      <c r="C289" s="291"/>
      <c r="D289" s="291"/>
      <c r="E289" s="291"/>
      <c r="F289" s="301">
        <v>680</v>
      </c>
      <c r="H289" s="300"/>
    </row>
    <row r="290" spans="1:8" s="271" customFormat="1" ht="14.25" customHeight="1">
      <c r="A290" s="280" t="s">
        <v>1898</v>
      </c>
      <c r="B290" s="281" t="s">
        <v>1899</v>
      </c>
      <c r="C290" s="281">
        <v>2770</v>
      </c>
      <c r="D290" s="281">
        <v>2740</v>
      </c>
      <c r="E290" s="281">
        <v>2720</v>
      </c>
      <c r="F290" s="306"/>
      <c r="H290" s="300"/>
    </row>
    <row r="291" spans="1:8" s="271" customFormat="1" ht="14.25" customHeight="1">
      <c r="A291" s="280" t="s">
        <v>1898</v>
      </c>
      <c r="B291" s="285" t="s">
        <v>1900</v>
      </c>
      <c r="C291" s="285">
        <v>2670</v>
      </c>
      <c r="D291" s="285">
        <v>2640</v>
      </c>
      <c r="E291" s="285">
        <v>2620</v>
      </c>
      <c r="F291" s="302"/>
      <c r="H291" s="300"/>
    </row>
    <row r="292" spans="1:8" s="271" customFormat="1" ht="14.25" customHeight="1">
      <c r="A292" s="280" t="s">
        <v>1898</v>
      </c>
      <c r="B292" s="285" t="s">
        <v>1901</v>
      </c>
      <c r="C292" s="285">
        <v>2180</v>
      </c>
      <c r="D292" s="285">
        <v>2140</v>
      </c>
      <c r="E292" s="285">
        <v>2120</v>
      </c>
      <c r="F292" s="293">
        <v>490</v>
      </c>
      <c r="H292" s="300"/>
    </row>
    <row r="293" spans="1:8" s="271" customFormat="1" ht="14.25" customHeight="1">
      <c r="A293" s="280" t="s">
        <v>1898</v>
      </c>
      <c r="B293" s="285" t="s">
        <v>1902</v>
      </c>
      <c r="C293" s="285"/>
      <c r="D293" s="285"/>
      <c r="E293" s="285"/>
      <c r="F293" s="293">
        <v>470</v>
      </c>
      <c r="H293" s="300"/>
    </row>
    <row r="294" spans="1:8" s="271" customFormat="1" ht="14.25" customHeight="1">
      <c r="A294" s="280" t="s">
        <v>1898</v>
      </c>
      <c r="B294" s="285" t="s">
        <v>1903</v>
      </c>
      <c r="C294" s="285">
        <v>2730</v>
      </c>
      <c r="D294" s="285">
        <v>2700</v>
      </c>
      <c r="E294" s="285">
        <v>2680</v>
      </c>
      <c r="F294" s="293">
        <v>490</v>
      </c>
      <c r="H294" s="300"/>
    </row>
    <row r="295" spans="1:8" s="271" customFormat="1" ht="14.25" customHeight="1">
      <c r="A295" s="280" t="s">
        <v>1898</v>
      </c>
      <c r="B295" s="285" t="s">
        <v>1904</v>
      </c>
      <c r="C295" s="285">
        <v>2380</v>
      </c>
      <c r="D295" s="285">
        <v>2350</v>
      </c>
      <c r="E295" s="285">
        <v>2330</v>
      </c>
      <c r="F295" s="293">
        <v>530</v>
      </c>
      <c r="H295" s="300"/>
    </row>
    <row r="296" spans="1:8" s="271" customFormat="1" ht="14.25" customHeight="1">
      <c r="A296" s="280" t="s">
        <v>1898</v>
      </c>
      <c r="B296" s="285" t="s">
        <v>1905</v>
      </c>
      <c r="C296" s="285">
        <v>2650</v>
      </c>
      <c r="D296" s="285">
        <v>2620</v>
      </c>
      <c r="E296" s="285">
        <v>2590</v>
      </c>
      <c r="F296" s="293">
        <v>590</v>
      </c>
      <c r="H296" s="300"/>
    </row>
    <row r="297" spans="1:8" s="271" customFormat="1" ht="14.25" customHeight="1">
      <c r="A297" s="280" t="s">
        <v>1898</v>
      </c>
      <c r="B297" s="285" t="s">
        <v>1906</v>
      </c>
      <c r="C297" s="285">
        <v>2700</v>
      </c>
      <c r="D297" s="285">
        <v>2670</v>
      </c>
      <c r="E297" s="285">
        <v>2650</v>
      </c>
      <c r="F297" s="293">
        <v>630</v>
      </c>
      <c r="H297" s="300"/>
    </row>
    <row r="298" spans="1:8" s="271" customFormat="1" ht="14.25" customHeight="1">
      <c r="A298" s="280" t="s">
        <v>1898</v>
      </c>
      <c r="B298" s="285" t="s">
        <v>1907</v>
      </c>
      <c r="C298" s="285">
        <v>2650</v>
      </c>
      <c r="D298" s="285">
        <v>2620</v>
      </c>
      <c r="E298" s="285">
        <v>2590</v>
      </c>
      <c r="F298" s="293">
        <v>640</v>
      </c>
      <c r="H298" s="300"/>
    </row>
    <row r="299" spans="1:8" s="271" customFormat="1" ht="14.25" customHeight="1">
      <c r="A299" s="280" t="s">
        <v>1898</v>
      </c>
      <c r="B299" s="285" t="s">
        <v>1908</v>
      </c>
      <c r="C299" s="285">
        <v>2500</v>
      </c>
      <c r="D299" s="285">
        <v>2480</v>
      </c>
      <c r="E299" s="285">
        <v>2460</v>
      </c>
      <c r="F299" s="302"/>
      <c r="H299" s="300"/>
    </row>
    <row r="300" spans="1:8" s="271" customFormat="1" ht="14.25" customHeight="1">
      <c r="A300" s="280" t="s">
        <v>1898</v>
      </c>
      <c r="B300" s="285" t="s">
        <v>1909</v>
      </c>
      <c r="C300" s="285">
        <v>2760</v>
      </c>
      <c r="D300" s="285">
        <v>2730</v>
      </c>
      <c r="E300" s="285">
        <v>2700</v>
      </c>
      <c r="F300" s="293">
        <v>630</v>
      </c>
      <c r="H300" s="300"/>
    </row>
    <row r="301" spans="1:8" s="271" customFormat="1" ht="14.25" customHeight="1">
      <c r="A301" s="280" t="s">
        <v>1898</v>
      </c>
      <c r="B301" s="285" t="s">
        <v>1910</v>
      </c>
      <c r="C301" s="285">
        <v>2510</v>
      </c>
      <c r="D301" s="285">
        <v>2480</v>
      </c>
      <c r="E301" s="285">
        <v>2460</v>
      </c>
      <c r="F301" s="302"/>
      <c r="H301" s="300"/>
    </row>
    <row r="302" spans="1:8" s="271" customFormat="1" ht="14.25" customHeight="1">
      <c r="A302" s="280" t="s">
        <v>1898</v>
      </c>
      <c r="B302" s="285" t="s">
        <v>1911</v>
      </c>
      <c r="C302" s="285">
        <v>2480</v>
      </c>
      <c r="D302" s="285">
        <v>2450</v>
      </c>
      <c r="E302" s="285">
        <v>2420</v>
      </c>
      <c r="F302" s="293">
        <v>600</v>
      </c>
      <c r="H302" s="300"/>
    </row>
    <row r="303" spans="1:8" s="271" customFormat="1" ht="14.25" customHeight="1">
      <c r="A303" s="280" t="s">
        <v>1898</v>
      </c>
      <c r="B303" s="285" t="s">
        <v>1912</v>
      </c>
      <c r="C303" s="285">
        <v>2270</v>
      </c>
      <c r="D303" s="285">
        <v>2240</v>
      </c>
      <c r="E303" s="285">
        <v>2210</v>
      </c>
      <c r="F303" s="293">
        <v>540</v>
      </c>
      <c r="H303" s="300"/>
    </row>
    <row r="304" spans="1:8" s="271" customFormat="1" ht="14.25" customHeight="1">
      <c r="A304" s="280" t="s">
        <v>1898</v>
      </c>
      <c r="B304" s="285" t="s">
        <v>1913</v>
      </c>
      <c r="C304" s="285">
        <v>2310</v>
      </c>
      <c r="D304" s="285">
        <v>2290</v>
      </c>
      <c r="E304" s="285">
        <v>2270</v>
      </c>
      <c r="F304" s="302"/>
      <c r="H304" s="300"/>
    </row>
    <row r="305" spans="1:8" s="271" customFormat="1" ht="14.25" customHeight="1">
      <c r="A305" s="280" t="s">
        <v>1898</v>
      </c>
      <c r="B305" s="285" t="s">
        <v>1914</v>
      </c>
      <c r="C305" s="285">
        <v>2490</v>
      </c>
      <c r="D305" s="285">
        <v>2470</v>
      </c>
      <c r="E305" s="285">
        <v>2440</v>
      </c>
      <c r="F305" s="293">
        <v>560</v>
      </c>
      <c r="H305" s="300"/>
    </row>
    <row r="306" spans="1:8" s="271" customFormat="1" ht="14.25" customHeight="1">
      <c r="A306" s="280" t="s">
        <v>1898</v>
      </c>
      <c r="B306" s="285" t="s">
        <v>1915</v>
      </c>
      <c r="C306" s="285">
        <v>2420</v>
      </c>
      <c r="D306" s="285">
        <v>2400</v>
      </c>
      <c r="E306" s="285">
        <v>2380</v>
      </c>
      <c r="F306" s="302"/>
      <c r="H306" s="300"/>
    </row>
    <row r="307" spans="1:8" s="271" customFormat="1" ht="14.25" customHeight="1">
      <c r="A307" s="280" t="s">
        <v>1898</v>
      </c>
      <c r="B307" s="285" t="s">
        <v>1916</v>
      </c>
      <c r="C307" s="285">
        <v>2770</v>
      </c>
      <c r="D307" s="285">
        <v>2740</v>
      </c>
      <c r="E307" s="285">
        <v>2710</v>
      </c>
      <c r="F307" s="293">
        <v>650</v>
      </c>
      <c r="H307" s="300"/>
    </row>
    <row r="308" spans="1:8" s="271" customFormat="1" ht="14.25" customHeight="1">
      <c r="A308" s="280" t="s">
        <v>1898</v>
      </c>
      <c r="B308" s="285" t="s">
        <v>1917</v>
      </c>
      <c r="C308" s="285">
        <v>2610</v>
      </c>
      <c r="D308" s="285">
        <v>2580</v>
      </c>
      <c r="E308" s="285">
        <v>2550</v>
      </c>
      <c r="F308" s="293">
        <v>580</v>
      </c>
      <c r="H308" s="300"/>
    </row>
    <row r="309" spans="1:8" s="271" customFormat="1" ht="14.25" customHeight="1">
      <c r="A309" s="280" t="s">
        <v>1898</v>
      </c>
      <c r="B309" s="285" t="s">
        <v>1918</v>
      </c>
      <c r="C309" s="285">
        <v>2690</v>
      </c>
      <c r="D309" s="285">
        <v>2670</v>
      </c>
      <c r="E309" s="285">
        <v>2650</v>
      </c>
      <c r="F309" s="302"/>
      <c r="H309" s="300"/>
    </row>
    <row r="310" spans="1:8" s="271" customFormat="1" ht="14.25" customHeight="1">
      <c r="A310" s="280" t="s">
        <v>1898</v>
      </c>
      <c r="B310" s="285" t="s">
        <v>1919</v>
      </c>
      <c r="C310" s="285">
        <v>2360</v>
      </c>
      <c r="D310" s="285">
        <v>2330</v>
      </c>
      <c r="E310" s="285">
        <v>2310</v>
      </c>
      <c r="F310" s="293">
        <v>560</v>
      </c>
      <c r="H310" s="300"/>
    </row>
    <row r="311" spans="1:8" s="271" customFormat="1" ht="14.25" customHeight="1">
      <c r="A311" s="280" t="s">
        <v>1898</v>
      </c>
      <c r="B311" s="285" t="s">
        <v>1920</v>
      </c>
      <c r="C311" s="285">
        <v>1970</v>
      </c>
      <c r="D311" s="285">
        <v>1950</v>
      </c>
      <c r="E311" s="285">
        <v>1920</v>
      </c>
      <c r="F311" s="293">
        <v>470</v>
      </c>
      <c r="H311" s="300"/>
    </row>
    <row r="312" spans="1:8" s="271" customFormat="1" ht="14.25" customHeight="1">
      <c r="A312" s="280" t="s">
        <v>1898</v>
      </c>
      <c r="B312" s="285" t="s">
        <v>1921</v>
      </c>
      <c r="C312" s="285">
        <v>2230</v>
      </c>
      <c r="D312" s="285">
        <v>2200</v>
      </c>
      <c r="E312" s="285">
        <v>2170</v>
      </c>
      <c r="F312" s="293">
        <v>460</v>
      </c>
      <c r="H312" s="300"/>
    </row>
    <row r="313" spans="1:8" s="271" customFormat="1" ht="14.25" customHeight="1">
      <c r="A313" s="280" t="s">
        <v>1898</v>
      </c>
      <c r="B313" s="285" t="s">
        <v>1922</v>
      </c>
      <c r="C313" s="285">
        <v>2770</v>
      </c>
      <c r="D313" s="285">
        <v>2740</v>
      </c>
      <c r="E313" s="285">
        <v>2710</v>
      </c>
      <c r="F313" s="293">
        <v>610</v>
      </c>
      <c r="H313" s="300"/>
    </row>
    <row r="314" spans="1:8" s="271" customFormat="1" ht="14.25" customHeight="1">
      <c r="A314" s="280" t="s">
        <v>1898</v>
      </c>
      <c r="B314" s="285" t="s">
        <v>1923</v>
      </c>
      <c r="C314" s="285"/>
      <c r="D314" s="285"/>
      <c r="E314" s="285"/>
      <c r="F314" s="293">
        <v>490</v>
      </c>
      <c r="H314" s="300"/>
    </row>
    <row r="315" spans="1:8" s="271" customFormat="1" ht="14.25" customHeight="1">
      <c r="A315" s="280" t="s">
        <v>1898</v>
      </c>
      <c r="B315" s="285" t="s">
        <v>1924</v>
      </c>
      <c r="C315" s="285"/>
      <c r="D315" s="285"/>
      <c r="E315" s="285"/>
      <c r="F315" s="293">
        <v>520</v>
      </c>
      <c r="H315" s="300"/>
    </row>
    <row r="316" spans="1:8" s="271" customFormat="1" ht="14.25" customHeight="1">
      <c r="A316" s="280" t="s">
        <v>1898</v>
      </c>
      <c r="B316" s="291" t="s">
        <v>1925</v>
      </c>
      <c r="C316" s="291"/>
      <c r="D316" s="291"/>
      <c r="E316" s="291"/>
      <c r="F316" s="301">
        <v>460</v>
      </c>
      <c r="H316" s="300"/>
    </row>
    <row r="317" spans="1:8" s="271" customFormat="1" ht="14.25" customHeight="1">
      <c r="A317" s="280" t="s">
        <v>1926</v>
      </c>
      <c r="B317" s="281" t="s">
        <v>1927</v>
      </c>
      <c r="C317" s="281">
        <v>1200</v>
      </c>
      <c r="D317" s="281">
        <v>1180</v>
      </c>
      <c r="E317" s="281">
        <v>1160</v>
      </c>
      <c r="F317" s="282">
        <v>370</v>
      </c>
      <c r="H317" s="273"/>
    </row>
    <row r="318" spans="1:8" s="271" customFormat="1" ht="14.25" customHeight="1">
      <c r="A318" s="280" t="s">
        <v>1926</v>
      </c>
      <c r="B318" s="285" t="s">
        <v>1928</v>
      </c>
      <c r="C318" s="285">
        <v>1090</v>
      </c>
      <c r="D318" s="285">
        <v>1060</v>
      </c>
      <c r="E318" s="285">
        <v>1040</v>
      </c>
      <c r="F318" s="302"/>
      <c r="H318" s="273"/>
    </row>
    <row r="319" spans="1:8" s="271" customFormat="1" ht="14.25" customHeight="1">
      <c r="A319" s="280" t="s">
        <v>1926</v>
      </c>
      <c r="B319" s="285" t="s">
        <v>1929</v>
      </c>
      <c r="C319" s="285">
        <v>1520</v>
      </c>
      <c r="D319" s="285">
        <v>1470</v>
      </c>
      <c r="E319" s="285">
        <v>1440</v>
      </c>
      <c r="F319" s="293">
        <v>370</v>
      </c>
      <c r="H319" s="273"/>
    </row>
    <row r="320" spans="1:8" s="271" customFormat="1" ht="14.25" customHeight="1">
      <c r="A320" s="280" t="s">
        <v>1926</v>
      </c>
      <c r="B320" s="285" t="s">
        <v>1930</v>
      </c>
      <c r="C320" s="285">
        <v>1360</v>
      </c>
      <c r="D320" s="285">
        <v>1300</v>
      </c>
      <c r="E320" s="285">
        <v>1270</v>
      </c>
      <c r="F320" s="302"/>
      <c r="H320" s="273"/>
    </row>
    <row r="321" spans="1:8" s="271" customFormat="1" ht="14.25" customHeight="1">
      <c r="A321" s="280" t="s">
        <v>1926</v>
      </c>
      <c r="B321" s="285" t="s">
        <v>1931</v>
      </c>
      <c r="C321" s="285">
        <v>1750</v>
      </c>
      <c r="D321" s="285">
        <v>1690</v>
      </c>
      <c r="E321" s="285">
        <v>1660</v>
      </c>
      <c r="F321" s="302"/>
      <c r="H321" s="273"/>
    </row>
    <row r="322" spans="1:8" s="271" customFormat="1" ht="14.25" customHeight="1">
      <c r="A322" s="280" t="s">
        <v>1926</v>
      </c>
      <c r="B322" s="285" t="s">
        <v>1932</v>
      </c>
      <c r="C322" s="285">
        <v>1650</v>
      </c>
      <c r="D322" s="285">
        <v>1610</v>
      </c>
      <c r="E322" s="285">
        <v>1580</v>
      </c>
      <c r="F322" s="293">
        <v>500</v>
      </c>
      <c r="H322" s="273"/>
    </row>
    <row r="323" spans="1:8" s="271" customFormat="1" ht="14.25" customHeight="1">
      <c r="A323" s="280" t="s">
        <v>1926</v>
      </c>
      <c r="B323" s="285" t="s">
        <v>1933</v>
      </c>
      <c r="C323" s="285">
        <v>1780</v>
      </c>
      <c r="D323" s="285">
        <v>1740</v>
      </c>
      <c r="E323" s="285">
        <v>1720</v>
      </c>
      <c r="F323" s="302"/>
      <c r="H323" s="273"/>
    </row>
    <row r="324" spans="1:8" s="271" customFormat="1" ht="14.25" customHeight="1">
      <c r="A324" s="280" t="s">
        <v>1926</v>
      </c>
      <c r="B324" s="285" t="s">
        <v>1934</v>
      </c>
      <c r="C324" s="285">
        <v>1650</v>
      </c>
      <c r="D324" s="285">
        <v>1610</v>
      </c>
      <c r="E324" s="285">
        <v>1580</v>
      </c>
      <c r="F324" s="302"/>
      <c r="H324" s="273"/>
    </row>
    <row r="325" spans="1:8" s="271" customFormat="1" ht="14.25" customHeight="1">
      <c r="A325" s="280" t="s">
        <v>1926</v>
      </c>
      <c r="B325" s="285" t="s">
        <v>1935</v>
      </c>
      <c r="C325" s="285">
        <v>1330</v>
      </c>
      <c r="D325" s="285">
        <v>1270</v>
      </c>
      <c r="E325" s="285">
        <v>1240</v>
      </c>
      <c r="F325" s="293">
        <v>430</v>
      </c>
      <c r="H325" s="273"/>
    </row>
    <row r="326" spans="1:8" s="271" customFormat="1" ht="14.25" customHeight="1">
      <c r="A326" s="280" t="s">
        <v>1926</v>
      </c>
      <c r="B326" s="285" t="s">
        <v>1936</v>
      </c>
      <c r="C326" s="285">
        <v>1470</v>
      </c>
      <c r="D326" s="285">
        <v>1430</v>
      </c>
      <c r="E326" s="285">
        <v>1400</v>
      </c>
      <c r="F326" s="302"/>
      <c r="H326" s="273"/>
    </row>
    <row r="327" spans="1:8" s="271" customFormat="1" ht="14.25" customHeight="1">
      <c r="A327" s="280" t="s">
        <v>1926</v>
      </c>
      <c r="B327" s="285" t="s">
        <v>1937</v>
      </c>
      <c r="C327" s="285">
        <v>1420</v>
      </c>
      <c r="D327" s="285">
        <v>1380</v>
      </c>
      <c r="E327" s="285">
        <v>1360</v>
      </c>
      <c r="F327" s="293">
        <v>420</v>
      </c>
      <c r="H327" s="273"/>
    </row>
    <row r="328" spans="1:8" s="271" customFormat="1" ht="14.25" customHeight="1">
      <c r="A328" s="280" t="s">
        <v>1926</v>
      </c>
      <c r="B328" s="285" t="s">
        <v>1938</v>
      </c>
      <c r="C328" s="285">
        <v>1400</v>
      </c>
      <c r="D328" s="285">
        <v>1360</v>
      </c>
      <c r="E328" s="285">
        <v>1330</v>
      </c>
      <c r="F328" s="293">
        <v>460</v>
      </c>
      <c r="H328" s="273"/>
    </row>
    <row r="329" spans="1:8" s="271" customFormat="1" ht="14.25" customHeight="1">
      <c r="A329" s="280" t="s">
        <v>1926</v>
      </c>
      <c r="B329" s="285" t="s">
        <v>1939</v>
      </c>
      <c r="C329" s="285">
        <v>1640</v>
      </c>
      <c r="D329" s="285">
        <v>1610</v>
      </c>
      <c r="E329" s="285">
        <v>1580</v>
      </c>
      <c r="F329" s="293">
        <v>410</v>
      </c>
      <c r="H329" s="273"/>
    </row>
    <row r="330" spans="1:8" s="271" customFormat="1" ht="14.25" customHeight="1">
      <c r="A330" s="280" t="s">
        <v>1926</v>
      </c>
      <c r="B330" s="285" t="s">
        <v>1940</v>
      </c>
      <c r="C330" s="285">
        <v>1260</v>
      </c>
      <c r="D330" s="285">
        <v>1220</v>
      </c>
      <c r="E330" s="285">
        <v>1200</v>
      </c>
      <c r="F330" s="302"/>
      <c r="H330" s="273"/>
    </row>
    <row r="331" spans="1:8" s="271" customFormat="1" ht="14.25" customHeight="1">
      <c r="A331" s="280" t="s">
        <v>1926</v>
      </c>
      <c r="B331" s="285" t="s">
        <v>1941</v>
      </c>
      <c r="C331" s="285">
        <v>1620</v>
      </c>
      <c r="D331" s="285">
        <v>1560</v>
      </c>
      <c r="E331" s="285">
        <v>1530</v>
      </c>
      <c r="F331" s="293">
        <v>490</v>
      </c>
      <c r="H331" s="273"/>
    </row>
    <row r="332" spans="1:8" s="271" customFormat="1" ht="14.25" customHeight="1">
      <c r="A332" s="280" t="s">
        <v>1926</v>
      </c>
      <c r="B332" s="285" t="s">
        <v>1942</v>
      </c>
      <c r="C332" s="285">
        <v>1520</v>
      </c>
      <c r="D332" s="285">
        <v>1470</v>
      </c>
      <c r="E332" s="285">
        <v>1440</v>
      </c>
      <c r="F332" s="293">
        <v>440</v>
      </c>
      <c r="H332" s="273"/>
    </row>
    <row r="333" spans="1:8" s="271" customFormat="1" ht="14.25" customHeight="1">
      <c r="A333" s="280" t="s">
        <v>1926</v>
      </c>
      <c r="B333" s="285" t="s">
        <v>1943</v>
      </c>
      <c r="C333" s="285">
        <v>1370</v>
      </c>
      <c r="D333" s="285">
        <v>1320</v>
      </c>
      <c r="E333" s="285">
        <v>1300</v>
      </c>
      <c r="F333" s="293">
        <v>460</v>
      </c>
      <c r="H333" s="273"/>
    </row>
    <row r="334" spans="1:8" s="271" customFormat="1" ht="14.25" customHeight="1">
      <c r="A334" s="280" t="s">
        <v>1926</v>
      </c>
      <c r="B334" s="285" t="s">
        <v>1944</v>
      </c>
      <c r="C334" s="285">
        <v>1410</v>
      </c>
      <c r="D334" s="285">
        <v>1340</v>
      </c>
      <c r="E334" s="285">
        <v>1310</v>
      </c>
      <c r="F334" s="293">
        <v>410</v>
      </c>
      <c r="H334" s="273"/>
    </row>
    <row r="335" spans="1:8" s="271" customFormat="1" ht="14.25" customHeight="1">
      <c r="A335" s="280" t="s">
        <v>1926</v>
      </c>
      <c r="B335" s="285" t="s">
        <v>1945</v>
      </c>
      <c r="C335" s="285">
        <v>1260</v>
      </c>
      <c r="D335" s="285">
        <v>1220</v>
      </c>
      <c r="E335" s="285">
        <v>1200</v>
      </c>
      <c r="F335" s="302"/>
      <c r="H335" s="273"/>
    </row>
    <row r="336" spans="1:8" s="271" customFormat="1" ht="14.25" customHeight="1">
      <c r="A336" s="280" t="s">
        <v>1926</v>
      </c>
      <c r="B336" s="285" t="s">
        <v>1946</v>
      </c>
      <c r="C336" s="285">
        <v>1160</v>
      </c>
      <c r="D336" s="285">
        <v>1140</v>
      </c>
      <c r="E336" s="285">
        <v>1120</v>
      </c>
      <c r="F336" s="293">
        <v>430</v>
      </c>
      <c r="H336" s="273"/>
    </row>
    <row r="337" spans="1:8" s="271" customFormat="1" ht="14.25" customHeight="1">
      <c r="A337" s="280" t="s">
        <v>1926</v>
      </c>
      <c r="B337" s="291" t="s">
        <v>1947</v>
      </c>
      <c r="C337" s="291"/>
      <c r="D337" s="291"/>
      <c r="E337" s="291"/>
      <c r="F337" s="301">
        <v>380</v>
      </c>
      <c r="H337" s="273"/>
    </row>
    <row r="338" spans="1:8" s="271" customFormat="1" ht="14.25" customHeight="1">
      <c r="A338" s="280" t="s">
        <v>1948</v>
      </c>
      <c r="B338" s="281" t="s">
        <v>1949</v>
      </c>
      <c r="C338" s="281">
        <v>880</v>
      </c>
      <c r="D338" s="281">
        <v>850</v>
      </c>
      <c r="E338" s="281">
        <v>830</v>
      </c>
      <c r="F338" s="306"/>
      <c r="H338" s="273"/>
    </row>
    <row r="339" spans="1:8" s="271" customFormat="1" ht="14.25" customHeight="1">
      <c r="A339" s="280" t="s">
        <v>1948</v>
      </c>
      <c r="B339" s="285" t="s">
        <v>1950</v>
      </c>
      <c r="C339" s="285">
        <v>830</v>
      </c>
      <c r="D339" s="285">
        <v>800</v>
      </c>
      <c r="E339" s="285">
        <v>780</v>
      </c>
      <c r="F339" s="302"/>
      <c r="H339" s="273"/>
    </row>
    <row r="340" spans="1:8" s="271" customFormat="1" ht="14.25" customHeight="1">
      <c r="A340" s="280" t="s">
        <v>1948</v>
      </c>
      <c r="B340" s="285" t="s">
        <v>1951</v>
      </c>
      <c r="C340" s="285">
        <v>980</v>
      </c>
      <c r="D340" s="285">
        <v>950</v>
      </c>
      <c r="E340" s="285">
        <v>920</v>
      </c>
      <c r="F340" s="302"/>
      <c r="H340" s="273"/>
    </row>
    <row r="341" spans="1:8" s="271" customFormat="1" ht="14.25" customHeight="1">
      <c r="A341" s="280" t="s">
        <v>1948</v>
      </c>
      <c r="B341" s="285" t="s">
        <v>1952</v>
      </c>
      <c r="C341" s="285">
        <v>760</v>
      </c>
      <c r="D341" s="285">
        <v>720</v>
      </c>
      <c r="E341" s="285">
        <v>690</v>
      </c>
      <c r="F341" s="293">
        <v>350</v>
      </c>
      <c r="H341" s="273"/>
    </row>
    <row r="342" spans="1:8" s="271" customFormat="1" ht="14.25" customHeight="1">
      <c r="A342" s="280" t="s">
        <v>1948</v>
      </c>
      <c r="B342" s="285" t="s">
        <v>1953</v>
      </c>
      <c r="C342" s="285">
        <v>910</v>
      </c>
      <c r="D342" s="285">
        <v>870</v>
      </c>
      <c r="E342" s="285">
        <v>850</v>
      </c>
      <c r="F342" s="293">
        <v>370</v>
      </c>
      <c r="H342" s="273"/>
    </row>
    <row r="343" spans="1:8" s="271" customFormat="1" ht="14.25" customHeight="1">
      <c r="A343" s="280" t="s">
        <v>1948</v>
      </c>
      <c r="B343" s="285" t="s">
        <v>1954</v>
      </c>
      <c r="C343" s="285">
        <v>800</v>
      </c>
      <c r="D343" s="285">
        <v>760</v>
      </c>
      <c r="E343" s="285">
        <v>730</v>
      </c>
      <c r="F343" s="293">
        <v>340</v>
      </c>
      <c r="H343" s="273"/>
    </row>
    <row r="344" spans="1:8" s="271" customFormat="1" ht="14.25" customHeight="1">
      <c r="A344" s="280" t="s">
        <v>1948</v>
      </c>
      <c r="B344" s="291" t="s">
        <v>1955</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1996</v>
      </c>
      <c r="B1" s="228" t="s">
        <v>1604</v>
      </c>
      <c r="C1" s="228" t="s">
        <v>1610</v>
      </c>
      <c r="D1" s="228" t="s">
        <v>1630</v>
      </c>
      <c r="E1" s="228" t="s">
        <v>1651</v>
      </c>
      <c r="F1" s="228" t="s">
        <v>1679</v>
      </c>
      <c r="G1" s="228" t="s">
        <v>1714</v>
      </c>
      <c r="H1" s="228" t="s">
        <v>1763</v>
      </c>
      <c r="I1" s="228" t="s">
        <v>1812</v>
      </c>
      <c r="J1" s="228" t="s">
        <v>1852</v>
      </c>
      <c r="K1" s="228" t="s">
        <v>1898</v>
      </c>
      <c r="L1" s="228" t="s">
        <v>1926</v>
      </c>
      <c r="M1" s="263" t="s">
        <v>1948</v>
      </c>
    </row>
    <row r="2" spans="1:13" ht="19.5" customHeight="1">
      <c r="A2" s="229" t="s">
        <v>1600</v>
      </c>
      <c r="B2" s="230">
        <v>3.5</v>
      </c>
      <c r="C2" s="230">
        <v>3.5</v>
      </c>
      <c r="D2" s="231">
        <v>2.5</v>
      </c>
      <c r="E2" s="231">
        <v>2.5</v>
      </c>
      <c r="F2" s="231">
        <v>2.5</v>
      </c>
      <c r="G2" s="231">
        <v>2.5</v>
      </c>
      <c r="H2" s="231">
        <v>2.5</v>
      </c>
      <c r="I2" s="230">
        <v>2</v>
      </c>
      <c r="J2" s="230">
        <v>2</v>
      </c>
      <c r="K2" s="230">
        <v>2</v>
      </c>
      <c r="L2" s="230">
        <v>2</v>
      </c>
      <c r="M2" s="264">
        <v>2</v>
      </c>
    </row>
    <row r="3" spans="1:13" ht="19.5" customHeight="1">
      <c r="A3" s="232" t="s">
        <v>354</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1601</v>
      </c>
      <c r="B5" s="236">
        <v>1.5</v>
      </c>
      <c r="C5" s="236">
        <v>1.5</v>
      </c>
      <c r="D5" s="236">
        <v>1.5</v>
      </c>
      <c r="E5" s="236">
        <v>1.5</v>
      </c>
      <c r="F5" s="236">
        <v>1.5</v>
      </c>
      <c r="G5" s="237">
        <v>1.2</v>
      </c>
      <c r="H5" s="237">
        <v>1.2</v>
      </c>
      <c r="I5" s="237">
        <v>1</v>
      </c>
      <c r="J5" s="237">
        <v>1</v>
      </c>
      <c r="K5" s="237">
        <v>1</v>
      </c>
      <c r="L5" s="237">
        <v>1</v>
      </c>
      <c r="M5" s="266">
        <v>1</v>
      </c>
    </row>
    <row r="6" spans="1:13" ht="19.5" customHeight="1">
      <c r="A6" s="238" t="s">
        <v>1997</v>
      </c>
      <c r="B6" s="239">
        <v>80</v>
      </c>
      <c r="C6" s="239">
        <v>80</v>
      </c>
      <c r="D6" s="239">
        <v>65</v>
      </c>
      <c r="E6" s="239">
        <v>65</v>
      </c>
      <c r="F6" s="239">
        <v>65</v>
      </c>
      <c r="G6" s="239">
        <v>65</v>
      </c>
      <c r="H6" s="239">
        <v>65</v>
      </c>
      <c r="I6" s="239">
        <v>50</v>
      </c>
      <c r="J6" s="239">
        <v>50</v>
      </c>
      <c r="K6" s="239">
        <v>50</v>
      </c>
      <c r="L6" s="239">
        <v>50</v>
      </c>
      <c r="M6" s="267">
        <v>50</v>
      </c>
    </row>
    <row r="7" spans="1:13" ht="19.5" customHeight="1">
      <c r="A7" s="240" t="s">
        <v>1998</v>
      </c>
      <c r="B7" s="241">
        <v>70</v>
      </c>
      <c r="C7" s="241">
        <v>70</v>
      </c>
      <c r="D7" s="241">
        <v>55</v>
      </c>
      <c r="E7" s="241">
        <v>55</v>
      </c>
      <c r="F7" s="241">
        <v>55</v>
      </c>
      <c r="G7" s="241">
        <v>55</v>
      </c>
      <c r="H7" s="241">
        <v>55</v>
      </c>
      <c r="I7" s="241">
        <v>40</v>
      </c>
      <c r="J7" s="241">
        <v>40</v>
      </c>
      <c r="K7" s="241">
        <v>40</v>
      </c>
      <c r="L7" s="241">
        <v>40</v>
      </c>
      <c r="M7" s="268">
        <v>40</v>
      </c>
    </row>
    <row r="8" spans="1:13" ht="19.5" customHeight="1">
      <c r="A8" s="240" t="s">
        <v>1999</v>
      </c>
      <c r="B8" s="241">
        <v>20</v>
      </c>
      <c r="C8" s="241">
        <v>20</v>
      </c>
      <c r="D8" s="241">
        <v>15</v>
      </c>
      <c r="E8" s="241">
        <v>15</v>
      </c>
      <c r="F8" s="241">
        <v>15</v>
      </c>
      <c r="G8" s="241">
        <v>15</v>
      </c>
      <c r="H8" s="241">
        <v>15</v>
      </c>
      <c r="I8" s="241">
        <v>10</v>
      </c>
      <c r="J8" s="241">
        <v>10</v>
      </c>
      <c r="K8" s="241">
        <v>10</v>
      </c>
      <c r="L8" s="241">
        <v>10</v>
      </c>
      <c r="M8" s="268">
        <v>10</v>
      </c>
    </row>
    <row r="9" spans="1:13" ht="19.5" customHeight="1">
      <c r="A9" s="240" t="s">
        <v>2000</v>
      </c>
      <c r="B9" s="241">
        <v>30</v>
      </c>
      <c r="C9" s="241">
        <v>30</v>
      </c>
      <c r="D9" s="241">
        <v>25</v>
      </c>
      <c r="E9" s="241">
        <v>25</v>
      </c>
      <c r="F9" s="241">
        <v>25</v>
      </c>
      <c r="G9" s="241">
        <v>25</v>
      </c>
      <c r="H9" s="241">
        <v>25</v>
      </c>
      <c r="I9" s="241">
        <v>20</v>
      </c>
      <c r="J9" s="241">
        <v>20</v>
      </c>
      <c r="K9" s="241">
        <v>20</v>
      </c>
      <c r="L9" s="241">
        <v>20</v>
      </c>
      <c r="M9" s="268">
        <v>20</v>
      </c>
    </row>
    <row r="10" spans="1:13" ht="19.5" customHeight="1">
      <c r="A10" s="240" t="s">
        <v>2001</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2002</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2003</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2004</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2005</v>
      </c>
      <c r="B16" s="245"/>
      <c r="C16" s="246"/>
      <c r="D16" s="246"/>
      <c r="E16" s="245"/>
      <c r="F16" s="246"/>
      <c r="G16" s="246"/>
    </row>
    <row r="17" spans="1:9" ht="19.5" customHeight="1">
      <c r="A17" s="241" t="s">
        <v>2006</v>
      </c>
      <c r="B17" s="247" t="s">
        <v>2007</v>
      </c>
      <c r="C17" s="247" t="s">
        <v>2008</v>
      </c>
      <c r="D17" s="248"/>
      <c r="E17" s="241" t="s">
        <v>2009</v>
      </c>
      <c r="F17" s="249"/>
      <c r="G17" s="249"/>
    </row>
    <row r="18" spans="1:9" s="224" customFormat="1" ht="19.5" customHeight="1">
      <c r="A18" s="3098" t="s">
        <v>1600</v>
      </c>
      <c r="B18" s="250" t="s">
        <v>2010</v>
      </c>
      <c r="C18" s="251" t="s">
        <v>2011</v>
      </c>
      <c r="D18" s="252"/>
      <c r="E18" s="250">
        <v>1</v>
      </c>
      <c r="F18" s="253" t="s">
        <v>2012</v>
      </c>
      <c r="G18" s="254"/>
      <c r="H18" s="225"/>
      <c r="I18" s="225"/>
    </row>
    <row r="19" spans="1:9" s="224" customFormat="1" ht="19.5" customHeight="1">
      <c r="A19" s="3098"/>
      <c r="B19" s="3098" t="s">
        <v>2013</v>
      </c>
      <c r="C19" s="251" t="s">
        <v>2014</v>
      </c>
      <c r="D19" s="252"/>
      <c r="E19" s="250">
        <v>0.9</v>
      </c>
      <c r="F19" s="253" t="s">
        <v>2015</v>
      </c>
      <c r="G19" s="254"/>
      <c r="H19" s="225"/>
      <c r="I19" s="225"/>
    </row>
    <row r="20" spans="1:9" s="224" customFormat="1" ht="19.5" customHeight="1">
      <c r="A20" s="3098"/>
      <c r="B20" s="3098"/>
      <c r="C20" s="251" t="s">
        <v>2016</v>
      </c>
      <c r="D20" s="252"/>
      <c r="E20" s="250">
        <v>1.1000000000000001</v>
      </c>
      <c r="F20" s="253" t="s">
        <v>2017</v>
      </c>
      <c r="G20" s="254"/>
      <c r="H20" s="225"/>
      <c r="I20" s="225"/>
    </row>
    <row r="21" spans="1:9" s="224" customFormat="1" ht="19.5" customHeight="1">
      <c r="A21" s="3098"/>
      <c r="B21" s="3098"/>
      <c r="C21" s="251" t="s">
        <v>2018</v>
      </c>
      <c r="D21" s="252"/>
      <c r="E21" s="250">
        <v>0.8</v>
      </c>
      <c r="F21" s="253" t="s">
        <v>2019</v>
      </c>
      <c r="G21" s="254"/>
      <c r="H21" s="225"/>
      <c r="I21" s="225"/>
    </row>
    <row r="22" spans="1:9" s="224" customFormat="1" ht="19.5" customHeight="1">
      <c r="A22" s="3098"/>
      <c r="B22" s="3098"/>
      <c r="C22" s="251" t="s">
        <v>2020</v>
      </c>
      <c r="D22" s="252"/>
      <c r="E22" s="250">
        <v>0.5</v>
      </c>
      <c r="F22" s="253"/>
      <c r="G22" s="254"/>
      <c r="H22" s="225"/>
      <c r="I22" s="225"/>
    </row>
    <row r="23" spans="1:9" s="224" customFormat="1" ht="19.5" customHeight="1">
      <c r="A23" s="3098" t="s">
        <v>354</v>
      </c>
      <c r="B23" s="250" t="s">
        <v>2010</v>
      </c>
      <c r="C23" s="251" t="s">
        <v>2021</v>
      </c>
      <c r="D23" s="252"/>
      <c r="E23" s="250">
        <v>1</v>
      </c>
      <c r="F23" s="253" t="s">
        <v>2022</v>
      </c>
      <c r="G23" s="254"/>
      <c r="H23" s="225"/>
      <c r="I23" s="225"/>
    </row>
    <row r="24" spans="1:9" s="224" customFormat="1" ht="19.5" customHeight="1">
      <c r="A24" s="3098"/>
      <c r="B24" s="3098" t="s">
        <v>2013</v>
      </c>
      <c r="C24" s="251" t="s">
        <v>2023</v>
      </c>
      <c r="D24" s="252"/>
      <c r="E24" s="250">
        <v>0.5</v>
      </c>
      <c r="F24" s="253"/>
      <c r="G24" s="254"/>
      <c r="H24" s="225"/>
      <c r="I24" s="225"/>
    </row>
    <row r="25" spans="1:9" s="224" customFormat="1" ht="19.5" customHeight="1">
      <c r="A25" s="3098"/>
      <c r="B25" s="3098"/>
      <c r="C25" s="251" t="s">
        <v>2024</v>
      </c>
      <c r="D25" s="252"/>
      <c r="E25" s="250">
        <v>1.1000000000000001</v>
      </c>
      <c r="F25" s="253"/>
      <c r="G25" s="254"/>
      <c r="H25" s="225"/>
      <c r="I25" s="225"/>
    </row>
    <row r="26" spans="1:9" s="224" customFormat="1" ht="19.5" customHeight="1">
      <c r="A26" s="3098"/>
      <c r="B26" s="3098"/>
      <c r="C26" s="251" t="s">
        <v>2025</v>
      </c>
      <c r="D26" s="252"/>
      <c r="E26" s="250">
        <v>1.1000000000000001</v>
      </c>
      <c r="F26" s="253"/>
      <c r="G26" s="254"/>
      <c r="H26" s="225"/>
      <c r="I26" s="225"/>
    </row>
    <row r="27" spans="1:9" s="224" customFormat="1" ht="19.5" customHeight="1">
      <c r="A27" s="3098"/>
      <c r="B27" s="3098"/>
      <c r="C27" s="251" t="s">
        <v>2026</v>
      </c>
      <c r="D27" s="252"/>
      <c r="E27" s="250">
        <v>0.9</v>
      </c>
      <c r="F27" s="253" t="s">
        <v>2027</v>
      </c>
      <c r="G27" s="254"/>
      <c r="H27" s="225"/>
      <c r="I27" s="225"/>
    </row>
    <row r="28" spans="1:9" s="224" customFormat="1" ht="19.5" customHeight="1">
      <c r="A28" s="3098"/>
      <c r="B28" s="3098"/>
      <c r="C28" s="251" t="s">
        <v>2028</v>
      </c>
      <c r="D28" s="252"/>
      <c r="E28" s="250">
        <v>0.9</v>
      </c>
      <c r="F28" s="253" t="s">
        <v>2029</v>
      </c>
      <c r="G28" s="254"/>
      <c r="H28" s="225"/>
      <c r="I28" s="225"/>
    </row>
    <row r="29" spans="1:9" s="224" customFormat="1" ht="19.5" customHeight="1">
      <c r="A29" s="3098"/>
      <c r="B29" s="3098"/>
      <c r="C29" s="251" t="s">
        <v>2030</v>
      </c>
      <c r="D29" s="252"/>
      <c r="E29" s="250">
        <v>0.9</v>
      </c>
      <c r="F29" s="253" t="s">
        <v>2031</v>
      </c>
      <c r="G29" s="254"/>
      <c r="H29" s="225"/>
      <c r="I29" s="225"/>
    </row>
    <row r="30" spans="1:9" s="224" customFormat="1" ht="19.5" customHeight="1">
      <c r="A30" s="3098"/>
      <c r="B30" s="3098"/>
      <c r="C30" s="251" t="s">
        <v>2032</v>
      </c>
      <c r="D30" s="252"/>
      <c r="E30" s="250">
        <v>0.9</v>
      </c>
      <c r="F30" s="253" t="s">
        <v>2033</v>
      </c>
      <c r="G30" s="254"/>
      <c r="H30" s="225"/>
      <c r="I30" s="225"/>
    </row>
    <row r="31" spans="1:9" s="224" customFormat="1" ht="19.5" customHeight="1">
      <c r="A31" s="3098"/>
      <c r="B31" s="3098"/>
      <c r="C31" s="251" t="s">
        <v>2034</v>
      </c>
      <c r="D31" s="252"/>
      <c r="E31" s="250">
        <v>0.8</v>
      </c>
      <c r="F31" s="253" t="s">
        <v>2035</v>
      </c>
      <c r="G31" s="254"/>
      <c r="H31" s="225"/>
      <c r="I31" s="225"/>
    </row>
    <row r="32" spans="1:9" s="224" customFormat="1" ht="19.5" customHeight="1">
      <c r="A32" s="3098"/>
      <c r="B32" s="3098"/>
      <c r="C32" s="251" t="s">
        <v>2036</v>
      </c>
      <c r="D32" s="252"/>
      <c r="E32" s="250">
        <v>0.8</v>
      </c>
      <c r="F32" s="253" t="s">
        <v>2037</v>
      </c>
      <c r="G32" s="254"/>
      <c r="H32" s="225"/>
      <c r="I32" s="225"/>
    </row>
    <row r="33" spans="1:9" s="224" customFormat="1" ht="19.5" customHeight="1">
      <c r="A33" s="3098" t="s">
        <v>2038</v>
      </c>
      <c r="B33" s="250" t="s">
        <v>2010</v>
      </c>
      <c r="C33" s="251" t="s">
        <v>2039</v>
      </c>
      <c r="D33" s="252"/>
      <c r="E33" s="250">
        <v>1</v>
      </c>
      <c r="F33" s="253" t="s">
        <v>2040</v>
      </c>
      <c r="G33" s="254"/>
      <c r="H33" s="225"/>
      <c r="I33" s="225"/>
    </row>
    <row r="34" spans="1:9" s="224" customFormat="1" ht="19.5" customHeight="1">
      <c r="A34" s="3098"/>
      <c r="B34" s="250" t="s">
        <v>2013</v>
      </c>
      <c r="C34" s="251" t="s">
        <v>2041</v>
      </c>
      <c r="D34" s="252"/>
      <c r="E34" s="250">
        <v>1.5</v>
      </c>
      <c r="F34" s="253" t="s">
        <v>2042</v>
      </c>
      <c r="G34" s="254"/>
      <c r="H34" s="225"/>
      <c r="I34" s="225"/>
    </row>
    <row r="35" spans="1:9" s="224" customFormat="1" ht="19.5" customHeight="1">
      <c r="A35" s="3098" t="s">
        <v>1601</v>
      </c>
      <c r="B35" s="250" t="s">
        <v>2010</v>
      </c>
      <c r="C35" s="251" t="s">
        <v>2043</v>
      </c>
      <c r="D35" s="252"/>
      <c r="E35" s="250">
        <v>1</v>
      </c>
      <c r="F35" s="253" t="s">
        <v>2044</v>
      </c>
      <c r="G35" s="254"/>
      <c r="H35" s="225"/>
      <c r="I35" s="225"/>
    </row>
    <row r="36" spans="1:9" s="224" customFormat="1" ht="19.5" customHeight="1">
      <c r="A36" s="3098"/>
      <c r="B36" s="3098" t="s">
        <v>2013</v>
      </c>
      <c r="C36" s="251" t="s">
        <v>2045</v>
      </c>
      <c r="D36" s="252"/>
      <c r="E36" s="250">
        <v>1</v>
      </c>
      <c r="F36" s="253" t="s">
        <v>2046</v>
      </c>
      <c r="G36" s="254"/>
      <c r="H36" s="225"/>
      <c r="I36" s="225"/>
    </row>
    <row r="37" spans="1:9" s="224" customFormat="1" ht="19.5" customHeight="1">
      <c r="A37" s="3098"/>
      <c r="B37" s="3098"/>
      <c r="C37" s="251" t="s">
        <v>2047</v>
      </c>
      <c r="D37" s="252"/>
      <c r="E37" s="250">
        <v>1.5</v>
      </c>
      <c r="F37" s="253" t="s">
        <v>2048</v>
      </c>
      <c r="G37" s="254"/>
      <c r="H37" s="225"/>
      <c r="I37" s="225"/>
    </row>
    <row r="38" spans="1:9" s="224" customFormat="1" ht="19.5" customHeight="1">
      <c r="A38" s="3098"/>
      <c r="B38" s="3098"/>
      <c r="C38" s="251" t="s">
        <v>2049</v>
      </c>
      <c r="D38" s="252"/>
      <c r="E38" s="250">
        <v>1</v>
      </c>
      <c r="F38" s="253" t="s">
        <v>2050</v>
      </c>
      <c r="G38" s="254"/>
      <c r="H38" s="225"/>
      <c r="I38" s="225"/>
    </row>
    <row r="39" spans="1:9" s="224" customFormat="1" ht="19.5" customHeight="1">
      <c r="A39" s="3098"/>
      <c r="B39" s="3098"/>
      <c r="C39" s="251" t="s">
        <v>2051</v>
      </c>
      <c r="D39" s="252"/>
      <c r="E39" s="250">
        <v>1</v>
      </c>
      <c r="F39" s="253" t="s">
        <v>2052</v>
      </c>
      <c r="G39" s="254"/>
      <c r="H39" s="225"/>
      <c r="I39" s="225"/>
    </row>
    <row r="40" spans="1:9" s="224" customFormat="1" ht="19.5" customHeight="1">
      <c r="A40" s="255" t="s">
        <v>2053</v>
      </c>
      <c r="B40" s="255"/>
      <c r="C40" s="255"/>
      <c r="D40" s="255"/>
      <c r="E40" s="255"/>
      <c r="F40" s="256"/>
      <c r="G40" s="256"/>
      <c r="H40" s="225"/>
      <c r="I40" s="225"/>
    </row>
    <row r="42" spans="1:9" ht="19.5" customHeight="1">
      <c r="A42" s="257"/>
      <c r="B42" s="241" t="s">
        <v>2054</v>
      </c>
      <c r="C42" s="241" t="s">
        <v>2054</v>
      </c>
      <c r="D42" s="241" t="s">
        <v>2054</v>
      </c>
      <c r="E42" s="243" t="s">
        <v>2054</v>
      </c>
      <c r="F42" s="243" t="s">
        <v>2054</v>
      </c>
      <c r="G42" s="243" t="s">
        <v>2055</v>
      </c>
      <c r="H42" s="243" t="s">
        <v>2054</v>
      </c>
    </row>
    <row r="43" spans="1:9" ht="19.5" customHeight="1">
      <c r="A43" s="258"/>
      <c r="B43" s="243" t="s">
        <v>1600</v>
      </c>
      <c r="C43" s="243" t="s">
        <v>1600</v>
      </c>
      <c r="D43" s="243" t="s">
        <v>1600</v>
      </c>
      <c r="E43" s="243" t="s">
        <v>1600</v>
      </c>
      <c r="F43" s="241" t="s">
        <v>354</v>
      </c>
      <c r="G43" s="241" t="s">
        <v>1601</v>
      </c>
      <c r="H43" s="241" t="s">
        <v>2056</v>
      </c>
    </row>
    <row r="44" spans="1:9" ht="19.5" customHeight="1">
      <c r="A44" s="259"/>
      <c r="B44" s="241">
        <v>1</v>
      </c>
      <c r="C44" s="241">
        <v>2</v>
      </c>
      <c r="D44" s="241">
        <v>3</v>
      </c>
      <c r="E44" s="243">
        <v>4</v>
      </c>
      <c r="F44" s="248" t="s">
        <v>2057</v>
      </c>
      <c r="G44" s="248" t="s">
        <v>2057</v>
      </c>
      <c r="H44" s="248" t="s">
        <v>2057</v>
      </c>
    </row>
    <row r="45" spans="1:9" ht="19.5" customHeight="1">
      <c r="A45" s="260" t="s">
        <v>1604</v>
      </c>
      <c r="B45" s="241">
        <v>0.8</v>
      </c>
      <c r="C45" s="241">
        <v>0.5</v>
      </c>
      <c r="D45" s="241">
        <v>0.36</v>
      </c>
      <c r="E45" s="241">
        <v>0.3</v>
      </c>
      <c r="F45" s="248">
        <v>0.3</v>
      </c>
      <c r="G45" s="241">
        <v>0.3</v>
      </c>
      <c r="H45" s="241">
        <v>0.25</v>
      </c>
    </row>
    <row r="46" spans="1:9" ht="19.5" customHeight="1">
      <c r="A46" s="260" t="s">
        <v>1610</v>
      </c>
      <c r="B46" s="241">
        <v>0.8</v>
      </c>
      <c r="C46" s="241">
        <v>0.5</v>
      </c>
      <c r="D46" s="241">
        <v>0.36</v>
      </c>
      <c r="E46" s="241">
        <v>0.3</v>
      </c>
      <c r="F46" s="241">
        <v>0.3</v>
      </c>
      <c r="G46" s="241">
        <v>0.3</v>
      </c>
      <c r="H46" s="241">
        <v>0.25</v>
      </c>
    </row>
    <row r="47" spans="1:9" ht="19.5" customHeight="1">
      <c r="A47" s="260" t="s">
        <v>1630</v>
      </c>
      <c r="B47" s="241">
        <v>0.7</v>
      </c>
      <c r="C47" s="241">
        <v>0.4</v>
      </c>
      <c r="D47" s="241">
        <v>0.28000000000000003</v>
      </c>
      <c r="E47" s="241">
        <v>0.25</v>
      </c>
      <c r="F47" s="241">
        <v>0.25</v>
      </c>
      <c r="G47" s="241">
        <v>0.25</v>
      </c>
      <c r="H47" s="241">
        <v>0.2</v>
      </c>
    </row>
    <row r="48" spans="1:9" ht="19.5" customHeight="1">
      <c r="A48" s="260" t="s">
        <v>1651</v>
      </c>
      <c r="B48" s="241">
        <v>0.7</v>
      </c>
      <c r="C48" s="241">
        <v>0.4</v>
      </c>
      <c r="D48" s="241">
        <v>0.28000000000000003</v>
      </c>
      <c r="E48" s="241">
        <v>0.25</v>
      </c>
      <c r="F48" s="241">
        <v>0.25</v>
      </c>
      <c r="G48" s="241">
        <v>0.25</v>
      </c>
      <c r="H48" s="241">
        <v>0.2</v>
      </c>
    </row>
    <row r="49" spans="1:8" s="225" customFormat="1" ht="19.5" customHeight="1">
      <c r="A49" s="260" t="s">
        <v>1679</v>
      </c>
      <c r="B49" s="241">
        <v>0.7</v>
      </c>
      <c r="C49" s="241">
        <v>0.4</v>
      </c>
      <c r="D49" s="241">
        <v>0.28000000000000003</v>
      </c>
      <c r="E49" s="241">
        <v>0.25</v>
      </c>
      <c r="F49" s="241">
        <v>0.25</v>
      </c>
      <c r="G49" s="241">
        <v>0.25</v>
      </c>
      <c r="H49" s="241">
        <v>0.2</v>
      </c>
    </row>
    <row r="50" spans="1:8" s="225" customFormat="1" ht="19.5" customHeight="1">
      <c r="A50" s="260" t="s">
        <v>1714</v>
      </c>
      <c r="B50" s="241">
        <v>0.7</v>
      </c>
      <c r="C50" s="241">
        <v>0.4</v>
      </c>
      <c r="D50" s="241">
        <v>0.28000000000000003</v>
      </c>
      <c r="E50" s="241">
        <v>0.25</v>
      </c>
      <c r="F50" s="241">
        <v>0.25</v>
      </c>
      <c r="G50" s="241">
        <v>0.25</v>
      </c>
      <c r="H50" s="241">
        <v>0.2</v>
      </c>
    </row>
    <row r="51" spans="1:8" s="225" customFormat="1" ht="19.5" customHeight="1">
      <c r="A51" s="260" t="s">
        <v>1763</v>
      </c>
      <c r="B51" s="241">
        <v>0.7</v>
      </c>
      <c r="C51" s="241">
        <v>0.4</v>
      </c>
      <c r="D51" s="241">
        <v>0.28000000000000003</v>
      </c>
      <c r="E51" s="241">
        <v>0.25</v>
      </c>
      <c r="F51" s="241">
        <v>0.25</v>
      </c>
      <c r="G51" s="241">
        <v>0.25</v>
      </c>
      <c r="H51" s="241">
        <v>0.2</v>
      </c>
    </row>
    <row r="52" spans="1:8" s="225" customFormat="1" ht="19.5" customHeight="1">
      <c r="A52" s="260" t="s">
        <v>1812</v>
      </c>
      <c r="B52" s="241">
        <v>0.6</v>
      </c>
      <c r="C52" s="241">
        <v>0.3</v>
      </c>
      <c r="D52" s="241">
        <v>0.2</v>
      </c>
      <c r="E52" s="241">
        <v>0.2</v>
      </c>
      <c r="F52" s="241">
        <v>0.2</v>
      </c>
      <c r="G52" s="241">
        <v>0.2</v>
      </c>
      <c r="H52" s="241">
        <v>0.15</v>
      </c>
    </row>
    <row r="53" spans="1:8" s="225" customFormat="1" ht="19.5" customHeight="1">
      <c r="A53" s="260" t="s">
        <v>1852</v>
      </c>
      <c r="B53" s="241">
        <v>0.6</v>
      </c>
      <c r="C53" s="241">
        <v>0.3</v>
      </c>
      <c r="D53" s="241">
        <v>0.2</v>
      </c>
      <c r="E53" s="241">
        <v>0.2</v>
      </c>
      <c r="F53" s="241">
        <v>0.2</v>
      </c>
      <c r="G53" s="241">
        <v>0.2</v>
      </c>
      <c r="H53" s="241">
        <v>0.15</v>
      </c>
    </row>
    <row r="54" spans="1:8" s="225" customFormat="1" ht="19.5" customHeight="1">
      <c r="A54" s="260" t="s">
        <v>1898</v>
      </c>
      <c r="B54" s="241">
        <v>0.6</v>
      </c>
      <c r="C54" s="241">
        <v>0.3</v>
      </c>
      <c r="D54" s="241">
        <v>0.2</v>
      </c>
      <c r="E54" s="241">
        <v>0.2</v>
      </c>
      <c r="F54" s="241">
        <v>0.2</v>
      </c>
      <c r="G54" s="241">
        <v>0.2</v>
      </c>
      <c r="H54" s="241">
        <v>0.15</v>
      </c>
    </row>
    <row r="55" spans="1:8" s="225" customFormat="1" ht="19.5" customHeight="1">
      <c r="A55" s="260" t="s">
        <v>1926</v>
      </c>
      <c r="B55" s="241">
        <v>0.6</v>
      </c>
      <c r="C55" s="241">
        <v>0.3</v>
      </c>
      <c r="D55" s="241">
        <v>0.2</v>
      </c>
      <c r="E55" s="241">
        <v>0.2</v>
      </c>
      <c r="F55" s="241">
        <v>0.2</v>
      </c>
      <c r="G55" s="241">
        <v>0.2</v>
      </c>
      <c r="H55" s="241">
        <v>0.15</v>
      </c>
    </row>
    <row r="56" spans="1:8" s="225" customFormat="1" ht="19.5" customHeight="1">
      <c r="A56" s="260" t="s">
        <v>1948</v>
      </c>
      <c r="B56" s="241">
        <v>0.6</v>
      </c>
      <c r="C56" s="241">
        <v>0.3</v>
      </c>
      <c r="D56" s="241">
        <v>0.2</v>
      </c>
      <c r="E56" s="241">
        <v>0.2</v>
      </c>
      <c r="F56" s="241">
        <v>0.2</v>
      </c>
      <c r="G56" s="241">
        <v>0.2</v>
      </c>
      <c r="H56" s="241">
        <v>0.15</v>
      </c>
    </row>
    <row r="58" spans="1:8" s="225" customFormat="1" ht="19.5" customHeight="1">
      <c r="A58" s="261"/>
      <c r="B58" s="245"/>
      <c r="C58" s="245"/>
      <c r="D58" s="245" t="s">
        <v>2058</v>
      </c>
      <c r="E58" s="245"/>
      <c r="F58" s="245"/>
    </row>
    <row r="59" spans="1:8" s="225" customFormat="1" ht="19.5" customHeight="1">
      <c r="A59" s="250" t="s">
        <v>2059</v>
      </c>
      <c r="B59" s="250" t="s">
        <v>2060</v>
      </c>
      <c r="C59" s="250" t="s">
        <v>2061</v>
      </c>
      <c r="D59" s="250" t="s">
        <v>2062</v>
      </c>
      <c r="E59" s="250" t="s">
        <v>2063</v>
      </c>
      <c r="F59" s="250" t="s">
        <v>2064</v>
      </c>
    </row>
    <row r="60" spans="1:8" ht="13.5">
      <c r="A60" s="250"/>
      <c r="B60" s="250"/>
      <c r="C60" s="250" t="s">
        <v>2065</v>
      </c>
      <c r="D60" s="250"/>
      <c r="E60" s="262" t="s">
        <v>121</v>
      </c>
      <c r="F60" s="250" t="s">
        <v>121</v>
      </c>
    </row>
    <row r="61" spans="1:8" s="225" customFormat="1" ht="24">
      <c r="A61" s="250">
        <v>1</v>
      </c>
      <c r="B61" s="3098" t="s">
        <v>2066</v>
      </c>
      <c r="C61" s="241" t="s">
        <v>2067</v>
      </c>
      <c r="D61" s="241" t="s">
        <v>2068</v>
      </c>
      <c r="E61" s="262">
        <v>0.5</v>
      </c>
      <c r="F61" s="250">
        <v>80</v>
      </c>
    </row>
    <row r="62" spans="1:8" s="225" customFormat="1" ht="24">
      <c r="A62" s="250">
        <v>2</v>
      </c>
      <c r="B62" s="3098"/>
      <c r="C62" s="241" t="s">
        <v>2069</v>
      </c>
      <c r="D62" s="241" t="s">
        <v>2070</v>
      </c>
      <c r="E62" s="262">
        <v>0.5</v>
      </c>
      <c r="F62" s="250">
        <v>80</v>
      </c>
    </row>
    <row r="63" spans="1:8" s="225" customFormat="1" ht="36">
      <c r="A63" s="250">
        <v>3</v>
      </c>
      <c r="B63" s="3098"/>
      <c r="C63" s="241" t="s">
        <v>2071</v>
      </c>
      <c r="D63" s="241" t="s">
        <v>2072</v>
      </c>
      <c r="E63" s="262">
        <v>0.5</v>
      </c>
      <c r="F63" s="250">
        <v>80</v>
      </c>
    </row>
    <row r="64" spans="1:8" s="225" customFormat="1" ht="36">
      <c r="A64" s="250">
        <v>4</v>
      </c>
      <c r="B64" s="3098"/>
      <c r="C64" s="241" t="s">
        <v>2073</v>
      </c>
      <c r="D64" s="241" t="s">
        <v>2074</v>
      </c>
      <c r="E64" s="262">
        <v>0.4</v>
      </c>
      <c r="F64" s="250">
        <v>60</v>
      </c>
    </row>
    <row r="65" spans="1:6" s="225" customFormat="1" ht="36">
      <c r="A65" s="250">
        <v>5</v>
      </c>
      <c r="B65" s="3098"/>
      <c r="C65" s="241" t="s">
        <v>2075</v>
      </c>
      <c r="D65" s="241" t="s">
        <v>2076</v>
      </c>
      <c r="E65" s="262">
        <v>0.2</v>
      </c>
      <c r="F65" s="250">
        <v>30</v>
      </c>
    </row>
    <row r="66" spans="1:6" s="225" customFormat="1" ht="36">
      <c r="A66" s="250">
        <v>6</v>
      </c>
      <c r="B66" s="3098"/>
      <c r="C66" s="241" t="s">
        <v>2077</v>
      </c>
      <c r="D66" s="241" t="s">
        <v>2078</v>
      </c>
      <c r="E66" s="262">
        <v>0.3</v>
      </c>
      <c r="F66" s="250">
        <v>50</v>
      </c>
    </row>
    <row r="67" spans="1:6" s="225" customFormat="1" ht="36">
      <c r="A67" s="250">
        <v>7</v>
      </c>
      <c r="B67" s="3098"/>
      <c r="C67" s="241" t="s">
        <v>2079</v>
      </c>
      <c r="D67" s="241" t="s">
        <v>2080</v>
      </c>
      <c r="E67" s="262">
        <v>0.2</v>
      </c>
      <c r="F67" s="250">
        <v>30</v>
      </c>
    </row>
    <row r="68" spans="1:6" s="225" customFormat="1" ht="36">
      <c r="A68" s="250">
        <v>8</v>
      </c>
      <c r="B68" s="3098"/>
      <c r="C68" s="241" t="s">
        <v>2081</v>
      </c>
      <c r="D68" s="241" t="s">
        <v>2082</v>
      </c>
      <c r="E68" s="262">
        <v>0.2</v>
      </c>
      <c r="F68" s="250">
        <v>30</v>
      </c>
    </row>
    <row r="69" spans="1:6" s="225" customFormat="1" ht="36">
      <c r="A69" s="250">
        <v>9</v>
      </c>
      <c r="B69" s="3098"/>
      <c r="C69" s="241" t="s">
        <v>2083</v>
      </c>
      <c r="D69" s="241" t="s">
        <v>2084</v>
      </c>
      <c r="E69" s="262">
        <v>0.2</v>
      </c>
      <c r="F69" s="250">
        <v>30</v>
      </c>
    </row>
    <row r="70" spans="1:6" s="225" customFormat="1" ht="48">
      <c r="A70" s="250">
        <v>10</v>
      </c>
      <c r="B70" s="3098"/>
      <c r="C70" s="241" t="s">
        <v>2085</v>
      </c>
      <c r="D70" s="241" t="s">
        <v>2086</v>
      </c>
      <c r="E70" s="262">
        <v>0.2</v>
      </c>
      <c r="F70" s="250">
        <v>30</v>
      </c>
    </row>
    <row r="71" spans="1:6" s="225" customFormat="1" ht="48">
      <c r="A71" s="250">
        <v>11</v>
      </c>
      <c r="B71" s="3098"/>
      <c r="C71" s="241" t="s">
        <v>2087</v>
      </c>
      <c r="D71" s="241" t="s">
        <v>2088</v>
      </c>
      <c r="E71" s="262">
        <v>0.2</v>
      </c>
      <c r="F71" s="250">
        <v>30</v>
      </c>
    </row>
    <row r="72" spans="1:6" s="225" customFormat="1" ht="36">
      <c r="A72" s="250">
        <v>12</v>
      </c>
      <c r="B72" s="3098"/>
      <c r="C72" s="241" t="s">
        <v>2089</v>
      </c>
      <c r="D72" s="241" t="s">
        <v>2090</v>
      </c>
      <c r="E72" s="262">
        <v>0.5</v>
      </c>
      <c r="F72" s="250">
        <v>80</v>
      </c>
    </row>
    <row r="73" spans="1:6" s="225" customFormat="1" ht="24">
      <c r="A73" s="250">
        <v>13</v>
      </c>
      <c r="B73" s="3098"/>
      <c r="C73" s="241" t="s">
        <v>2091</v>
      </c>
      <c r="D73" s="241" t="s">
        <v>2092</v>
      </c>
      <c r="E73" s="262">
        <v>0.4</v>
      </c>
      <c r="F73" s="250">
        <v>60</v>
      </c>
    </row>
    <row r="74" spans="1:6" s="225" customFormat="1" ht="24">
      <c r="A74" s="250">
        <v>14</v>
      </c>
      <c r="B74" s="3098"/>
      <c r="C74" s="241" t="s">
        <v>2093</v>
      </c>
      <c r="D74" s="241" t="s">
        <v>2094</v>
      </c>
      <c r="E74" s="262">
        <v>0.2</v>
      </c>
      <c r="F74" s="250">
        <v>30</v>
      </c>
    </row>
    <row r="75" spans="1:6" s="225" customFormat="1" ht="24">
      <c r="A75" s="250">
        <v>15</v>
      </c>
      <c r="B75" s="3098"/>
      <c r="C75" s="241" t="s">
        <v>2095</v>
      </c>
      <c r="D75" s="241" t="s">
        <v>2096</v>
      </c>
      <c r="E75" s="262">
        <v>0.2</v>
      </c>
      <c r="F75" s="250">
        <v>30</v>
      </c>
    </row>
    <row r="76" spans="1:6" s="225" customFormat="1" ht="24">
      <c r="A76" s="250">
        <v>16</v>
      </c>
      <c r="B76" s="3098" t="s">
        <v>2097</v>
      </c>
      <c r="C76" s="241" t="s">
        <v>2098</v>
      </c>
      <c r="D76" s="241" t="s">
        <v>2099</v>
      </c>
      <c r="E76" s="262">
        <v>0.5</v>
      </c>
      <c r="F76" s="250">
        <v>80</v>
      </c>
    </row>
    <row r="77" spans="1:6" s="225" customFormat="1" ht="24">
      <c r="A77" s="250">
        <v>17</v>
      </c>
      <c r="B77" s="3098"/>
      <c r="C77" s="241" t="s">
        <v>2100</v>
      </c>
      <c r="D77" s="241" t="s">
        <v>2101</v>
      </c>
      <c r="E77" s="262">
        <v>0.5</v>
      </c>
      <c r="F77" s="250">
        <v>80</v>
      </c>
    </row>
    <row r="78" spans="1:6" s="225" customFormat="1" ht="24">
      <c r="A78" s="250">
        <v>18</v>
      </c>
      <c r="B78" s="3098"/>
      <c r="C78" s="241" t="s">
        <v>2102</v>
      </c>
      <c r="D78" s="241" t="s">
        <v>2103</v>
      </c>
      <c r="E78" s="262">
        <v>0.2</v>
      </c>
      <c r="F78" s="250">
        <v>30</v>
      </c>
    </row>
    <row r="79" spans="1:6" s="225" customFormat="1" ht="24">
      <c r="A79" s="250">
        <v>19</v>
      </c>
      <c r="B79" s="3098"/>
      <c r="C79" s="241" t="s">
        <v>2104</v>
      </c>
      <c r="D79" s="241" t="s">
        <v>2105</v>
      </c>
      <c r="E79" s="262">
        <v>0.5</v>
      </c>
      <c r="F79" s="250">
        <v>80</v>
      </c>
    </row>
    <row r="80" spans="1:6" s="225" customFormat="1" ht="36">
      <c r="A80" s="250">
        <v>20</v>
      </c>
      <c r="B80" s="3098"/>
      <c r="C80" s="241" t="s">
        <v>2106</v>
      </c>
      <c r="D80" s="241" t="s">
        <v>2107</v>
      </c>
      <c r="E80" s="262">
        <v>0.2</v>
      </c>
      <c r="F80" s="250">
        <v>30</v>
      </c>
    </row>
    <row r="81" spans="1:6" s="225" customFormat="1" ht="36">
      <c r="A81" s="250">
        <v>21</v>
      </c>
      <c r="B81" s="3098"/>
      <c r="C81" s="241" t="s">
        <v>2108</v>
      </c>
      <c r="D81" s="241" t="s">
        <v>2109</v>
      </c>
      <c r="E81" s="262">
        <v>0.2</v>
      </c>
      <c r="F81" s="250">
        <v>30</v>
      </c>
    </row>
    <row r="82" spans="1:6" s="225" customFormat="1" ht="48">
      <c r="A82" s="250">
        <v>22</v>
      </c>
      <c r="B82" s="3098"/>
      <c r="C82" s="241" t="s">
        <v>2110</v>
      </c>
      <c r="D82" s="241" t="s">
        <v>2111</v>
      </c>
      <c r="E82" s="262">
        <v>0.2</v>
      </c>
      <c r="F82" s="250">
        <v>30</v>
      </c>
    </row>
    <row r="83" spans="1:6" s="225" customFormat="1" ht="48">
      <c r="A83" s="250">
        <v>23</v>
      </c>
      <c r="B83" s="3098"/>
      <c r="C83" s="241" t="s">
        <v>2112</v>
      </c>
      <c r="D83" s="241" t="s">
        <v>2113</v>
      </c>
      <c r="E83" s="262">
        <v>0.2</v>
      </c>
      <c r="F83" s="250">
        <v>30</v>
      </c>
    </row>
    <row r="84" spans="1:6" s="225" customFormat="1" ht="36">
      <c r="A84" s="250">
        <v>24</v>
      </c>
      <c r="B84" s="3098"/>
      <c r="C84" s="241" t="s">
        <v>2114</v>
      </c>
      <c r="D84" s="241" t="s">
        <v>2115</v>
      </c>
      <c r="E84" s="262">
        <v>0.2</v>
      </c>
      <c r="F84" s="250">
        <v>30</v>
      </c>
    </row>
    <row r="85" spans="1:6" s="225" customFormat="1" ht="36">
      <c r="A85" s="250">
        <v>25</v>
      </c>
      <c r="B85" s="3098"/>
      <c r="C85" s="241" t="s">
        <v>2116</v>
      </c>
      <c r="D85" s="241" t="s">
        <v>2117</v>
      </c>
      <c r="E85" s="262">
        <v>0.5</v>
      </c>
      <c r="F85" s="250">
        <v>80</v>
      </c>
    </row>
    <row r="86" spans="1:6" s="225" customFormat="1" ht="36">
      <c r="A86" s="250">
        <v>26</v>
      </c>
      <c r="B86" s="3098"/>
      <c r="C86" s="241" t="s">
        <v>2118</v>
      </c>
      <c r="D86" s="241" t="s">
        <v>2119</v>
      </c>
      <c r="E86" s="262">
        <v>0.2</v>
      </c>
      <c r="F86" s="250">
        <v>30</v>
      </c>
    </row>
    <row r="87" spans="1:6" s="225" customFormat="1" ht="36">
      <c r="A87" s="250">
        <v>27</v>
      </c>
      <c r="B87" s="3098"/>
      <c r="C87" s="241" t="s">
        <v>2120</v>
      </c>
      <c r="D87" s="241" t="s">
        <v>2121</v>
      </c>
      <c r="E87" s="262">
        <v>0.2</v>
      </c>
      <c r="F87" s="250">
        <v>30</v>
      </c>
    </row>
    <row r="88" spans="1:6" s="225" customFormat="1" ht="36">
      <c r="A88" s="250">
        <v>28</v>
      </c>
      <c r="B88" s="3098"/>
      <c r="C88" s="241" t="s">
        <v>2122</v>
      </c>
      <c r="D88" s="241" t="s">
        <v>2123</v>
      </c>
      <c r="E88" s="262">
        <v>0.2</v>
      </c>
      <c r="F88" s="250">
        <v>30</v>
      </c>
    </row>
    <row r="89" spans="1:6" s="225" customFormat="1" ht="24">
      <c r="A89" s="250">
        <v>29</v>
      </c>
      <c r="B89" s="3098"/>
      <c r="C89" s="241" t="s">
        <v>2124</v>
      </c>
      <c r="D89" s="241" t="s">
        <v>2125</v>
      </c>
      <c r="E89" s="262">
        <v>0.2</v>
      </c>
      <c r="F89" s="250">
        <v>30</v>
      </c>
    </row>
    <row r="90" spans="1:6" s="225" customFormat="1" ht="24">
      <c r="A90" s="250">
        <v>30</v>
      </c>
      <c r="B90" s="3098"/>
      <c r="C90" s="241" t="s">
        <v>2126</v>
      </c>
      <c r="D90" s="241" t="s">
        <v>2127</v>
      </c>
      <c r="E90" s="262">
        <v>0.2</v>
      </c>
      <c r="F90" s="250">
        <v>30</v>
      </c>
    </row>
    <row r="91" spans="1:6" s="225" customFormat="1" ht="36">
      <c r="A91" s="250">
        <v>31</v>
      </c>
      <c r="B91" s="3098"/>
      <c r="C91" s="241" t="s">
        <v>2128</v>
      </c>
      <c r="D91" s="241" t="s">
        <v>2129</v>
      </c>
      <c r="E91" s="262">
        <v>0.2</v>
      </c>
      <c r="F91" s="250">
        <v>30</v>
      </c>
    </row>
    <row r="92" spans="1:6" s="225" customFormat="1" ht="24">
      <c r="A92" s="250">
        <v>32</v>
      </c>
      <c r="B92" s="3098" t="s">
        <v>2130</v>
      </c>
      <c r="C92" s="250" t="s">
        <v>2131</v>
      </c>
      <c r="D92" s="241" t="s">
        <v>2132</v>
      </c>
      <c r="E92" s="262">
        <v>0.2</v>
      </c>
      <c r="F92" s="250">
        <v>30</v>
      </c>
    </row>
    <row r="93" spans="1:6" s="225" customFormat="1" ht="36">
      <c r="A93" s="250">
        <v>33</v>
      </c>
      <c r="B93" s="3098"/>
      <c r="C93" s="250" t="s">
        <v>2133</v>
      </c>
      <c r="D93" s="241" t="s">
        <v>2134</v>
      </c>
      <c r="E93" s="262">
        <v>0.2</v>
      </c>
      <c r="F93" s="250">
        <v>30</v>
      </c>
    </row>
    <row r="94" spans="1:6" s="225" customFormat="1" ht="48">
      <c r="A94" s="250">
        <v>34</v>
      </c>
      <c r="B94" s="3098"/>
      <c r="C94" s="250" t="s">
        <v>2135</v>
      </c>
      <c r="D94" s="241" t="s">
        <v>2136</v>
      </c>
      <c r="E94" s="262">
        <v>0.2</v>
      </c>
      <c r="F94" s="250">
        <v>30</v>
      </c>
    </row>
    <row r="95" spans="1:6" s="225" customFormat="1" ht="36">
      <c r="A95" s="250">
        <v>35</v>
      </c>
      <c r="B95" s="3098"/>
      <c r="C95" s="250" t="s">
        <v>2137</v>
      </c>
      <c r="D95" s="241" t="s">
        <v>2138</v>
      </c>
      <c r="E95" s="262">
        <v>0.2</v>
      </c>
      <c r="F95" s="250">
        <v>30</v>
      </c>
    </row>
    <row r="96" spans="1:6" s="225" customFormat="1" ht="48">
      <c r="A96" s="250">
        <v>36</v>
      </c>
      <c r="B96" s="3098"/>
      <c r="C96" s="241" t="s">
        <v>2139</v>
      </c>
      <c r="D96" s="241" t="s">
        <v>2140</v>
      </c>
      <c r="E96" s="262">
        <v>0.2</v>
      </c>
      <c r="F96" s="250">
        <v>30</v>
      </c>
    </row>
    <row r="97" spans="1:6" s="225" customFormat="1" ht="36">
      <c r="A97" s="250">
        <v>37</v>
      </c>
      <c r="B97" s="3098"/>
      <c r="C97" s="250" t="s">
        <v>2141</v>
      </c>
      <c r="D97" s="241" t="s">
        <v>2142</v>
      </c>
      <c r="E97" s="262">
        <v>0.2</v>
      </c>
      <c r="F97" s="250">
        <v>30</v>
      </c>
    </row>
    <row r="98" spans="1:6" s="225" customFormat="1" ht="36">
      <c r="A98" s="250">
        <v>38</v>
      </c>
      <c r="B98" s="3098"/>
      <c r="C98" s="250" t="s">
        <v>2143</v>
      </c>
      <c r="D98" s="241" t="s">
        <v>2144</v>
      </c>
      <c r="E98" s="262">
        <v>0.2</v>
      </c>
      <c r="F98" s="250">
        <v>30</v>
      </c>
    </row>
    <row r="99" spans="1:6" s="225" customFormat="1" ht="36">
      <c r="A99" s="250">
        <v>39</v>
      </c>
      <c r="B99" s="3098" t="s">
        <v>2145</v>
      </c>
      <c r="C99" s="250" t="s">
        <v>2146</v>
      </c>
      <c r="D99" s="241" t="s">
        <v>2147</v>
      </c>
      <c r="E99" s="262">
        <v>0.3</v>
      </c>
      <c r="F99" s="250">
        <v>50</v>
      </c>
    </row>
    <row r="100" spans="1:6" s="225" customFormat="1" ht="24">
      <c r="A100" s="250">
        <v>40</v>
      </c>
      <c r="B100" s="3098"/>
      <c r="C100" s="250" t="s">
        <v>2148</v>
      </c>
      <c r="D100" s="241" t="s">
        <v>2149</v>
      </c>
      <c r="E100" s="262">
        <v>0.2</v>
      </c>
      <c r="F100" s="250">
        <v>30</v>
      </c>
    </row>
    <row r="101" spans="1:6" s="225" customFormat="1" ht="36">
      <c r="A101" s="250">
        <v>41</v>
      </c>
      <c r="B101" s="3098"/>
      <c r="C101" s="250" t="s">
        <v>2150</v>
      </c>
      <c r="D101" s="241" t="s">
        <v>2147</v>
      </c>
      <c r="E101" s="262">
        <v>0.2</v>
      </c>
      <c r="F101" s="250">
        <v>30</v>
      </c>
    </row>
    <row r="102" spans="1:6" s="225" customFormat="1" ht="48">
      <c r="A102" s="250">
        <v>42</v>
      </c>
      <c r="B102" s="250" t="s">
        <v>2151</v>
      </c>
      <c r="C102" s="241" t="s">
        <v>2152</v>
      </c>
      <c r="D102" s="241" t="s">
        <v>2153</v>
      </c>
      <c r="E102" s="262">
        <v>0.2</v>
      </c>
      <c r="F102" s="250">
        <v>30</v>
      </c>
    </row>
    <row r="103" spans="1:6" s="225" customFormat="1" ht="24">
      <c r="A103" s="250">
        <v>43</v>
      </c>
      <c r="B103" s="250" t="s">
        <v>2154</v>
      </c>
      <c r="C103" s="250" t="s">
        <v>2155</v>
      </c>
      <c r="D103" s="241" t="s">
        <v>2156</v>
      </c>
      <c r="E103" s="262">
        <v>0.2</v>
      </c>
      <c r="F103" s="250">
        <v>30</v>
      </c>
    </row>
    <row r="104" spans="1:6" s="225" customFormat="1" ht="36">
      <c r="A104" s="250">
        <v>44</v>
      </c>
      <c r="B104" s="250" t="s">
        <v>2157</v>
      </c>
      <c r="C104" s="250" t="s">
        <v>2158</v>
      </c>
      <c r="D104" s="241" t="s">
        <v>2159</v>
      </c>
      <c r="E104" s="262">
        <v>0.2</v>
      </c>
      <c r="F104" s="250">
        <v>30</v>
      </c>
    </row>
    <row r="105" spans="1:6" s="225" customFormat="1" ht="36">
      <c r="A105" s="250">
        <v>45</v>
      </c>
      <c r="B105" s="3098" t="s">
        <v>2160</v>
      </c>
      <c r="C105" s="250" t="s">
        <v>2161</v>
      </c>
      <c r="D105" s="241" t="s">
        <v>2162</v>
      </c>
      <c r="E105" s="262">
        <v>0.2</v>
      </c>
      <c r="F105" s="250">
        <v>30</v>
      </c>
    </row>
    <row r="106" spans="1:6" s="225" customFormat="1" ht="36">
      <c r="A106" s="250">
        <v>46</v>
      </c>
      <c r="B106" s="3098"/>
      <c r="C106" s="250" t="s">
        <v>2163</v>
      </c>
      <c r="D106" s="241" t="s">
        <v>2164</v>
      </c>
      <c r="E106" s="262">
        <v>0.2</v>
      </c>
      <c r="F106" s="250">
        <v>30</v>
      </c>
    </row>
    <row r="107" spans="1:6" s="225" customFormat="1" ht="36">
      <c r="A107" s="250">
        <v>47</v>
      </c>
      <c r="B107" s="3098" t="s">
        <v>2165</v>
      </c>
      <c r="C107" s="250" t="s">
        <v>2166</v>
      </c>
      <c r="D107" s="241" t="s">
        <v>2167</v>
      </c>
      <c r="E107" s="262">
        <v>0.3</v>
      </c>
      <c r="F107" s="250">
        <v>50</v>
      </c>
    </row>
    <row r="108" spans="1:6" s="225" customFormat="1" ht="36">
      <c r="A108" s="250">
        <v>48</v>
      </c>
      <c r="B108" s="3098"/>
      <c r="C108" s="250" t="s">
        <v>2168</v>
      </c>
      <c r="D108" s="241" t="s">
        <v>2169</v>
      </c>
      <c r="E108" s="262">
        <v>0.2</v>
      </c>
      <c r="F108" s="250">
        <v>30</v>
      </c>
    </row>
    <row r="109" spans="1:6" s="225" customFormat="1" ht="36">
      <c r="A109" s="250">
        <v>49</v>
      </c>
      <c r="B109" s="250" t="s">
        <v>2170</v>
      </c>
      <c r="C109" s="250" t="s">
        <v>2171</v>
      </c>
      <c r="D109" s="241" t="s">
        <v>2172</v>
      </c>
      <c r="E109" s="262">
        <v>0.2</v>
      </c>
      <c r="F109" s="250">
        <v>30</v>
      </c>
    </row>
    <row r="110" spans="1:6" s="225" customFormat="1" ht="36">
      <c r="A110" s="250">
        <v>50</v>
      </c>
      <c r="B110" s="250" t="s">
        <v>2173</v>
      </c>
      <c r="C110" s="250" t="s">
        <v>2174</v>
      </c>
      <c r="D110" s="241" t="s">
        <v>2175</v>
      </c>
      <c r="E110" s="262">
        <v>0.2</v>
      </c>
      <c r="F110" s="250">
        <v>30</v>
      </c>
    </row>
    <row r="111" spans="1:6" s="225" customFormat="1" ht="36">
      <c r="A111" s="250">
        <v>51</v>
      </c>
      <c r="B111" s="3098" t="s">
        <v>2176</v>
      </c>
      <c r="C111" s="250" t="s">
        <v>2177</v>
      </c>
      <c r="D111" s="241" t="s">
        <v>2178</v>
      </c>
      <c r="E111" s="262">
        <v>0.2</v>
      </c>
      <c r="F111" s="250">
        <v>30</v>
      </c>
    </row>
    <row r="112" spans="1:6" s="225" customFormat="1" ht="24">
      <c r="A112" s="250">
        <v>52</v>
      </c>
      <c r="B112" s="3098"/>
      <c r="C112" s="250" t="s">
        <v>2179</v>
      </c>
      <c r="D112" s="241" t="s">
        <v>2180</v>
      </c>
      <c r="E112" s="262">
        <v>0.2</v>
      </c>
      <c r="F112" s="250">
        <v>30</v>
      </c>
    </row>
    <row r="113" spans="1:6" s="225" customFormat="1" ht="24">
      <c r="A113" s="250">
        <v>53</v>
      </c>
      <c r="B113" s="3098"/>
      <c r="C113" s="250" t="s">
        <v>2181</v>
      </c>
      <c r="D113" s="241" t="s">
        <v>2182</v>
      </c>
      <c r="E113" s="262">
        <v>0.2</v>
      </c>
      <c r="F113" s="250">
        <v>30</v>
      </c>
    </row>
    <row r="114" spans="1:6" ht="36">
      <c r="A114" s="250">
        <v>54</v>
      </c>
      <c r="B114" s="250" t="s">
        <v>2183</v>
      </c>
      <c r="C114" s="250" t="s">
        <v>2184</v>
      </c>
      <c r="D114" s="241" t="s">
        <v>2185</v>
      </c>
      <c r="E114" s="262">
        <v>0.2</v>
      </c>
      <c r="F114" s="250">
        <v>30</v>
      </c>
    </row>
    <row r="115" spans="1:6" ht="24">
      <c r="A115" s="250">
        <v>55</v>
      </c>
      <c r="B115" s="250" t="s">
        <v>2186</v>
      </c>
      <c r="C115" s="250" t="s">
        <v>2187</v>
      </c>
      <c r="D115" s="241" t="s">
        <v>2188</v>
      </c>
      <c r="E115" s="262">
        <v>0.2</v>
      </c>
      <c r="F115" s="250">
        <v>30</v>
      </c>
    </row>
    <row r="116" spans="1:6" ht="24">
      <c r="A116" s="250">
        <v>56</v>
      </c>
      <c r="B116" s="3098" t="s">
        <v>2189</v>
      </c>
      <c r="C116" s="250" t="s">
        <v>2190</v>
      </c>
      <c r="D116" s="241" t="s">
        <v>2191</v>
      </c>
      <c r="E116" s="262">
        <v>0.2</v>
      </c>
      <c r="F116" s="250">
        <v>30</v>
      </c>
    </row>
    <row r="117" spans="1:6" ht="36">
      <c r="A117" s="250">
        <v>57</v>
      </c>
      <c r="B117" s="3098"/>
      <c r="C117" s="250" t="s">
        <v>2192</v>
      </c>
      <c r="D117" s="241" t="s">
        <v>2193</v>
      </c>
      <c r="E117" s="262">
        <v>0.2</v>
      </c>
      <c r="F117" s="250">
        <v>30</v>
      </c>
    </row>
    <row r="118" spans="1:6" ht="36">
      <c r="A118" s="250">
        <v>58</v>
      </c>
      <c r="B118" s="250" t="s">
        <v>2194</v>
      </c>
      <c r="C118" s="250" t="s">
        <v>2195</v>
      </c>
      <c r="D118" s="241" t="s">
        <v>2196</v>
      </c>
      <c r="E118" s="262">
        <v>0.2</v>
      </c>
      <c r="F118" s="250">
        <v>30</v>
      </c>
    </row>
    <row r="119" spans="1:6" ht="13.5">
      <c r="A119" s="250"/>
      <c r="B119" s="250"/>
      <c r="C119" s="250" t="s">
        <v>2065</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2197</v>
      </c>
      <c r="B1" s="216"/>
      <c r="C1" s="216"/>
      <c r="D1" s="216"/>
      <c r="E1" s="216"/>
      <c r="F1" s="216"/>
      <c r="G1" s="216"/>
      <c r="H1" s="216"/>
      <c r="I1" s="216"/>
      <c r="J1" s="216"/>
      <c r="K1" s="216"/>
      <c r="L1" s="216"/>
      <c r="M1" s="216"/>
      <c r="N1" s="216"/>
    </row>
    <row r="2" spans="1:14">
      <c r="A2" s="217" t="s">
        <v>2198</v>
      </c>
      <c r="B2" s="218" t="s">
        <v>1604</v>
      </c>
      <c r="C2" s="218" t="s">
        <v>1610</v>
      </c>
      <c r="D2" s="218" t="s">
        <v>1630</v>
      </c>
      <c r="E2" s="218" t="s">
        <v>1651</v>
      </c>
      <c r="F2" s="218" t="s">
        <v>1679</v>
      </c>
      <c r="G2" s="218" t="s">
        <v>1714</v>
      </c>
      <c r="H2" s="219" t="s">
        <v>1763</v>
      </c>
      <c r="I2" s="219" t="s">
        <v>1812</v>
      </c>
      <c r="J2" s="222" t="s">
        <v>1852</v>
      </c>
      <c r="K2" s="222" t="s">
        <v>1898</v>
      </c>
      <c r="L2" s="222" t="s">
        <v>1926</v>
      </c>
      <c r="M2" s="222" t="s">
        <v>1948</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2199</v>
      </c>
      <c r="B103" s="216"/>
      <c r="C103" s="216"/>
      <c r="D103" s="216"/>
      <c r="E103" s="216"/>
      <c r="F103" s="216"/>
      <c r="G103" s="216"/>
      <c r="H103" s="216"/>
      <c r="I103" s="216"/>
      <c r="J103" s="216"/>
      <c r="K103" s="216"/>
      <c r="L103" s="216"/>
      <c r="M103" s="216"/>
      <c r="N103" s="216"/>
    </row>
    <row r="104" spans="1:14" ht="14.25">
      <c r="A104" s="217" t="s">
        <v>2198</v>
      </c>
      <c r="B104" s="218" t="s">
        <v>1604</v>
      </c>
      <c r="C104" s="218" t="s">
        <v>1610</v>
      </c>
      <c r="D104" s="218" t="s">
        <v>1630</v>
      </c>
      <c r="E104" s="218" t="s">
        <v>1651</v>
      </c>
      <c r="F104" s="218" t="s">
        <v>1679</v>
      </c>
      <c r="G104" s="218" t="s">
        <v>1714</v>
      </c>
      <c r="H104" s="219" t="s">
        <v>1763</v>
      </c>
      <c r="I104" s="219" t="s">
        <v>1812</v>
      </c>
      <c r="J104" s="222" t="s">
        <v>1852</v>
      </c>
      <c r="K104" s="222" t="s">
        <v>1898</v>
      </c>
      <c r="L104" s="222" t="s">
        <v>1926</v>
      </c>
      <c r="M104" s="222" t="s">
        <v>1948</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2200</v>
      </c>
      <c r="B205" s="216"/>
      <c r="C205" s="216"/>
      <c r="D205" s="216"/>
      <c r="E205" s="216"/>
      <c r="F205" s="216"/>
      <c r="G205" s="216"/>
      <c r="H205" s="216"/>
      <c r="I205" s="216"/>
      <c r="J205" s="216"/>
      <c r="K205" s="216"/>
      <c r="L205" s="216"/>
      <c r="M205" s="216"/>
    </row>
    <row r="206" spans="1:13">
      <c r="A206" s="217" t="s">
        <v>2198</v>
      </c>
      <c r="B206" s="218" t="s">
        <v>1604</v>
      </c>
      <c r="C206" s="218" t="s">
        <v>1610</v>
      </c>
      <c r="D206" s="218" t="s">
        <v>1630</v>
      </c>
      <c r="E206" s="218" t="s">
        <v>1651</v>
      </c>
      <c r="F206" s="218" t="s">
        <v>1679</v>
      </c>
      <c r="G206" s="218" t="s">
        <v>1714</v>
      </c>
      <c r="H206" s="219" t="s">
        <v>1763</v>
      </c>
      <c r="I206" s="219" t="s">
        <v>1812</v>
      </c>
      <c r="J206" s="222" t="s">
        <v>1852</v>
      </c>
      <c r="K206" s="222" t="s">
        <v>1898</v>
      </c>
      <c r="L206" s="222" t="s">
        <v>1926</v>
      </c>
      <c r="M206" s="222" t="s">
        <v>1948</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2201</v>
      </c>
      <c r="B307" s="216"/>
      <c r="C307" s="216"/>
      <c r="D307" s="216"/>
      <c r="E307" s="216"/>
      <c r="F307" s="216"/>
      <c r="G307" s="216"/>
      <c r="H307" s="216"/>
      <c r="I307" s="216"/>
      <c r="J307" s="216"/>
      <c r="K307" s="216"/>
      <c r="L307" s="216"/>
      <c r="M307" s="216"/>
    </row>
    <row r="308" spans="1:13">
      <c r="A308" s="217" t="s">
        <v>2198</v>
      </c>
      <c r="B308" s="218" t="s">
        <v>1604</v>
      </c>
      <c r="C308" s="218" t="s">
        <v>1610</v>
      </c>
      <c r="D308" s="218" t="s">
        <v>1630</v>
      </c>
      <c r="E308" s="218" t="s">
        <v>1651</v>
      </c>
      <c r="F308" s="218" t="s">
        <v>1679</v>
      </c>
      <c r="G308" s="218" t="s">
        <v>1714</v>
      </c>
      <c r="H308" s="219" t="s">
        <v>1763</v>
      </c>
      <c r="I308" s="219" t="s">
        <v>1812</v>
      </c>
      <c r="J308" s="222" t="s">
        <v>1852</v>
      </c>
      <c r="K308" s="222" t="s">
        <v>1898</v>
      </c>
      <c r="L308" s="222" t="s">
        <v>1926</v>
      </c>
      <c r="M308" s="222" t="s">
        <v>1948</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099" t="s">
        <v>2202</v>
      </c>
      <c r="C1" s="3099"/>
      <c r="D1" s="3099"/>
      <c r="E1" s="3099"/>
      <c r="F1" s="3099"/>
      <c r="G1" s="3100" t="s">
        <v>2203</v>
      </c>
      <c r="H1" s="3100"/>
      <c r="I1" s="3100"/>
      <c r="J1" s="3100"/>
      <c r="K1" s="3100"/>
      <c r="L1" s="3100"/>
      <c r="N1" s="3100" t="s">
        <v>2204</v>
      </c>
      <c r="O1" s="3100"/>
      <c r="P1" s="3100"/>
      <c r="Q1" s="3100"/>
      <c r="R1" s="79"/>
      <c r="S1" s="3100" t="s">
        <v>2205</v>
      </c>
      <c r="T1" s="3100"/>
      <c r="U1" s="3100"/>
      <c r="V1" s="3100"/>
      <c r="X1" s="3101" t="s">
        <v>2206</v>
      </c>
      <c r="Y1" s="3100"/>
      <c r="Z1" s="3100"/>
      <c r="AA1" s="3100"/>
      <c r="AB1" s="3100"/>
      <c r="AD1" s="3101" t="s">
        <v>2207</v>
      </c>
      <c r="AE1" s="3100"/>
      <c r="AF1" s="3100"/>
      <c r="AG1" s="3100"/>
      <c r="AH1" s="3100"/>
    </row>
    <row r="2" spans="1:34" s="69" customFormat="1" ht="13.5">
      <c r="B2" s="80" t="s">
        <v>2208</v>
      </c>
      <c r="C2" s="80" t="s">
        <v>2209</v>
      </c>
      <c r="D2" s="81" t="s">
        <v>354</v>
      </c>
      <c r="E2" s="81" t="s">
        <v>403</v>
      </c>
      <c r="F2" s="80" t="s">
        <v>2210</v>
      </c>
      <c r="G2" s="82"/>
      <c r="H2" s="83"/>
      <c r="I2" s="80" t="s">
        <v>2208</v>
      </c>
      <c r="J2" s="81" t="s">
        <v>2211</v>
      </c>
      <c r="K2" s="81" t="s">
        <v>403</v>
      </c>
      <c r="L2" s="80" t="s">
        <v>2210</v>
      </c>
      <c r="N2" s="80" t="s">
        <v>2208</v>
      </c>
      <c r="O2" s="81" t="s">
        <v>2211</v>
      </c>
      <c r="P2" s="81" t="s">
        <v>403</v>
      </c>
      <c r="Q2" s="80" t="s">
        <v>2210</v>
      </c>
      <c r="R2" s="161"/>
      <c r="S2" s="80" t="s">
        <v>2208</v>
      </c>
      <c r="T2" s="81" t="s">
        <v>2211</v>
      </c>
      <c r="U2" s="81" t="s">
        <v>403</v>
      </c>
      <c r="V2" s="80" t="s">
        <v>2210</v>
      </c>
      <c r="X2" s="80" t="s">
        <v>2208</v>
      </c>
      <c r="Y2" s="80" t="s">
        <v>2209</v>
      </c>
      <c r="Z2" s="81" t="s">
        <v>354</v>
      </c>
      <c r="AA2" s="81" t="s">
        <v>403</v>
      </c>
      <c r="AB2" s="80" t="s">
        <v>2210</v>
      </c>
      <c r="AD2" s="80" t="s">
        <v>2208</v>
      </c>
      <c r="AE2" s="80" t="s">
        <v>2209</v>
      </c>
      <c r="AF2" s="81" t="s">
        <v>354</v>
      </c>
      <c r="AG2" s="81" t="s">
        <v>403</v>
      </c>
      <c r="AH2" s="80" t="s">
        <v>2210</v>
      </c>
    </row>
    <row r="3" spans="1:34" s="70" customFormat="1" ht="14.25">
      <c r="A3" s="84" t="s">
        <v>2212</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2213</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2214</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2215</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2216</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2217</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2218</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2219</v>
      </c>
      <c r="B10" s="99">
        <v>392</v>
      </c>
      <c r="C10" s="99">
        <v>302</v>
      </c>
      <c r="D10" s="99">
        <f t="shared" si="3"/>
        <v>302</v>
      </c>
      <c r="E10" s="99">
        <v>553</v>
      </c>
      <c r="F10" s="100">
        <v>266</v>
      </c>
      <c r="G10" s="3102">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2220</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03"/>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2221</v>
      </c>
      <c r="B12" s="102">
        <f t="shared" si="30"/>
        <v>360.06949782209392</v>
      </c>
      <c r="C12" s="102">
        <f t="shared" si="30"/>
        <v>289.84672674747821</v>
      </c>
      <c r="D12" s="102">
        <f t="shared" si="31"/>
        <v>289.84672674747821</v>
      </c>
      <c r="E12" s="102">
        <f t="shared" si="32"/>
        <v>501.06543001181495</v>
      </c>
      <c r="F12" s="102">
        <f t="shared" si="32"/>
        <v>256.82882500744967</v>
      </c>
      <c r="G12" s="3103"/>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2222</v>
      </c>
      <c r="B13" s="102">
        <f t="shared" si="30"/>
        <v>346.720748986128</v>
      </c>
      <c r="C13" s="102">
        <f t="shared" si="30"/>
        <v>284.30282172386285</v>
      </c>
      <c r="D13" s="102">
        <f t="shared" si="31"/>
        <v>284.30282172386285</v>
      </c>
      <c r="E13" s="102">
        <f t="shared" si="32"/>
        <v>479.58023546306947</v>
      </c>
      <c r="F13" s="102">
        <f t="shared" si="32"/>
        <v>253.25788877571213</v>
      </c>
      <c r="G13" s="3104"/>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2223</v>
      </c>
      <c r="B14" s="99">
        <v>333</v>
      </c>
      <c r="C14" s="99">
        <v>277</v>
      </c>
      <c r="D14" s="99">
        <f t="shared" si="31"/>
        <v>277</v>
      </c>
      <c r="E14" s="99">
        <v>459</v>
      </c>
      <c r="F14" s="100">
        <v>249</v>
      </c>
      <c r="G14" s="3105">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2224</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03"/>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2225</v>
      </c>
      <c r="B16" s="102">
        <f t="shared" si="34"/>
        <v>322.34053690220776</v>
      </c>
      <c r="C16" s="102">
        <f t="shared" si="34"/>
        <v>271.46160770422546</v>
      </c>
      <c r="D16" s="102">
        <f t="shared" si="31"/>
        <v>271.46160770422546</v>
      </c>
      <c r="E16" s="102">
        <f t="shared" si="35"/>
        <v>442.69434542172456</v>
      </c>
      <c r="F16" s="102">
        <f t="shared" si="35"/>
        <v>241.34030753190925</v>
      </c>
      <c r="G16" s="3103"/>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2226</v>
      </c>
      <c r="B17" s="102">
        <f t="shared" si="34"/>
        <v>319.87748030386797</v>
      </c>
      <c r="C17" s="102">
        <f t="shared" si="34"/>
        <v>269.60135833173649</v>
      </c>
      <c r="D17" s="102">
        <f t="shared" si="31"/>
        <v>269.60135833173649</v>
      </c>
      <c r="E17" s="102">
        <f t="shared" si="35"/>
        <v>439.18089823583784</v>
      </c>
      <c r="F17" s="102">
        <f t="shared" si="35"/>
        <v>239.23503918706311</v>
      </c>
      <c r="G17" s="3104"/>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2227</v>
      </c>
      <c r="B18" s="108">
        <v>318</v>
      </c>
      <c r="C18" s="108">
        <v>268</v>
      </c>
      <c r="D18" s="108">
        <f t="shared" si="31"/>
        <v>268</v>
      </c>
      <c r="E18" s="108">
        <v>437</v>
      </c>
      <c r="F18" s="109">
        <v>237</v>
      </c>
      <c r="G18" s="3105">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2228</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03"/>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2229</v>
      </c>
      <c r="B20" s="102">
        <f t="shared" si="36"/>
        <v>314.72141172386546</v>
      </c>
      <c r="C20" s="102">
        <f t="shared" si="36"/>
        <v>263.03901319069001</v>
      </c>
      <c r="D20" s="102">
        <f t="shared" si="31"/>
        <v>263.03901319069001</v>
      </c>
      <c r="E20" s="102">
        <f t="shared" si="37"/>
        <v>433.65745506782821</v>
      </c>
      <c r="F20" s="102">
        <f t="shared" si="37"/>
        <v>233.23005080045735</v>
      </c>
      <c r="G20" s="3103"/>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2230</v>
      </c>
      <c r="B21" s="112">
        <f t="shared" si="36"/>
        <v>307.34512863658733</v>
      </c>
      <c r="C21" s="112">
        <f t="shared" si="36"/>
        <v>257.80556031626975</v>
      </c>
      <c r="D21" s="112">
        <f t="shared" si="31"/>
        <v>257.80556031626975</v>
      </c>
      <c r="E21" s="112">
        <f t="shared" si="37"/>
        <v>422.70928459677179</v>
      </c>
      <c r="F21" s="112">
        <f t="shared" si="37"/>
        <v>229.73803270336617</v>
      </c>
      <c r="G21" s="3104"/>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2231</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2232</v>
      </c>
      <c r="B22" s="99">
        <v>299</v>
      </c>
      <c r="C22" s="99">
        <v>252</v>
      </c>
      <c r="D22" s="99">
        <f t="shared" si="31"/>
        <v>252</v>
      </c>
      <c r="E22" s="99">
        <v>409</v>
      </c>
      <c r="F22" s="100">
        <v>227</v>
      </c>
      <c r="G22" s="3106">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2233</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07"/>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2234</v>
      </c>
      <c r="B24" s="102">
        <f t="shared" si="40"/>
        <v>288.2649053828776</v>
      </c>
      <c r="C24" s="102">
        <f t="shared" si="40"/>
        <v>243.64564425013293</v>
      </c>
      <c r="D24" s="102">
        <f t="shared" si="31"/>
        <v>243.64564425013293</v>
      </c>
      <c r="E24" s="102">
        <f t="shared" si="41"/>
        <v>393.31080825986544</v>
      </c>
      <c r="F24" s="102">
        <f t="shared" si="41"/>
        <v>223.07903790551154</v>
      </c>
      <c r="G24" s="3107"/>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2235</v>
      </c>
      <c r="B25" s="102">
        <f t="shared" si="40"/>
        <v>282.50186729015837</v>
      </c>
      <c r="C25" s="102">
        <f t="shared" si="40"/>
        <v>238.09796174155468</v>
      </c>
      <c r="D25" s="102">
        <f t="shared" si="31"/>
        <v>238.09796174155468</v>
      </c>
      <c r="E25" s="102">
        <f t="shared" si="41"/>
        <v>385.33438646014054</v>
      </c>
      <c r="F25" s="102">
        <f t="shared" si="41"/>
        <v>221.55034055567739</v>
      </c>
      <c r="G25" s="3108"/>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2236</v>
      </c>
      <c r="B26" s="115">
        <v>278</v>
      </c>
      <c r="C26" s="115">
        <v>234</v>
      </c>
      <c r="D26" s="115">
        <f t="shared" si="31"/>
        <v>234</v>
      </c>
      <c r="E26" s="115">
        <v>379</v>
      </c>
      <c r="F26" s="116">
        <v>220</v>
      </c>
      <c r="G26" s="3105">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2237</v>
      </c>
      <c r="B27" s="102">
        <f>B26/(1+N26)</f>
        <v>275.49301357645425</v>
      </c>
      <c r="C27" s="102">
        <f>C26/(1+O26)</f>
        <v>232.41954707985698</v>
      </c>
      <c r="D27" s="102">
        <f t="shared" si="31"/>
        <v>232.41954707985698</v>
      </c>
      <c r="E27" s="102">
        <f t="shared" ref="E27:F29" si="42">E26/(1+P26)</f>
        <v>375.32184591008121</v>
      </c>
      <c r="F27" s="102">
        <f t="shared" si="42"/>
        <v>218.03766105054513</v>
      </c>
      <c r="G27" s="3103"/>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2238</v>
      </c>
      <c r="B28" s="102">
        <f>B27/(1+N27)</f>
        <v>275.24529281292263</v>
      </c>
      <c r="C28" s="102">
        <f>C27/(1+O27)</f>
        <v>231.74747938962707</v>
      </c>
      <c r="D28" s="102">
        <f t="shared" si="31"/>
        <v>231.74747938962707</v>
      </c>
      <c r="E28" s="102">
        <f t="shared" si="42"/>
        <v>375.35938184826603</v>
      </c>
      <c r="F28" s="102">
        <f t="shared" si="42"/>
        <v>216.78033510692495</v>
      </c>
      <c r="G28" s="3103"/>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2239</v>
      </c>
      <c r="B29" s="102">
        <f>B28/(1+N28)</f>
        <v>275.19025476197027</v>
      </c>
      <c r="C29" s="117">
        <v>232</v>
      </c>
      <c r="D29" s="117">
        <f t="shared" si="31"/>
        <v>232</v>
      </c>
      <c r="E29" s="102">
        <f t="shared" si="42"/>
        <v>375.65990977608692</v>
      </c>
      <c r="F29" s="102">
        <f t="shared" si="42"/>
        <v>214.12518283971252</v>
      </c>
      <c r="G29" s="3104"/>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2240</v>
      </c>
      <c r="B30" s="99">
        <v>275</v>
      </c>
      <c r="C30" s="99">
        <v>232</v>
      </c>
      <c r="D30" s="99">
        <f t="shared" si="31"/>
        <v>232</v>
      </c>
      <c r="E30" s="99">
        <v>376</v>
      </c>
      <c r="F30" s="100">
        <v>213</v>
      </c>
      <c r="G30" s="3105">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2241</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03">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2242</v>
      </c>
      <c r="B32" s="102">
        <f t="shared" si="43"/>
        <v>275.19335084830601</v>
      </c>
      <c r="C32" s="102">
        <f t="shared" si="43"/>
        <v>230.18088050139744</v>
      </c>
      <c r="D32" s="102">
        <f t="shared" si="31"/>
        <v>230.18088050139744</v>
      </c>
      <c r="E32" s="102">
        <f t="shared" si="44"/>
        <v>377.58482925212331</v>
      </c>
      <c r="F32" s="102">
        <f t="shared" si="44"/>
        <v>210.90687997847917</v>
      </c>
      <c r="G32" s="3103">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2243</v>
      </c>
      <c r="B33" s="102">
        <f t="shared" si="43"/>
        <v>276.29854502841971</v>
      </c>
      <c r="C33" s="102">
        <f t="shared" si="43"/>
        <v>229.79023709833027</v>
      </c>
      <c r="D33" s="102">
        <f t="shared" si="31"/>
        <v>229.79023709833027</v>
      </c>
      <c r="E33" s="102">
        <f t="shared" si="44"/>
        <v>379.78759731655936</v>
      </c>
      <c r="F33" s="102">
        <f t="shared" si="44"/>
        <v>211.32953905659235</v>
      </c>
      <c r="G33" s="3104">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2244</v>
      </c>
      <c r="B34" s="99">
        <v>269</v>
      </c>
      <c r="C34" s="99">
        <v>221</v>
      </c>
      <c r="D34" s="99">
        <f t="shared" si="31"/>
        <v>221</v>
      </c>
      <c r="E34" s="99">
        <v>373</v>
      </c>
      <c r="F34" s="100">
        <v>196</v>
      </c>
      <c r="G34" s="3105">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2245</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03">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2246</v>
      </c>
      <c r="B36" s="102">
        <f t="shared" si="45"/>
        <v>242.95398227588385</v>
      </c>
      <c r="C36" s="102">
        <f t="shared" si="45"/>
        <v>199.59137053614126</v>
      </c>
      <c r="D36" s="102">
        <f t="shared" si="31"/>
        <v>199.59137053614126</v>
      </c>
      <c r="E36" s="102">
        <f t="shared" si="46"/>
        <v>335.92189522342125</v>
      </c>
      <c r="F36" s="102">
        <f t="shared" si="46"/>
        <v>183.10139991109489</v>
      </c>
      <c r="G36" s="3103">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2247</v>
      </c>
      <c r="B37" s="102">
        <f t="shared" si="45"/>
        <v>232.06990378821649</v>
      </c>
      <c r="C37" s="102">
        <f t="shared" si="45"/>
        <v>192.74878854286936</v>
      </c>
      <c r="D37" s="102">
        <f t="shared" si="31"/>
        <v>192.74878854286936</v>
      </c>
      <c r="E37" s="102">
        <f t="shared" si="46"/>
        <v>319.71247284992984</v>
      </c>
      <c r="F37" s="102">
        <f t="shared" si="46"/>
        <v>175.67053622862409</v>
      </c>
      <c r="G37" s="3104">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2248</v>
      </c>
      <c r="B38" s="99">
        <v>220</v>
      </c>
      <c r="C38" s="99">
        <v>187</v>
      </c>
      <c r="D38" s="99">
        <f t="shared" si="31"/>
        <v>187</v>
      </c>
      <c r="E38" s="99">
        <v>301</v>
      </c>
      <c r="F38" s="100">
        <v>168</v>
      </c>
      <c r="G38" s="3105">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2249</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03">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2250</v>
      </c>
      <c r="B40" s="102">
        <f t="shared" si="47"/>
        <v>210.630522469011</v>
      </c>
      <c r="C40" s="102">
        <f t="shared" si="47"/>
        <v>181.69567812247232</v>
      </c>
      <c r="D40" s="102">
        <f t="shared" si="31"/>
        <v>181.69567812247232</v>
      </c>
      <c r="E40" s="102">
        <f t="shared" si="48"/>
        <v>286.13517466736738</v>
      </c>
      <c r="F40" s="102">
        <f t="shared" si="48"/>
        <v>165.47535084591149</v>
      </c>
      <c r="G40" s="3103">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2251</v>
      </c>
      <c r="B41" s="102">
        <f t="shared" si="47"/>
        <v>208.83454537875372</v>
      </c>
      <c r="C41" s="102">
        <f t="shared" si="47"/>
        <v>183.77230517090351</v>
      </c>
      <c r="D41" s="102">
        <f t="shared" si="31"/>
        <v>183.77230517090351</v>
      </c>
      <c r="E41" s="102">
        <f t="shared" si="48"/>
        <v>281.10342338870947</v>
      </c>
      <c r="F41" s="102">
        <f t="shared" si="48"/>
        <v>168.97309388942256</v>
      </c>
      <c r="G41" s="3104">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2252</v>
      </c>
      <c r="B42" s="115">
        <v>214</v>
      </c>
      <c r="C42" s="115">
        <v>188</v>
      </c>
      <c r="D42" s="115">
        <f t="shared" si="31"/>
        <v>188</v>
      </c>
      <c r="E42" s="115">
        <v>289</v>
      </c>
      <c r="F42" s="116">
        <v>166</v>
      </c>
      <c r="G42" s="3105">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2253</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03">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2254</v>
      </c>
      <c r="B44" s="102">
        <f t="shared" si="49"/>
        <v>206.31694671589116</v>
      </c>
      <c r="C44" s="102">
        <f t="shared" si="49"/>
        <v>183.61041121036101</v>
      </c>
      <c r="D44" s="102">
        <f t="shared" si="31"/>
        <v>183.61041121036101</v>
      </c>
      <c r="E44" s="102">
        <f t="shared" si="50"/>
        <v>276.66850301795557</v>
      </c>
      <c r="F44" s="102">
        <f t="shared" si="50"/>
        <v>165.1360938278614</v>
      </c>
      <c r="G44" s="3103">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2255</v>
      </c>
      <c r="B45" s="118">
        <f t="shared" si="49"/>
        <v>196.62341248059772</v>
      </c>
      <c r="C45" s="118">
        <f t="shared" si="49"/>
        <v>170.99125648199012</v>
      </c>
      <c r="D45" s="118">
        <f t="shared" si="31"/>
        <v>170.99125648199012</v>
      </c>
      <c r="E45" s="118">
        <f t="shared" si="50"/>
        <v>266.07857570490052</v>
      </c>
      <c r="F45" s="118">
        <f t="shared" si="50"/>
        <v>154.53499328828505</v>
      </c>
      <c r="G45" s="3104">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2256</v>
      </c>
      <c r="B46" s="99">
        <v>188</v>
      </c>
      <c r="C46" s="99">
        <v>165</v>
      </c>
      <c r="D46" s="99">
        <f t="shared" si="31"/>
        <v>165</v>
      </c>
      <c r="E46" s="99">
        <v>254</v>
      </c>
      <c r="F46" s="100">
        <v>148</v>
      </c>
      <c r="G46" s="3105">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2257</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03">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2258</v>
      </c>
      <c r="B48" s="102">
        <f t="shared" si="53"/>
        <v>168.82017748715555</v>
      </c>
      <c r="C48" s="102">
        <f t="shared" si="53"/>
        <v>148.06267029972753</v>
      </c>
      <c r="D48" s="102">
        <f t="shared" si="31"/>
        <v>148.06267029972753</v>
      </c>
      <c r="E48" s="102">
        <f t="shared" si="54"/>
        <v>216.46288379323747</v>
      </c>
      <c r="F48" s="102">
        <f t="shared" si="54"/>
        <v>134.23529411764704</v>
      </c>
      <c r="G48" s="3103">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2259</v>
      </c>
      <c r="B49" s="102">
        <f t="shared" si="53"/>
        <v>163.84913591779542</v>
      </c>
      <c r="C49" s="102">
        <f t="shared" si="53"/>
        <v>145.0283378746594</v>
      </c>
      <c r="D49" s="102">
        <f t="shared" si="31"/>
        <v>145.0283378746594</v>
      </c>
      <c r="E49" s="102">
        <f t="shared" si="54"/>
        <v>204.95180722891567</v>
      </c>
      <c r="F49" s="102">
        <f t="shared" si="54"/>
        <v>125.95920303605313</v>
      </c>
      <c r="G49" s="3104">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2260</v>
      </c>
      <c r="B50" s="108">
        <v>159</v>
      </c>
      <c r="C50" s="108">
        <v>141</v>
      </c>
      <c r="D50" s="108">
        <f t="shared" si="31"/>
        <v>141</v>
      </c>
      <c r="E50" s="108">
        <v>195</v>
      </c>
      <c r="F50" s="109">
        <v>122</v>
      </c>
      <c r="G50" s="3105">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2261</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03">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2262</v>
      </c>
      <c r="B52" s="102">
        <f t="shared" si="57"/>
        <v>146.57412060301507</v>
      </c>
      <c r="C52" s="102">
        <f t="shared" si="57"/>
        <v>136.46831955922866</v>
      </c>
      <c r="D52" s="102">
        <f t="shared" si="31"/>
        <v>136.46831955922866</v>
      </c>
      <c r="E52" s="102">
        <f t="shared" si="58"/>
        <v>166.73864894795128</v>
      </c>
      <c r="F52" s="102">
        <f t="shared" si="58"/>
        <v>115.05882352941177</v>
      </c>
      <c r="G52" s="3103">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2263</v>
      </c>
      <c r="B53" s="102">
        <f t="shared" si="57"/>
        <v>144.04145728643215</v>
      </c>
      <c r="C53" s="102">
        <f t="shared" si="57"/>
        <v>136.12396694214877</v>
      </c>
      <c r="D53" s="102">
        <f t="shared" si="31"/>
        <v>136.12396694214877</v>
      </c>
      <c r="E53" s="102">
        <f t="shared" si="58"/>
        <v>158.32225913621264</v>
      </c>
      <c r="F53" s="102">
        <f t="shared" si="58"/>
        <v>114.04278074866311</v>
      </c>
      <c r="G53" s="3104">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2264</v>
      </c>
      <c r="B54" s="108">
        <v>138</v>
      </c>
      <c r="C54" s="108">
        <v>131</v>
      </c>
      <c r="D54" s="108">
        <f t="shared" si="31"/>
        <v>131</v>
      </c>
      <c r="E54" s="108">
        <v>155</v>
      </c>
      <c r="F54" s="109">
        <v>114</v>
      </c>
      <c r="G54" s="3105">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2265</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03">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2266</v>
      </c>
      <c r="B56" s="102">
        <f t="shared" si="61"/>
        <v>124.29032258064517</v>
      </c>
      <c r="C56" s="102">
        <f t="shared" si="61"/>
        <v>123.8968609865471</v>
      </c>
      <c r="D56" s="102">
        <f t="shared" si="31"/>
        <v>123.8968609865471</v>
      </c>
      <c r="E56" s="102">
        <f t="shared" si="62"/>
        <v>138.00507614213197</v>
      </c>
      <c r="F56" s="102">
        <f t="shared" si="62"/>
        <v>107.96106557377048</v>
      </c>
      <c r="G56" s="3103">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2267</v>
      </c>
      <c r="B57" s="102">
        <f t="shared" si="61"/>
        <v>122.57204301075269</v>
      </c>
      <c r="C57" s="102">
        <f t="shared" si="61"/>
        <v>123.4932735426009</v>
      </c>
      <c r="D57" s="102">
        <f t="shared" si="31"/>
        <v>123.4932735426009</v>
      </c>
      <c r="E57" s="102">
        <f t="shared" si="62"/>
        <v>129.82233502538071</v>
      </c>
      <c r="F57" s="102">
        <f t="shared" si="62"/>
        <v>107.39446721311475</v>
      </c>
      <c r="G57" s="3104">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2268</v>
      </c>
      <c r="B58" s="115">
        <v>121</v>
      </c>
      <c r="C58" s="115">
        <v>122</v>
      </c>
      <c r="D58" s="115">
        <f t="shared" si="31"/>
        <v>122</v>
      </c>
      <c r="E58" s="115">
        <v>124</v>
      </c>
      <c r="F58" s="116">
        <v>107</v>
      </c>
      <c r="G58" s="3105">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2269</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03">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2270</v>
      </c>
      <c r="B60" s="102">
        <f t="shared" si="65"/>
        <v>116.99099099099099</v>
      </c>
      <c r="C60" s="102">
        <f t="shared" si="65"/>
        <v>118.84848484848486</v>
      </c>
      <c r="D60" s="102">
        <f t="shared" si="31"/>
        <v>118.84848484848486</v>
      </c>
      <c r="E60" s="102">
        <f t="shared" si="66"/>
        <v>117.60960960960961</v>
      </c>
      <c r="F60" s="102">
        <f t="shared" si="66"/>
        <v>104</v>
      </c>
      <c r="G60" s="3103">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2271</v>
      </c>
      <c r="B61" s="118">
        <f t="shared" si="65"/>
        <v>112.48648648648648</v>
      </c>
      <c r="C61" s="118">
        <f t="shared" si="65"/>
        <v>115.21212121212122</v>
      </c>
      <c r="D61" s="118">
        <f t="shared" si="31"/>
        <v>115.21212121212122</v>
      </c>
      <c r="E61" s="118">
        <f t="shared" si="66"/>
        <v>110.4024024024024</v>
      </c>
      <c r="F61" s="118">
        <f t="shared" si="66"/>
        <v>104</v>
      </c>
      <c r="G61" s="3104">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2272</v>
      </c>
      <c r="B62" s="121">
        <v>111</v>
      </c>
      <c r="C62" s="121">
        <v>114</v>
      </c>
      <c r="D62" s="121">
        <f t="shared" si="31"/>
        <v>114</v>
      </c>
      <c r="E62" s="121">
        <v>108</v>
      </c>
      <c r="F62" s="122">
        <v>104</v>
      </c>
      <c r="G62" s="3105">
        <v>2003</v>
      </c>
      <c r="H62" s="120">
        <v>4</v>
      </c>
      <c r="I62" s="159"/>
      <c r="J62" s="159"/>
      <c r="K62" s="159"/>
      <c r="L62" s="159"/>
      <c r="N62" s="160"/>
      <c r="O62" s="159"/>
      <c r="P62" s="159"/>
      <c r="Q62" s="159"/>
      <c r="S62" s="160"/>
      <c r="T62" s="159"/>
      <c r="U62" s="159"/>
      <c r="V62" s="159"/>
      <c r="X62" s="183"/>
      <c r="Y62" s="183"/>
      <c r="Z62" s="183"/>
    </row>
    <row r="63" spans="1:26">
      <c r="A63" s="98" t="s">
        <v>2273</v>
      </c>
      <c r="B63" s="123">
        <f t="shared" ref="B63:C65" si="67">B64+(B$62-B$66)/4</f>
        <v>109.75</v>
      </c>
      <c r="C63" s="123">
        <f t="shared" si="67"/>
        <v>112.25</v>
      </c>
      <c r="D63" s="123">
        <f t="shared" si="31"/>
        <v>112.25</v>
      </c>
      <c r="E63" s="123">
        <f t="shared" ref="E63:F65" si="68">E64+(E$62-E$66)/4</f>
        <v>107.25</v>
      </c>
      <c r="F63" s="123">
        <f t="shared" si="68"/>
        <v>103.5</v>
      </c>
      <c r="G63" s="3103">
        <v>2003</v>
      </c>
      <c r="H63" s="107">
        <v>3</v>
      </c>
      <c r="I63" s="159"/>
      <c r="J63" s="159"/>
      <c r="K63" s="159"/>
      <c r="L63" s="159"/>
      <c r="X63" s="183"/>
      <c r="Y63" s="183"/>
      <c r="Z63" s="183"/>
    </row>
    <row r="64" spans="1:26">
      <c r="A64" s="98" t="s">
        <v>2274</v>
      </c>
      <c r="B64" s="123">
        <f t="shared" si="67"/>
        <v>108.5</v>
      </c>
      <c r="C64" s="123">
        <f t="shared" si="67"/>
        <v>110.5</v>
      </c>
      <c r="D64" s="123">
        <f t="shared" si="31"/>
        <v>110.5</v>
      </c>
      <c r="E64" s="123">
        <f t="shared" si="68"/>
        <v>106.5</v>
      </c>
      <c r="F64" s="123">
        <f t="shared" si="68"/>
        <v>103</v>
      </c>
      <c r="G64" s="3103">
        <v>2003</v>
      </c>
      <c r="H64" s="105">
        <v>2</v>
      </c>
      <c r="I64" s="159"/>
      <c r="J64" s="159"/>
      <c r="K64" s="159"/>
      <c r="L64" s="159"/>
      <c r="X64" s="183"/>
      <c r="Y64" s="183"/>
      <c r="Z64" s="183"/>
    </row>
    <row r="65" spans="1:26">
      <c r="A65" s="98" t="s">
        <v>2275</v>
      </c>
      <c r="B65" s="123">
        <f t="shared" si="67"/>
        <v>107.25</v>
      </c>
      <c r="C65" s="123">
        <f t="shared" si="67"/>
        <v>108.75</v>
      </c>
      <c r="D65" s="123">
        <f t="shared" si="31"/>
        <v>108.75</v>
      </c>
      <c r="E65" s="123">
        <f t="shared" si="68"/>
        <v>105.75</v>
      </c>
      <c r="F65" s="123">
        <f t="shared" si="68"/>
        <v>102.5</v>
      </c>
      <c r="G65" s="3104">
        <v>2003</v>
      </c>
      <c r="H65" s="190">
        <v>1</v>
      </c>
      <c r="I65" s="159"/>
      <c r="J65" s="159"/>
      <c r="K65" s="159"/>
      <c r="L65" s="159"/>
      <c r="S65" s="133"/>
      <c r="T65" s="134"/>
      <c r="U65" s="134"/>
      <c r="X65" s="183"/>
      <c r="Y65" s="183"/>
      <c r="Z65" s="183"/>
    </row>
    <row r="66" spans="1:26">
      <c r="A66" s="98" t="s">
        <v>2276</v>
      </c>
      <c r="B66" s="191">
        <v>106</v>
      </c>
      <c r="C66" s="191">
        <v>107</v>
      </c>
      <c r="D66" s="191">
        <f t="shared" si="31"/>
        <v>107</v>
      </c>
      <c r="E66" s="191">
        <v>105</v>
      </c>
      <c r="F66" s="192">
        <v>102</v>
      </c>
      <c r="G66" s="3105">
        <v>2002</v>
      </c>
      <c r="H66" s="106">
        <v>4</v>
      </c>
      <c r="I66" s="159"/>
      <c r="J66" s="159"/>
      <c r="K66" s="159"/>
      <c r="L66" s="159"/>
      <c r="N66" s="160"/>
      <c r="O66" s="159"/>
      <c r="P66" s="159"/>
      <c r="Q66" s="159"/>
      <c r="S66" s="160"/>
      <c r="T66" s="159"/>
      <c r="U66" s="159"/>
      <c r="V66" s="159"/>
      <c r="X66" s="183"/>
      <c r="Y66" s="183"/>
      <c r="Z66" s="183"/>
    </row>
    <row r="67" spans="1:26">
      <c r="A67" s="98" t="s">
        <v>2277</v>
      </c>
      <c r="B67" s="123">
        <f t="shared" ref="B67:C69" si="69">B68+(B$66-B$70)/4</f>
        <v>105</v>
      </c>
      <c r="C67" s="123">
        <f t="shared" si="69"/>
        <v>106</v>
      </c>
      <c r="D67" s="123">
        <f t="shared" si="31"/>
        <v>106</v>
      </c>
      <c r="E67" s="123">
        <f t="shared" ref="E67:F69" si="70">E68+(E$66-E$70)/4</f>
        <v>104.5</v>
      </c>
      <c r="F67" s="123">
        <f t="shared" si="70"/>
        <v>101.5</v>
      </c>
      <c r="G67" s="3103">
        <v>2002</v>
      </c>
      <c r="H67" s="107">
        <v>3</v>
      </c>
      <c r="I67" s="159"/>
      <c r="J67" s="159"/>
      <c r="K67" s="159"/>
      <c r="L67" s="159"/>
      <c r="X67" s="183"/>
      <c r="Y67" s="183"/>
      <c r="Z67" s="183"/>
    </row>
    <row r="68" spans="1:26">
      <c r="A68" s="98" t="s">
        <v>2278</v>
      </c>
      <c r="B68" s="123">
        <f t="shared" si="69"/>
        <v>104</v>
      </c>
      <c r="C68" s="123">
        <f t="shared" si="69"/>
        <v>105</v>
      </c>
      <c r="D68" s="123">
        <f t="shared" si="31"/>
        <v>105</v>
      </c>
      <c r="E68" s="123">
        <f t="shared" si="70"/>
        <v>104</v>
      </c>
      <c r="F68" s="123">
        <f t="shared" si="70"/>
        <v>101</v>
      </c>
      <c r="G68" s="3103">
        <v>2002</v>
      </c>
      <c r="H68" s="105">
        <v>2</v>
      </c>
      <c r="I68" s="159"/>
      <c r="J68" s="159"/>
      <c r="K68" s="159"/>
      <c r="L68" s="159"/>
      <c r="X68" s="183"/>
      <c r="Y68" s="183"/>
      <c r="Z68" s="183"/>
    </row>
    <row r="69" spans="1:26" s="74" customFormat="1">
      <c r="A69" s="111" t="s">
        <v>2279</v>
      </c>
      <c r="B69" s="193">
        <f t="shared" si="69"/>
        <v>103</v>
      </c>
      <c r="C69" s="193">
        <f t="shared" si="69"/>
        <v>104</v>
      </c>
      <c r="D69" s="193">
        <f t="shared" si="31"/>
        <v>104</v>
      </c>
      <c r="E69" s="193">
        <f t="shared" si="70"/>
        <v>103.5</v>
      </c>
      <c r="F69" s="193">
        <f t="shared" si="70"/>
        <v>100.5</v>
      </c>
      <c r="G69" s="3104">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2280</v>
      </c>
      <c r="G72" s="199"/>
      <c r="N72" s="199"/>
      <c r="S72" s="199"/>
    </row>
    <row r="73" spans="1:26" s="76" customFormat="1">
      <c r="A73" s="76" t="s">
        <v>2281</v>
      </c>
      <c r="G73" s="199"/>
      <c r="N73" s="199"/>
      <c r="S73" s="199"/>
    </row>
    <row r="74" spans="1:26" s="76" customFormat="1">
      <c r="A74" s="76" t="s">
        <v>2282</v>
      </c>
      <c r="G74" s="199"/>
      <c r="I74" s="202"/>
      <c r="J74" s="202"/>
      <c r="K74" s="202"/>
      <c r="L74" s="202"/>
      <c r="N74" s="203"/>
      <c r="O74" s="202"/>
      <c r="P74" s="202"/>
      <c r="Q74" s="202"/>
      <c r="S74" s="203"/>
      <c r="T74" s="202"/>
      <c r="U74" s="202"/>
      <c r="V74" s="202"/>
    </row>
    <row r="75" spans="1:26" s="76" customFormat="1">
      <c r="A75" s="76" t="s">
        <v>2283</v>
      </c>
      <c r="G75" s="199"/>
      <c r="N75" s="199"/>
      <c r="S75" s="199"/>
    </row>
    <row r="83" spans="7:22">
      <c r="G83" s="77"/>
      <c r="S83" s="205" t="s">
        <v>2284</v>
      </c>
      <c r="T83" s="206" t="s">
        <v>2285</v>
      </c>
      <c r="U83" s="206" t="s">
        <v>2286</v>
      </c>
      <c r="V83" s="206" t="s">
        <v>2287</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2288</v>
      </c>
      <c r="C1" s="7">
        <f>项目基本情况!D2</f>
        <v>43199</v>
      </c>
      <c r="D1" s="6" t="s">
        <v>2289</v>
      </c>
      <c r="E1" s="8">
        <f>'数据-取费表'!B23</f>
        <v>2</v>
      </c>
      <c r="F1" s="6" t="s">
        <v>2290</v>
      </c>
      <c r="G1" s="9">
        <f ca="1">INDIRECT("d"&amp;$K$1)/100</f>
        <v>4.7500000000000001E-2</v>
      </c>
      <c r="H1" s="6" t="s">
        <v>2291</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2290</v>
      </c>
      <c r="E2" s="10"/>
      <c r="F2" s="10" t="s">
        <v>2292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2293</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2294</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2297</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2299</v>
      </c>
      <c r="C10" s="34"/>
      <c r="D10" s="34"/>
      <c r="E10" s="34"/>
      <c r="F10" s="34"/>
      <c r="G10" s="34"/>
      <c r="H10" s="34"/>
      <c r="I10" s="2"/>
      <c r="J10" s="2"/>
      <c r="K10" s="34"/>
      <c r="L10" s="35" t="s">
        <v>2300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2301</v>
      </c>
      <c r="C11" s="38" t="s">
        <v>2302</v>
      </c>
      <c r="D11" s="39" t="s">
        <v>2303</v>
      </c>
      <c r="E11" s="40"/>
      <c r="F11" s="39" t="s">
        <v>2304</v>
      </c>
      <c r="G11" s="41"/>
      <c r="H11" s="40"/>
      <c r="I11" s="39" t="s">
        <v>2305</v>
      </c>
      <c r="J11" s="40"/>
      <c r="K11" s="36"/>
      <c r="L11" s="37" t="s">
        <v>2301</v>
      </c>
      <c r="M11" s="38" t="s">
        <v>2302</v>
      </c>
      <c r="N11" s="37" t="s">
        <v>2306</v>
      </c>
      <c r="O11" s="39" t="s">
        <v>2307</v>
      </c>
      <c r="P11" s="41"/>
      <c r="Q11" s="41"/>
      <c r="R11" s="41"/>
      <c r="S11" s="41"/>
      <c r="T11" s="40"/>
      <c r="U11" s="39" t="s">
        <v>2308</v>
      </c>
      <c r="V11" s="41"/>
      <c r="W11" s="40"/>
      <c r="X11" s="37" t="s">
        <v>2309</v>
      </c>
      <c r="Y11" s="37" t="s">
        <v>2310</v>
      </c>
      <c r="Z11" s="37" t="s">
        <v>2311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2312</v>
      </c>
      <c r="E12" s="45" t="s">
        <v>2294</v>
      </c>
      <c r="F12" s="45" t="s">
        <v>2295</v>
      </c>
      <c r="G12" s="45" t="s">
        <v>2296</v>
      </c>
      <c r="H12" s="45" t="s">
        <v>2297</v>
      </c>
      <c r="I12" s="56" t="s">
        <v>2313</v>
      </c>
      <c r="J12" s="56" t="s">
        <v>2313</v>
      </c>
      <c r="K12" s="42"/>
      <c r="L12" s="43"/>
      <c r="M12" s="44"/>
      <c r="N12" s="43"/>
      <c r="O12" s="56" t="s">
        <v>2314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2315</v>
      </c>
      <c r="C13" s="48">
        <v>42301</v>
      </c>
      <c r="D13" s="49">
        <v>4.3499999999999996</v>
      </c>
      <c r="E13" s="49">
        <v>4.3499999999999996</v>
      </c>
      <c r="F13" s="49">
        <v>4.75</v>
      </c>
      <c r="G13" s="49">
        <v>4.75</v>
      </c>
      <c r="H13" s="49">
        <v>4.9000000000000004</v>
      </c>
      <c r="I13" s="49">
        <v>2.75</v>
      </c>
      <c r="J13" s="49">
        <v>3.25</v>
      </c>
      <c r="K13" s="46"/>
      <c r="L13" s="47" t="s">
        <v>2315</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2316</v>
      </c>
      <c r="Y42" s="50" t="s">
        <v>2316</v>
      </c>
      <c r="Z42" s="50" t="s">
        <v>2316</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2316</v>
      </c>
      <c r="Y43" s="50" t="s">
        <v>2316</v>
      </c>
      <c r="Z43" s="50" t="s">
        <v>2316</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2316</v>
      </c>
      <c r="Y44" s="50" t="s">
        <v>2316</v>
      </c>
      <c r="Z44" s="50" t="s">
        <v>2316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2316</v>
      </c>
      <c r="Y45" s="50" t="s">
        <v>2316</v>
      </c>
      <c r="Z45" s="50" t="s">
        <v>2316</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2316</v>
      </c>
      <c r="Y46" s="50" t="s">
        <v>2316</v>
      </c>
      <c r="Z46" s="50" t="s">
        <v>2316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2316</v>
      </c>
      <c r="Y47" s="50" t="s">
        <v>2316</v>
      </c>
      <c r="Z47" s="50" t="s">
        <v>2316</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2316</v>
      </c>
      <c r="Y48" s="50" t="s">
        <v>2316</v>
      </c>
      <c r="Z48" s="50" t="s">
        <v>2316</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2316</v>
      </c>
      <c r="Y49" s="50" t="s">
        <v>2316</v>
      </c>
      <c r="Z49" s="50" t="s">
        <v>2316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2316</v>
      </c>
      <c r="Y50" s="50" t="s">
        <v>2316</v>
      </c>
      <c r="Z50" s="50" t="s">
        <v>2316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2316</v>
      </c>
      <c r="V51" s="50" t="s">
        <v>2316</v>
      </c>
      <c r="W51" s="50" t="s">
        <v>2316</v>
      </c>
      <c r="X51" s="50" t="s">
        <v>2316</v>
      </c>
      <c r="Y51" s="50" t="s">
        <v>2316</v>
      </c>
      <c r="Z51" s="50" t="s">
        <v>2316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2316</v>
      </c>
      <c r="J55" s="50" t="s">
        <v>2316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50" customWidth="1"/>
    <col min="2" max="2" width="37.875" style="2650" customWidth="1"/>
    <col min="3" max="3" width="16.125" style="2650" customWidth="1"/>
    <col min="4" max="4" width="22.25" style="2650" customWidth="1"/>
    <col min="5" max="5" width="4.125" style="2650" customWidth="1"/>
    <col min="6" max="7" width="13" style="2650" customWidth="1"/>
    <col min="8" max="16384" width="9" style="2650"/>
  </cols>
  <sheetData>
    <row r="1" spans="1:5" ht="18.75">
      <c r="A1" s="2651" t="s">
        <v>86</v>
      </c>
      <c r="B1" s="2652"/>
      <c r="C1" s="2652"/>
      <c r="D1" s="2652"/>
      <c r="E1" s="2652"/>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2653"/>
      <c r="B3" s="2653"/>
      <c r="C3" s="2653"/>
      <c r="D3" s="2653"/>
      <c r="E3" s="2653"/>
    </row>
    <row r="4" spans="1:5" ht="18.75">
      <c r="A4" s="2760" t="str">
        <f>IF(项目基本情况!D5="房地产市场价值","估价结果一览表（市场价值不需本页表格)","估价结果一览表")</f>
        <v>估价结果一览表</v>
      </c>
      <c r="B4" s="2760"/>
      <c r="C4" s="2760"/>
      <c r="D4" s="2760"/>
      <c r="E4" s="2760"/>
    </row>
    <row r="5" spans="1:5" ht="14.25" customHeight="1">
      <c r="A5" s="2652"/>
      <c r="B5" s="2654" t="s">
        <v>87</v>
      </c>
      <c r="C5" s="2761" t="s">
        <v>88</v>
      </c>
      <c r="D5" s="2762"/>
      <c r="E5" s="2652"/>
    </row>
    <row r="6" spans="1:5" ht="14.25">
      <c r="A6" s="2652"/>
      <c r="B6" s="2655" t="str">
        <f>项目基本情况!I1</f>
        <v>北京市房地产</v>
      </c>
      <c r="C6" s="2763">
        <f>项目基本情况!C12</f>
        <v>95.95</v>
      </c>
      <c r="D6" s="2763"/>
      <c r="E6" s="2652"/>
    </row>
    <row r="7" spans="1:5" ht="14.25">
      <c r="A7" s="2652"/>
      <c r="B7" s="2765" t="s">
        <v>89</v>
      </c>
      <c r="C7" s="2657" t="str">
        <f>IF('数据-取费表'!B3="万元","总价（万元）","总价（元）")</f>
        <v>总价（万元）</v>
      </c>
      <c r="D7" s="2656">
        <f ca="1">IF('数据-取费表'!E3="否",结果表!I102,'结果表 (1修多)'!I103)</f>
        <v>392</v>
      </c>
      <c r="E7" s="2652"/>
    </row>
    <row r="8" spans="1:5" ht="14.25">
      <c r="A8" s="2652"/>
      <c r="B8" s="2765"/>
      <c r="C8" s="2658" t="s">
        <v>90</v>
      </c>
      <c r="D8" s="2659" t="str">
        <f ca="1">IF('数据-取费表'!B3="万元",NUMBERSTRING(INT(D7*10000),2)&amp;"元整",NUMBERSTRING(INT(D7),2)&amp;"元整")</f>
        <v>叁佰玖拾贰万元整</v>
      </c>
      <c r="E8" s="2652"/>
    </row>
    <row r="9" spans="1:5" ht="14.25">
      <c r="A9" s="2652"/>
      <c r="B9" s="2765"/>
      <c r="C9" s="2660" t="s">
        <v>91</v>
      </c>
      <c r="D9" s="2656">
        <f ca="1">IF('数据-取费表'!E3="否",结果表!I103,'结果表 (1修多)'!I104)</f>
        <v>22173</v>
      </c>
      <c r="E9" s="2652"/>
    </row>
    <row r="10" spans="1:5" ht="14.25">
      <c r="A10" s="2652"/>
      <c r="B10" s="2766" t="str">
        <f>IF('数据-取费表'!E3="否",结果表!F105,'结果表 (1修多)'!F106)</f>
        <v>2.估价师所知悉的法定优先受偿款</v>
      </c>
      <c r="C10" s="2661" t="str">
        <f>IF('数据-取费表'!B3="万元","总额（万元）","总额（元）")</f>
        <v>总额（万元）</v>
      </c>
      <c r="D10" s="2656">
        <f>IF('数据-取费表'!E3="否",结果表!I105,'结果表 (1修多)'!I106)</f>
        <v>0</v>
      </c>
      <c r="E10" s="2652"/>
    </row>
    <row r="11" spans="1:5" ht="14.25">
      <c r="A11" s="2652"/>
      <c r="B11" s="2766"/>
      <c r="C11" s="2658" t="s">
        <v>90</v>
      </c>
      <c r="D11" s="2659" t="str">
        <f>IF('数据-取费表'!B3="万元",NUMBERSTRING(INT(D10*10000),2)&amp;"元整",NUMBERSTRING(INT(D10),2)&amp;"元整")</f>
        <v>零元整</v>
      </c>
      <c r="E11" s="2652"/>
    </row>
    <row r="12" spans="1:5" ht="14.25">
      <c r="A12" s="2652"/>
      <c r="B12" s="2662" t="s">
        <v>92</v>
      </c>
      <c r="C12" s="2663" t="str">
        <f>C10</f>
        <v>总额（万元）</v>
      </c>
      <c r="D12" s="2664">
        <f>IF('数据-取费表'!E3="否",结果表!I106,'结果表 (1修多)'!I107)</f>
        <v>0</v>
      </c>
      <c r="E12" s="2652"/>
    </row>
    <row r="13" spans="1:5" ht="14.25">
      <c r="A13" s="2652"/>
      <c r="B13" s="2662" t="s">
        <v>93</v>
      </c>
      <c r="C13" s="2663" t="str">
        <f>C10</f>
        <v>总额（万元）</v>
      </c>
      <c r="D13" s="2664">
        <f>IF('数据-取费表'!E3="否",结果表!I107,'结果表 (1修多)'!I108)</f>
        <v>0</v>
      </c>
      <c r="E13" s="2652"/>
    </row>
    <row r="14" spans="1:5" ht="14.25">
      <c r="A14" s="2652"/>
      <c r="B14" s="2662" t="s">
        <v>94</v>
      </c>
      <c r="C14" s="2663" t="str">
        <f>C10</f>
        <v>总额（万元）</v>
      </c>
      <c r="D14" s="2664">
        <f>IF('数据-取费表'!E3="否",结果表!I108,'结果表 (1修多)'!I109)</f>
        <v>0</v>
      </c>
      <c r="E14" s="2652"/>
    </row>
    <row r="15" spans="1:5" ht="14.25">
      <c r="A15" s="2652"/>
      <c r="B15" s="2766" t="str">
        <f>IF('数据-取费表'!E3="否",结果表!F110,'结果表 (1修多)'!F111)</f>
        <v>3.房地产抵押价值</v>
      </c>
      <c r="C15" s="2665" t="str">
        <f>C7</f>
        <v>总价（万元）</v>
      </c>
      <c r="D15" s="2656">
        <f ca="1">IF('数据-取费表'!E3="否",结果表!I110,'结果表 (1修多)'!I111)</f>
        <v>392</v>
      </c>
      <c r="E15" s="2652"/>
    </row>
    <row r="16" spans="1:5" ht="14.25">
      <c r="A16" s="2652"/>
      <c r="B16" s="2766"/>
      <c r="C16" s="2658" t="s">
        <v>90</v>
      </c>
      <c r="D16" s="2656" t="str">
        <f ca="1">IF('数据-取费表'!B3="万元",NUMBERSTRING(INT(D15*10000),2)&amp;"元整",NUMBERSTRING(INT(D15),2)&amp;"元整")</f>
        <v>叁佰玖拾贰万元整</v>
      </c>
      <c r="E16" s="2652"/>
    </row>
    <row r="17" spans="1:5" ht="14.25">
      <c r="A17" s="2652"/>
      <c r="B17" s="2766"/>
      <c r="C17" s="2660" t="s">
        <v>91</v>
      </c>
      <c r="D17" s="2656">
        <f ca="1">IF('数据-取费表'!E3="否",结果表!I111,'结果表 (1修多)'!I112)</f>
        <v>22173</v>
      </c>
      <c r="E17" s="2652"/>
    </row>
    <row r="18" spans="1:5" ht="14.25">
      <c r="A18" s="2652"/>
      <c r="B18" s="2766" t="str">
        <f>IF('数据-取费表'!E3="否",结果表!F112,'结果表 (1修多)'!F113)</f>
        <v>——</v>
      </c>
      <c r="C18" s="2665" t="str">
        <f>C7</f>
        <v>总价（万元）</v>
      </c>
      <c r="D18" s="2656" t="str">
        <f>IF('数据-取费表'!E3="否",结果表!I112,'结果表 (1修多)'!I113)</f>
        <v>——</v>
      </c>
      <c r="E18" s="2652"/>
    </row>
    <row r="19" spans="1:5" ht="14.25">
      <c r="A19" s="2652"/>
      <c r="B19" s="2766"/>
      <c r="C19" s="2658" t="s">
        <v>90</v>
      </c>
      <c r="D19" s="2656" t="e">
        <f>IF('数据-取费表'!B3="万元",NUMBERSTRING(INT(D18*10000),2)&amp;"元整",NUMBERSTRING(INT(D18),2)&amp;"元整")</f>
        <v>#VALUE!</v>
      </c>
      <c r="E19" s="2652"/>
    </row>
    <row r="20" spans="1:5" ht="14.25">
      <c r="A20" s="2652"/>
      <c r="B20" s="2766"/>
      <c r="C20" s="2660" t="s">
        <v>91</v>
      </c>
      <c r="D20" s="2656" t="str">
        <f>IF('数据-取费表'!E3="否",结果表!I113,'结果表 (1修多)'!I114)</f>
        <v>——</v>
      </c>
      <c r="E20" s="2652"/>
    </row>
    <row r="21" spans="1:5" ht="14.25">
      <c r="A21" s="2652"/>
      <c r="B21" s="2765" t="str">
        <f>IF('数据-取费表'!E3="否",结果表!F114,'结果表 (1修多)'!F115)</f>
        <v>——</v>
      </c>
      <c r="C21" s="2657" t="str">
        <f>C7</f>
        <v>总价（万元）</v>
      </c>
      <c r="D21" s="2656" t="str">
        <f>IF('数据-取费表'!E3="否",结果表!I114,'结果表 (1修多)'!I115)</f>
        <v>——</v>
      </c>
      <c r="E21" s="2652"/>
    </row>
    <row r="22" spans="1:5" ht="14.25">
      <c r="A22" s="2652"/>
      <c r="B22" s="2765"/>
      <c r="C22" s="2658" t="s">
        <v>90</v>
      </c>
      <c r="D22" s="2659" t="e">
        <f>IF('数据-取费表'!B3="万元",NUMBERSTRING(INT(D21*10000),2)&amp;"元整",NUMBERSTRING(INT(D21),2)&amp;"元整")</f>
        <v>#VALUE!</v>
      </c>
      <c r="E22" s="2652"/>
    </row>
    <row r="23" spans="1:5" ht="14.25">
      <c r="A23" s="2652"/>
      <c r="B23" s="2767"/>
      <c r="C23" s="2666" t="s">
        <v>91</v>
      </c>
      <c r="D23" s="2667" t="str">
        <f ca="1">IF('数据-取费表'!E3="否",结果表!I115,'结果表 (1修多)'!I116)</f>
        <v>——</v>
      </c>
      <c r="E23" s="2652"/>
    </row>
    <row r="24" spans="1:5">
      <c r="A24" s="2652"/>
      <c r="B24" s="2652"/>
      <c r="C24" s="2652"/>
      <c r="D24" s="2652"/>
      <c r="E24" s="2652"/>
    </row>
    <row r="25" spans="1:5" ht="18.75" customHeight="1">
      <c r="A25" s="2652"/>
      <c r="B25" s="2764" t="s">
        <v>95</v>
      </c>
      <c r="C25" s="2764"/>
      <c r="D25" s="2764"/>
      <c r="E25" s="2652"/>
    </row>
    <row r="26" spans="1:5" ht="18.75" customHeight="1">
      <c r="A26" s="2652"/>
      <c r="B26" s="2755" t="s">
        <v>96</v>
      </c>
      <c r="C26" s="2756"/>
      <c r="D26" s="2753" t="s">
        <v>97</v>
      </c>
      <c r="E26" s="2652"/>
    </row>
    <row r="27" spans="1:5" ht="18.75" customHeight="1">
      <c r="A27" s="2652"/>
      <c r="B27" s="2757"/>
      <c r="C27" s="2758"/>
      <c r="D27" s="2754"/>
      <c r="E27" s="2652"/>
    </row>
    <row r="28" spans="1:5" ht="14.25">
      <c r="A28" s="2652"/>
      <c r="B28" s="2768" t="s">
        <v>89</v>
      </c>
      <c r="C28" s="2669" t="s">
        <v>98</v>
      </c>
      <c r="D28" s="2670">
        <f ca="1">IF('数据-取费表'!E3="否",结果表!I102,'结果表 (1修多)'!I103)</f>
        <v>392</v>
      </c>
      <c r="E28" s="2652"/>
    </row>
    <row r="29" spans="1:5" ht="14.25">
      <c r="A29" s="2652"/>
      <c r="B29" s="2769"/>
      <c r="C29" s="2671" t="s">
        <v>90</v>
      </c>
      <c r="D29" s="2672" t="str">
        <f ca="1">IF('数据-取费表'!B3="万元",NUMBERSTRING(INT(D28*10000),2)&amp;"元整",NUMBERSTRING(INT(D28),2)&amp;"元整")</f>
        <v>叁佰玖拾贰万元整</v>
      </c>
      <c r="E29" s="2652"/>
    </row>
    <row r="30" spans="1:5" ht="14.25">
      <c r="A30" s="2652"/>
      <c r="B30" s="2770"/>
      <c r="C30" s="2660" t="s">
        <v>99</v>
      </c>
      <c r="D30" s="2673">
        <f ca="1">IF('数据-取费表'!E3="否",结果表!I103,'结果表 (1修多)'!I104)</f>
        <v>22173</v>
      </c>
      <c r="E30" s="2652"/>
    </row>
    <row r="31" spans="1:5" ht="14.25">
      <c r="A31" s="2652"/>
      <c r="B31" s="2771" t="str">
        <f>B10</f>
        <v>2.估价师所知悉的法定优先受偿款</v>
      </c>
      <c r="C31" s="2674" t="s">
        <v>100</v>
      </c>
      <c r="D31" s="2668">
        <f>IF('数据-取费表'!E3="否",结果表!I105,'结果表 (1修多)'!I106)</f>
        <v>0</v>
      </c>
      <c r="E31" s="2652"/>
    </row>
    <row r="32" spans="1:5" ht="14.25">
      <c r="A32" s="2652"/>
      <c r="B32" s="2772"/>
      <c r="C32" s="2671" t="s">
        <v>90</v>
      </c>
      <c r="D32" s="2675" t="str">
        <f>IF('数据-取费表'!B3="万元",NUMBERSTRING(INT(D31*10000),2)&amp;"元整",NUMBERSTRING(INT(D31),2)&amp;"元整")</f>
        <v>零元整</v>
      </c>
      <c r="E32" s="2652"/>
    </row>
    <row r="33" spans="1:5" ht="14.25">
      <c r="A33" s="2652"/>
      <c r="B33" s="2658" t="s">
        <v>92</v>
      </c>
      <c r="C33" s="2658" t="str">
        <f>C31</f>
        <v>总额</v>
      </c>
      <c r="D33" s="2673">
        <f>IF('数据-取费表'!E3="否",结果表!I106,'结果表 (1修多)'!I107)</f>
        <v>0</v>
      </c>
      <c r="E33" s="2652"/>
    </row>
    <row r="34" spans="1:5" ht="14.25">
      <c r="A34" s="2652"/>
      <c r="B34" s="2658" t="s">
        <v>93</v>
      </c>
      <c r="C34" s="2658" t="str">
        <f>C31</f>
        <v>总额</v>
      </c>
      <c r="D34" s="2673">
        <f>IF('数据-取费表'!E3="否",结果表!I107,'结果表 (1修多)'!I108)</f>
        <v>0</v>
      </c>
      <c r="E34" s="2652"/>
    </row>
    <row r="35" spans="1:5" ht="14.25">
      <c r="A35" s="2652"/>
      <c r="B35" s="2658" t="s">
        <v>94</v>
      </c>
      <c r="C35" s="2658" t="str">
        <f>C31</f>
        <v>总额</v>
      </c>
      <c r="D35" s="2673">
        <f>IF('数据-取费表'!E3="否",结果表!I108,'结果表 (1修多)'!I109)</f>
        <v>0</v>
      </c>
      <c r="E35" s="2652"/>
    </row>
    <row r="36" spans="1:5" ht="14.25">
      <c r="A36" s="2652"/>
      <c r="B36" s="2773" t="str">
        <f>B15</f>
        <v>3.房地产抵押价值</v>
      </c>
      <c r="C36" s="2674" t="str">
        <f>C28</f>
        <v>总价</v>
      </c>
      <c r="D36" s="2668">
        <f ca="1">IF('数据-取费表'!E3="否",结果表!I110,'结果表 (1修多)'!I111)</f>
        <v>392</v>
      </c>
      <c r="E36" s="2652"/>
    </row>
    <row r="37" spans="1:5" ht="14.25">
      <c r="A37" s="2652"/>
      <c r="B37" s="2773"/>
      <c r="C37" s="2671" t="s">
        <v>90</v>
      </c>
      <c r="D37" s="2675" t="str">
        <f ca="1">IF('数据-取费表'!B3="万元",NUMBERSTRING(INT(D36*10000),2)&amp;"元整",NUMBERSTRING(INT(D36),2)&amp;"元整")</f>
        <v>叁佰玖拾贰万元整</v>
      </c>
      <c r="E37" s="2652"/>
    </row>
    <row r="38" spans="1:5" ht="14.25">
      <c r="A38" s="2652"/>
      <c r="B38" s="2773"/>
      <c r="C38" s="2660" t="s">
        <v>99</v>
      </c>
      <c r="D38" s="2673">
        <f ca="1">IF('数据-取费表'!E3="否",结果表!D113,'结果表 (1修多)'!D116)</f>
        <v>22173</v>
      </c>
      <c r="E38" s="2652"/>
    </row>
    <row r="39" spans="1:5" ht="14.25">
      <c r="A39" s="2652"/>
      <c r="B39" s="2774" t="str">
        <f>B18</f>
        <v>——</v>
      </c>
      <c r="C39" s="2674" t="str">
        <f>C28</f>
        <v>总价</v>
      </c>
      <c r="D39" s="2668" t="str">
        <f>IF('数据-取费表'!E3="否",结果表!I112,'结果表 (1修多)'!I113)</f>
        <v>——</v>
      </c>
      <c r="E39" s="2652"/>
    </row>
    <row r="40" spans="1:5" ht="14.25">
      <c r="A40" s="2652"/>
      <c r="B40" s="2774"/>
      <c r="C40" s="2671" t="s">
        <v>90</v>
      </c>
      <c r="D40" s="2675" t="e">
        <f>IF('数据-取费表'!B3="万元",NUMBERSTRING(INT(D39*10000),2)&amp;"元整",NUMBERSTRING(INT(D39),2)&amp;"元整")</f>
        <v>#VALUE!</v>
      </c>
      <c r="E40" s="2652"/>
    </row>
    <row r="41" spans="1:5" ht="14.25">
      <c r="A41" s="2652"/>
      <c r="B41" s="2774"/>
      <c r="C41" s="2660" t="s">
        <v>99</v>
      </c>
      <c r="D41" s="2673" t="str">
        <f>IF('数据-取费表'!E3="否",结果表!D115,'结果表 (1修多)'!D118)</f>
        <v>——</v>
      </c>
      <c r="E41" s="2652"/>
    </row>
    <row r="42" spans="1:5" ht="14.25">
      <c r="A42" s="2652"/>
      <c r="B42" s="2773" t="str">
        <f>B21</f>
        <v>——</v>
      </c>
      <c r="C42" s="2674" t="str">
        <f>C28</f>
        <v>总价</v>
      </c>
      <c r="D42" s="2668" t="str">
        <f>IF('数据-取费表'!E3="否",结果表!I114,'结果表 (1修多)'!I115)</f>
        <v>——</v>
      </c>
      <c r="E42" s="2652"/>
    </row>
    <row r="43" spans="1:5" ht="14.25">
      <c r="A43" s="2652"/>
      <c r="B43" s="2771"/>
      <c r="C43" s="2671" t="s">
        <v>90</v>
      </c>
      <c r="D43" s="2676" t="e">
        <f>IF('数据-取费表'!B3="万元",NUMBERSTRING(INT(D42*10000),2)&amp;"元整",NUMBERSTRING(INT(D42),2)&amp;"元整")</f>
        <v>#VALUE!</v>
      </c>
      <c r="E43" s="2652"/>
    </row>
    <row r="44" spans="1:5" ht="14.25">
      <c r="A44" s="2652"/>
      <c r="B44" s="2775"/>
      <c r="C44" s="2666" t="s">
        <v>99</v>
      </c>
      <c r="D44" s="2677" t="str">
        <f ca="1">IF('数据-取费表'!E3="否",结果表!D117,'结果表 (1修多)'!D120)</f>
        <v>——</v>
      </c>
      <c r="E44" s="2652"/>
    </row>
    <row r="45" spans="1:5">
      <c r="A45" s="2652"/>
      <c r="B45" s="2652" t="str">
        <f>IF('数据-取费表'!B3="元","单位：元、元/平方米（单位：人民币）","单位：万元、元/平方米（单位：人民币）")</f>
        <v>单位：万元、元/平方米（单位：人民币）</v>
      </c>
      <c r="C45" s="2652"/>
      <c r="D45" s="2652"/>
      <c r="E45" s="2652"/>
    </row>
    <row r="46" spans="1:5" ht="18.75">
      <c r="B46" s="2678"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4" customWidth="1"/>
    <col min="2" max="9" width="12.25" style="2634" customWidth="1"/>
    <col min="10" max="16384" width="9" style="2634"/>
  </cols>
  <sheetData>
    <row r="1" spans="1:9" ht="15.75">
      <c r="A1" s="2776" t="str">
        <f>IF(项目基本情况!D5="房地产市场价值","估价结果一览表","结果表-2")</f>
        <v>结果表-2</v>
      </c>
      <c r="B1" s="2776"/>
      <c r="C1" s="2776"/>
      <c r="D1" s="2776"/>
      <c r="E1" s="2776"/>
      <c r="F1" s="2776"/>
      <c r="G1" s="2776"/>
      <c r="H1" s="2776"/>
      <c r="I1" s="2776"/>
    </row>
    <row r="2" spans="1:9" ht="30" customHeight="1">
      <c r="A2" s="2777" t="s">
        <v>102</v>
      </c>
      <c r="B2" s="2777" t="s">
        <v>103</v>
      </c>
      <c r="C2" s="2777" t="s">
        <v>104</v>
      </c>
      <c r="D2" s="2777" t="str">
        <f>IF('数据-取费表'!E3="否",结果表!D119,'结果表 (1修多)'!D122)</f>
        <v>出让国有建设用地使用权价值</v>
      </c>
      <c r="E2" s="2777"/>
      <c r="F2" s="2777" t="s">
        <v>105</v>
      </c>
      <c r="G2" s="2777"/>
      <c r="H2" s="2777" t="s">
        <v>106</v>
      </c>
      <c r="I2" s="2777"/>
    </row>
    <row r="3" spans="1:9" ht="15">
      <c r="A3" s="2778"/>
      <c r="B3" s="2778"/>
      <c r="C3" s="2778"/>
      <c r="D3" s="2649" t="s">
        <v>107</v>
      </c>
      <c r="E3" s="2649" t="s">
        <v>108</v>
      </c>
      <c r="F3" s="2649" t="s">
        <v>107</v>
      </c>
      <c r="G3" s="2649" t="s">
        <v>108</v>
      </c>
      <c r="H3" s="2649" t="s">
        <v>107</v>
      </c>
      <c r="I3" s="2649" t="s">
        <v>108</v>
      </c>
    </row>
    <row r="4" spans="1:9" ht="46.5" customHeight="1">
      <c r="A4" s="2649" t="str">
        <f>项目基本情况!I1</f>
        <v>北京市房地产</v>
      </c>
      <c r="B4" s="2649">
        <f>结果表!B121</f>
        <v>95.95</v>
      </c>
      <c r="C4" s="2649">
        <f>结果表!C121</f>
        <v>0</v>
      </c>
      <c r="D4" s="2649">
        <f>IF('数据-取费表'!E3="否",结果表!D121,'结果表 (1修多)'!D124)</f>
        <v>0</v>
      </c>
      <c r="E4" s="2649">
        <f>IF('数据-取费表'!E3="否",结果表!E121,'结果表 (1修多)'!E124)</f>
        <v>0</v>
      </c>
      <c r="F4" s="2649">
        <f>IF('数据-取费表'!E3="否",结果表!F121,'结果表 (1修多)'!F124)</f>
        <v>0</v>
      </c>
      <c r="G4" s="2649">
        <f>IF('数据-取费表'!E3="否",结果表!G121,'结果表 (1修多)'!G124)</f>
        <v>0</v>
      </c>
      <c r="H4" s="2649">
        <f ca="1">IF('数据-取费表'!E3="否",结果表!H121,'结果表 (1修多)'!H124)</f>
        <v>392</v>
      </c>
      <c r="I4" s="2649">
        <f ca="1">IF('数据-取费表'!E3="否",结果表!I121,'结果表 (1修多)'!I124)</f>
        <v>22173</v>
      </c>
    </row>
    <row r="5" spans="1:9" ht="15">
      <c r="A5" s="2778" t="s">
        <v>109</v>
      </c>
      <c r="B5" s="2778"/>
      <c r="C5" s="2778"/>
      <c r="D5" s="2779" t="str">
        <f>IF('数据-取费表'!E3="否",结果表!D122,'结果表 (1修多)'!D125)</f>
        <v>零元整</v>
      </c>
      <c r="E5" s="2779"/>
      <c r="F5" s="2779" t="str">
        <f>IF('数据-取费表'!E3="否",结果表!F122,'结果表 (1修多)'!F125)</f>
        <v>零元整</v>
      </c>
      <c r="G5" s="2779"/>
      <c r="H5" s="2779" t="str">
        <f ca="1">IF('数据-取费表'!E3="否",结果表!H122,'结果表 (1修多)'!H125)</f>
        <v>叁佰玖拾贰万元整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109</v>
      </c>
      <c r="B7" s="2778"/>
      <c r="C7" s="2778"/>
      <c r="D7" s="2781">
        <f>IF('数据-取费表'!E3="否",结果表!D124,'结果表 (1修多)'!D127)</f>
        <v>0</v>
      </c>
      <c r="E7" s="2782"/>
      <c r="F7" s="2782"/>
      <c r="G7" s="2782"/>
      <c r="H7" s="2782"/>
      <c r="I7" s="2783"/>
    </row>
    <row r="8" spans="1:9" ht="15.75">
      <c r="A8" s="2780" t="str">
        <f>IF('数据-取费表'!E3="否",结果表!A125,'结果表 (1修多)'!A128)</f>
        <v>房地产抵押价值</v>
      </c>
      <c r="B8" s="2780"/>
      <c r="C8" s="2780"/>
      <c r="D8" s="2780">
        <f ca="1">IF('数据-取费表'!E3="否",结果表!D125,'结果表 (1修多)'!D128)</f>
        <v>392</v>
      </c>
      <c r="E8" s="2780"/>
      <c r="F8" s="2780"/>
      <c r="G8" s="2780"/>
      <c r="H8" s="2780"/>
      <c r="I8" s="2780"/>
    </row>
    <row r="9" spans="1:9" ht="15">
      <c r="A9" s="2778" t="s">
        <v>109</v>
      </c>
      <c r="B9" s="2778"/>
      <c r="C9" s="2778"/>
      <c r="D9" s="2779">
        <f ca="1">IF('数据-取费表'!E3="否",结果表!D126,'结果表 (1修多)'!D129)</f>
        <v>22173</v>
      </c>
      <c r="E9" s="2779"/>
      <c r="F9" s="2779"/>
      <c r="G9" s="2779"/>
      <c r="H9" s="2779"/>
      <c r="I9" s="2779"/>
    </row>
    <row r="10" spans="1:9" ht="15.75">
      <c r="A10" s="2780" t="str">
        <f>IF('数据-取费表'!E3="否",结果表!A127,'结果表 (1修多)'!A130)</f>
        <v/>
      </c>
      <c r="B10" s="2780"/>
      <c r="C10" s="2780"/>
      <c r="D10" s="2780">
        <f ca="1">IF('数据-取费表'!E3="否",结果表!D127,'结果表 (1修多)'!D129)</f>
        <v>22173</v>
      </c>
      <c r="E10" s="2780"/>
      <c r="F10" s="2780"/>
      <c r="G10" s="2780"/>
      <c r="H10" s="2780"/>
      <c r="I10" s="2780"/>
    </row>
    <row r="11" spans="1:9" ht="15">
      <c r="A11" s="2778" t="s">
        <v>109</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
      <c r="A13" s="2784" t="s">
        <v>109</v>
      </c>
      <c r="B13" s="2784"/>
      <c r="C13" s="2784"/>
      <c r="D13" s="2785">
        <f>IF('数据-取费表'!E3="否",结果表!D130,'结果表 (1修多)'!D133)</f>
        <v>0</v>
      </c>
      <c r="E13" s="2785"/>
      <c r="F13" s="2785"/>
      <c r="G13" s="2785"/>
      <c r="H13" s="2785"/>
      <c r="I13" s="2785"/>
    </row>
    <row r="14" spans="1:9">
      <c r="A14" s="2786" t="str">
        <f>IF('数据-取费表'!E3="否",结果表!A131,'结果表 (1修多)'!A134)</f>
        <v>单位：平方米、万元、元/平方米（币种：人民币）</v>
      </c>
      <c r="B14" s="2786"/>
      <c r="C14" s="2786"/>
      <c r="D14" s="2786"/>
      <c r="E14" s="2786"/>
      <c r="F14" s="2786"/>
      <c r="G14" s="2786"/>
      <c r="H14" s="2786"/>
      <c r="I14" s="2786"/>
    </row>
    <row r="15" spans="1:9">
      <c r="A15" s="2577"/>
      <c r="B15" s="2577"/>
      <c r="C15" s="2577"/>
      <c r="D15" s="2577"/>
      <c r="E15" s="2577"/>
      <c r="F15" s="2577"/>
      <c r="G15" s="2577"/>
      <c r="H15" s="2577"/>
      <c r="I15" s="2577"/>
    </row>
    <row r="16" spans="1:9" ht="18.75">
      <c r="A16" s="2619" t="s">
        <v>110</v>
      </c>
      <c r="B16" s="2577"/>
      <c r="C16" s="2577"/>
      <c r="D16" s="2577"/>
      <c r="E16" s="2577"/>
      <c r="F16" s="2577"/>
      <c r="G16" s="2577"/>
      <c r="H16" s="2577"/>
      <c r="I16" s="2577"/>
    </row>
    <row r="17" spans="1:9">
      <c r="A17" s="2577"/>
      <c r="B17" s="2577"/>
      <c r="C17" s="2577"/>
      <c r="D17" s="2577"/>
      <c r="E17" s="2577"/>
      <c r="F17" s="2577"/>
      <c r="G17" s="2577"/>
      <c r="H17" s="2577"/>
      <c r="I17" s="2577"/>
    </row>
    <row r="18" spans="1:9">
      <c r="A18" s="2577"/>
      <c r="B18" s="2577"/>
      <c r="C18" s="2577"/>
      <c r="D18" s="2577"/>
      <c r="E18" s="2577"/>
      <c r="F18" s="2577"/>
      <c r="G18" s="2577"/>
      <c r="H18" s="2577"/>
      <c r="I18" s="2577"/>
    </row>
    <row r="19" spans="1:9">
      <c r="A19" s="2577"/>
      <c r="B19" s="2577"/>
      <c r="C19" s="2577"/>
      <c r="D19" s="2577"/>
      <c r="E19" s="2577"/>
      <c r="F19" s="2577"/>
      <c r="G19" s="2577"/>
      <c r="H19" s="2577"/>
      <c r="I19" s="2577"/>
    </row>
    <row r="20" spans="1:9">
      <c r="A20" s="2577"/>
      <c r="B20" s="2577"/>
      <c r="C20" s="2577"/>
      <c r="D20" s="2577"/>
      <c r="E20" s="2577"/>
      <c r="F20" s="2577"/>
      <c r="G20" s="2577"/>
      <c r="H20" s="2577"/>
      <c r="I20" s="2577"/>
    </row>
    <row r="21" spans="1:9">
      <c r="A21" s="2577"/>
      <c r="B21" s="2577"/>
      <c r="C21" s="2577"/>
      <c r="D21" s="2577"/>
      <c r="E21" s="2577"/>
      <c r="F21" s="2577"/>
      <c r="G21" s="2577"/>
      <c r="H21" s="2577"/>
      <c r="I21" s="2577"/>
    </row>
    <row r="22" spans="1:9">
      <c r="A22" s="2577"/>
      <c r="B22" s="2577"/>
      <c r="C22" s="2577"/>
      <c r="D22" s="2577"/>
      <c r="E22" s="2577"/>
      <c r="F22" s="2577"/>
      <c r="G22" s="2577"/>
      <c r="H22" s="2577"/>
      <c r="I22" s="2577"/>
    </row>
    <row r="23" spans="1:9">
      <c r="A23" s="2577"/>
      <c r="B23" s="2577"/>
      <c r="C23" s="2577"/>
      <c r="D23" s="2577"/>
      <c r="E23" s="2577"/>
      <c r="F23" s="2577"/>
      <c r="G23" s="2577"/>
      <c r="H23" s="2577"/>
      <c r="I23" s="2577"/>
    </row>
    <row r="24" spans="1:9">
      <c r="A24" s="2577"/>
      <c r="B24" s="2577"/>
      <c r="C24" s="2577"/>
      <c r="D24" s="2577"/>
      <c r="E24" s="2577"/>
      <c r="F24" s="2577"/>
      <c r="G24" s="2577"/>
      <c r="H24" s="2577"/>
      <c r="I24" s="2577"/>
    </row>
    <row r="25" spans="1:9">
      <c r="A25" s="2577"/>
      <c r="B25" s="2577"/>
      <c r="C25" s="2577"/>
      <c r="D25" s="2577"/>
      <c r="E25" s="2577"/>
      <c r="F25" s="2577"/>
      <c r="G25" s="2577"/>
      <c r="H25" s="2577"/>
      <c r="I25" s="2577"/>
    </row>
    <row r="26" spans="1:9">
      <c r="A26" s="2577"/>
      <c r="B26" s="2577"/>
      <c r="C26" s="2577"/>
      <c r="D26" s="2577"/>
      <c r="E26" s="2577"/>
      <c r="F26" s="2577"/>
      <c r="G26" s="2577"/>
      <c r="H26" s="2577"/>
      <c r="I26" s="257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4" customWidth="1"/>
    <col min="2" max="2" width="24" style="2634" customWidth="1"/>
    <col min="3" max="3" width="23.25" style="2634" customWidth="1"/>
    <col min="4" max="4" width="21" style="2634" customWidth="1"/>
    <col min="5" max="16384" width="9" style="2634"/>
  </cols>
  <sheetData>
    <row r="1" spans="1:4" ht="18.75">
      <c r="A1" s="2787" t="s">
        <v>111</v>
      </c>
      <c r="B1" s="2787"/>
      <c r="C1" s="2787"/>
      <c r="D1" s="2787"/>
    </row>
    <row r="2" spans="1:4" ht="18">
      <c r="A2" s="2788" t="s">
        <v>112</v>
      </c>
      <c r="B2" s="2788"/>
      <c r="C2" s="2788"/>
      <c r="D2" s="2788"/>
    </row>
    <row r="3" spans="1:4" ht="18.75">
      <c r="A3" s="2636" t="s">
        <v>113</v>
      </c>
      <c r="B3" s="2636" t="s">
        <v>114</v>
      </c>
      <c r="C3" s="2636" t="s">
        <v>115</v>
      </c>
      <c r="D3" s="2636" t="s">
        <v>116</v>
      </c>
    </row>
    <row r="4" spans="1:4" ht="56.25" customHeight="1">
      <c r="A4" s="2637" t="str">
        <f>项目基本情况!B3</f>
        <v>欧红伟</v>
      </c>
      <c r="B4" s="2638">
        <f ca="1">项目基本情况!C3</f>
        <v>1120000080</v>
      </c>
      <c r="C4" s="2639"/>
      <c r="D4" s="2640" t="s">
        <v>117</v>
      </c>
    </row>
    <row r="5" spans="1:4" ht="56.25" customHeight="1">
      <c r="A5" s="2637" t="str">
        <f>项目基本情况!D3</f>
        <v>崔锴</v>
      </c>
      <c r="B5" s="2638">
        <f ca="1">项目基本情况!E3</f>
        <v>1120100036</v>
      </c>
      <c r="C5" s="2641"/>
      <c r="D5" s="2640" t="s">
        <v>117</v>
      </c>
    </row>
    <row r="6" spans="1:4" ht="12" customHeight="1">
      <c r="A6" s="2637"/>
      <c r="B6" s="2638"/>
      <c r="C6" s="2642"/>
      <c r="D6" s="2640"/>
    </row>
    <row r="7" spans="1:4" ht="18">
      <c r="A7" s="2788" t="s">
        <v>118</v>
      </c>
      <c r="B7" s="2788"/>
      <c r="C7" s="2788"/>
      <c r="D7" s="2788"/>
    </row>
    <row r="8" spans="1:4" ht="18.75">
      <c r="A8" s="2636" t="s">
        <v>113</v>
      </c>
      <c r="B8" s="2638" t="s">
        <v>119</v>
      </c>
      <c r="C8" s="2636" t="s">
        <v>115</v>
      </c>
      <c r="D8" s="2636" t="s">
        <v>116</v>
      </c>
    </row>
    <row r="9" spans="1:4" ht="56.25" customHeight="1">
      <c r="A9" s="2643" t="s">
        <v>120</v>
      </c>
      <c r="B9" s="2643" t="s">
        <v>121</v>
      </c>
      <c r="C9" s="2639"/>
      <c r="D9" s="2640" t="s">
        <v>117</v>
      </c>
    </row>
    <row r="11" spans="1:4" ht="18.75">
      <c r="A11" s="2635" t="s">
        <v>122</v>
      </c>
    </row>
    <row r="12" spans="1:4" ht="30" customHeight="1">
      <c r="A12" s="2789" t="s">
        <v>123</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根据估价对象《房屋所有权证》复印件、，截至价值时点，估价对象抵押权未见登记。</v>
      </c>
      <c r="B16" s="2789"/>
      <c r="C16" s="2789"/>
      <c r="D16" s="2789"/>
    </row>
    <row r="17" spans="1:4" ht="63.75" customHeight="1">
      <c r="A17" s="2791" t="s">
        <v>124</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125</v>
      </c>
      <c r="B20" s="2791"/>
      <c r="C20" s="2791"/>
      <c r="D20" s="2791"/>
    </row>
    <row r="21" spans="1:4">
      <c r="A21" s="2644"/>
      <c r="B21" s="312"/>
      <c r="C21" s="312"/>
      <c r="D21" s="312"/>
    </row>
    <row r="22" spans="1:4">
      <c r="A22" s="2644"/>
      <c r="B22" s="312"/>
      <c r="C22" s="312"/>
      <c r="D22" s="312"/>
    </row>
    <row r="23" spans="1:4" ht="18.75">
      <c r="A23" s="2645" t="s">
        <v>126</v>
      </c>
    </row>
    <row r="24" spans="1:4" ht="18">
      <c r="A24" s="2645"/>
    </row>
    <row r="25" spans="1:4" ht="18.75">
      <c r="A25" s="2645" t="s">
        <v>127</v>
      </c>
    </row>
    <row r="28" spans="1:4" ht="21" customHeight="1">
      <c r="D28" s="2646" t="s">
        <v>128</v>
      </c>
    </row>
    <row r="29" spans="1:4" ht="21" customHeight="1">
      <c r="C29" s="2647"/>
      <c r="D29" s="264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20" customWidth="1"/>
    <col min="2" max="16384" width="14.5" style="2577"/>
  </cols>
  <sheetData>
    <row r="1" spans="1:7" s="2619" customFormat="1" ht="18.75">
      <c r="A1" s="2621" t="s">
        <v>129</v>
      </c>
    </row>
    <row r="3" spans="1:7" ht="14.25">
      <c r="A3" s="2622" t="s">
        <v>130</v>
      </c>
      <c r="B3" s="2577" t="s">
        <v>131</v>
      </c>
      <c r="G3" s="2623"/>
    </row>
    <row r="4" spans="1:7">
      <c r="G4" s="2623"/>
    </row>
    <row r="5" spans="1:7" ht="14.25">
      <c r="A5" s="2624" t="s">
        <v>132</v>
      </c>
      <c r="B5" s="2577" t="s">
        <v>133</v>
      </c>
      <c r="G5" s="2623"/>
    </row>
    <row r="6" spans="1:7">
      <c r="G6" s="2623"/>
    </row>
    <row r="7" spans="1:7" ht="14.25">
      <c r="A7" s="2165" t="s">
        <v>134</v>
      </c>
      <c r="B7" s="2577" t="s">
        <v>135</v>
      </c>
      <c r="G7" s="2623"/>
    </row>
    <row r="8" spans="1:7">
      <c r="G8" s="2623"/>
    </row>
    <row r="9" spans="1:7">
      <c r="A9" s="2625" t="s">
        <v>136</v>
      </c>
      <c r="B9" s="2577" t="s">
        <v>137</v>
      </c>
    </row>
    <row r="11" spans="1:7">
      <c r="A11" s="2626" t="s">
        <v>138</v>
      </c>
      <c r="B11" s="2627" t="s">
        <v>139</v>
      </c>
    </row>
    <row r="13" spans="1:7">
      <c r="A13" s="2628" t="s">
        <v>140</v>
      </c>
    </row>
    <row r="15" spans="1:7" ht="14.25">
      <c r="A15" s="2794" t="s">
        <v>141</v>
      </c>
      <c r="B15" s="2799" t="s">
        <v>142</v>
      </c>
      <c r="C15" s="2793"/>
    </row>
    <row r="16" spans="1:7" ht="14.25">
      <c r="A16" s="2795"/>
      <c r="B16" s="2799" t="s">
        <v>143</v>
      </c>
      <c r="C16" s="2793"/>
    </row>
    <row r="17" spans="1:3" ht="14.25">
      <c r="A17" s="2795"/>
      <c r="B17" s="2799" t="s">
        <v>144</v>
      </c>
      <c r="C17" s="2793"/>
    </row>
    <row r="18" spans="1:3" ht="14.25">
      <c r="A18" s="2796"/>
      <c r="B18" s="2792" t="s">
        <v>145</v>
      </c>
      <c r="C18" s="2793"/>
    </row>
    <row r="19" spans="1:3" ht="14.25">
      <c r="A19" s="2629" t="s">
        <v>146</v>
      </c>
      <c r="B19" s="2630"/>
      <c r="C19" s="2631"/>
    </row>
    <row r="20" spans="1:3" ht="14.25">
      <c r="A20" s="2797" t="s">
        <v>147</v>
      </c>
      <c r="B20" s="2792" t="s">
        <v>148</v>
      </c>
      <c r="C20" s="2793"/>
    </row>
    <row r="21" spans="1:3" ht="14.25">
      <c r="A21" s="2797"/>
      <c r="B21" s="2792" t="s">
        <v>149</v>
      </c>
      <c r="C21" s="2793"/>
    </row>
    <row r="22" spans="1:3" ht="14.25">
      <c r="A22" s="2797"/>
      <c r="B22" s="2792" t="s">
        <v>150</v>
      </c>
      <c r="C22" s="2793"/>
    </row>
    <row r="23" spans="1:3" ht="14.25">
      <c r="A23" s="2797"/>
      <c r="B23" s="2798" t="s">
        <v>151</v>
      </c>
      <c r="C23" s="2632" t="s">
        <v>152</v>
      </c>
    </row>
    <row r="24" spans="1:3" ht="14.25">
      <c r="A24" s="2797"/>
      <c r="B24" s="2798"/>
      <c r="C24" s="2632" t="s">
        <v>153</v>
      </c>
    </row>
    <row r="25" spans="1:3" ht="14.25">
      <c r="A25" s="2797"/>
      <c r="B25" s="2798"/>
      <c r="C25" s="2632" t="s">
        <v>154</v>
      </c>
    </row>
    <row r="26" spans="1:3" ht="14.25">
      <c r="A26" s="2797"/>
      <c r="B26" s="2798"/>
      <c r="C26" s="2632" t="s">
        <v>155</v>
      </c>
    </row>
    <row r="27" spans="1:3" ht="14.25">
      <c r="A27" s="2797"/>
      <c r="B27" s="2798"/>
      <c r="C27" s="2632" t="s">
        <v>156</v>
      </c>
    </row>
    <row r="28" spans="1:3" ht="14.25">
      <c r="A28" s="2797"/>
      <c r="B28" s="2798"/>
      <c r="C28" s="2632" t="s">
        <v>157</v>
      </c>
    </row>
    <row r="29" spans="1:3" ht="14.25">
      <c r="A29" s="2797"/>
      <c r="B29" s="2798"/>
      <c r="C29" s="2632" t="s">
        <v>158</v>
      </c>
    </row>
    <row r="30" spans="1:3" ht="14.25">
      <c r="A30" s="2797"/>
      <c r="B30" s="2798"/>
      <c r="C30" s="2632" t="s">
        <v>159</v>
      </c>
    </row>
    <row r="31" spans="1:3" ht="14.25">
      <c r="A31" s="2797"/>
      <c r="B31" s="2798"/>
      <c r="C31" s="2632" t="s">
        <v>160</v>
      </c>
    </row>
    <row r="32" spans="1:3">
      <c r="A32" s="263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4"/>
    <col min="4" max="4" width="41.375" style="2594" customWidth="1"/>
    <col min="5" max="6" width="22.625" style="2594"/>
    <col min="7" max="7" width="25.625" style="2594" customWidth="1"/>
    <col min="8" max="16384" width="22.625" style="2594"/>
  </cols>
  <sheetData>
    <row r="2" spans="1:8" ht="24" customHeight="1">
      <c r="A2" s="2595" t="s">
        <v>162</v>
      </c>
      <c r="B2" s="2596">
        <f ca="1">TODAY()</f>
        <v>43199</v>
      </c>
      <c r="C2" s="2597" t="s">
        <v>163</v>
      </c>
      <c r="D2" s="2597"/>
      <c r="E2" s="2597"/>
    </row>
    <row r="3" spans="1:8" ht="24" customHeight="1">
      <c r="A3" s="2598" t="s">
        <v>164</v>
      </c>
      <c r="B3" s="2599" t="s">
        <v>165</v>
      </c>
      <c r="C3" s="2599" t="s">
        <v>166</v>
      </c>
      <c r="D3" s="2600" t="s">
        <v>167</v>
      </c>
      <c r="E3" s="2601" t="s">
        <v>168</v>
      </c>
      <c r="F3" s="2602" t="s">
        <v>169</v>
      </c>
      <c r="G3" s="2599" t="s">
        <v>166</v>
      </c>
      <c r="H3" s="2600" t="s">
        <v>170</v>
      </c>
    </row>
    <row r="4" spans="1:8" ht="24" customHeight="1">
      <c r="A4" s="2603" t="s">
        <v>171</v>
      </c>
      <c r="B4" s="2602">
        <f ca="1">IF(C4&lt;B2,"已过期",1119970066)</f>
        <v>1119970066</v>
      </c>
      <c r="C4" s="2604">
        <v>43849</v>
      </c>
      <c r="D4" s="2605" t="str">
        <f ca="1">A4&amp;"（注册号："&amp;B4&amp;"）"</f>
        <v>梁津（注册号：1119970066）</v>
      </c>
      <c r="E4" s="2603" t="s">
        <v>171</v>
      </c>
      <c r="F4" s="2602">
        <f ca="1">IF(G4&lt;B2,"已过期",96010014)</f>
        <v>96010014</v>
      </c>
      <c r="G4" s="2606">
        <v>47118</v>
      </c>
      <c r="H4" s="2607" t="str">
        <f ca="1">E4&amp;"（注册号："&amp;F4&amp;"）"</f>
        <v>梁津（注册号：96010014）</v>
      </c>
    </row>
    <row r="5" spans="1:8" ht="24" customHeight="1">
      <c r="A5" s="2603" t="s">
        <v>172</v>
      </c>
      <c r="B5" s="2602">
        <f ca="1">IF(C5&lt;B2,"已过期",1119970074)</f>
        <v>1119970074</v>
      </c>
      <c r="C5" s="2604">
        <v>43849</v>
      </c>
      <c r="D5" s="2605" t="str">
        <f t="shared" ref="D5:D24" ca="1" si="0">A5&amp;"（注册号："&amp;B5&amp;"）"</f>
        <v>李立（注册号：1119970074）</v>
      </c>
      <c r="E5" s="2603" t="s">
        <v>172</v>
      </c>
      <c r="F5" s="2602">
        <f ca="1">IF(G5&lt;B2,"已过期",2002110027)</f>
        <v>2002110027</v>
      </c>
      <c r="G5" s="2606">
        <v>46752</v>
      </c>
      <c r="H5" s="2607" t="str">
        <f t="shared" ref="H5:H24" ca="1" si="1">E5&amp;"（注册号："&amp;F5&amp;"）"</f>
        <v>李立（注册号：2002110027）</v>
      </c>
    </row>
    <row r="6" spans="1:8" ht="24" customHeight="1">
      <c r="A6" s="2603" t="s">
        <v>173</v>
      </c>
      <c r="B6" s="2602">
        <f ca="1">IF(C6&lt;B2,"已过期",1119970111)</f>
        <v>1119970111</v>
      </c>
      <c r="C6" s="2604">
        <v>43849</v>
      </c>
      <c r="D6" s="2605" t="str">
        <f t="shared" ca="1" si="0"/>
        <v>叶凌（注册号：1119970111）</v>
      </c>
      <c r="E6" s="2603" t="s">
        <v>173</v>
      </c>
      <c r="F6" s="2602">
        <f ca="1">IF(G6&lt;B2,"已过期",94010078)</f>
        <v>94010078</v>
      </c>
      <c r="G6" s="2606">
        <v>46387</v>
      </c>
      <c r="H6" s="2607" t="str">
        <f t="shared" ca="1" si="1"/>
        <v>叶凌（注册号：94010078）</v>
      </c>
    </row>
    <row r="7" spans="1:8" ht="24" customHeight="1">
      <c r="A7" s="2603" t="s">
        <v>174</v>
      </c>
      <c r="B7" s="2602">
        <f ca="1">IF(C7&lt;B2,"已过期",1120050019)</f>
        <v>1120050019</v>
      </c>
      <c r="C7" s="2604">
        <v>43359</v>
      </c>
      <c r="D7" s="2605" t="str">
        <f t="shared" ca="1" si="0"/>
        <v>王鹏（注册号：1120050019）</v>
      </c>
      <c r="E7" s="2603" t="s">
        <v>174</v>
      </c>
      <c r="F7" s="2602">
        <f ca="1">IF(G7&lt;B2,"已过期",2002110030)</f>
        <v>2002110030</v>
      </c>
      <c r="G7" s="2606">
        <v>46387</v>
      </c>
      <c r="H7" s="2607" t="str">
        <f t="shared" ca="1" si="1"/>
        <v>王鹏（注册号：2002110030）</v>
      </c>
    </row>
    <row r="8" spans="1:8" ht="24" customHeight="1">
      <c r="A8" s="2603" t="s">
        <v>175</v>
      </c>
      <c r="B8" s="2602">
        <f ca="1">IF(C8&lt;B2,"已过期",1120000080)</f>
        <v>1120000080</v>
      </c>
      <c r="C8" s="2604">
        <v>43849</v>
      </c>
      <c r="D8" s="2605" t="str">
        <f t="shared" ca="1" si="0"/>
        <v>欧红伟（注册号：1120000080）</v>
      </c>
      <c r="E8" s="2603" t="s">
        <v>175</v>
      </c>
      <c r="F8" s="2602">
        <f ca="1">IF(G8&lt;B2,"已过期",2000110082)</f>
        <v>2000110082</v>
      </c>
      <c r="G8" s="2606">
        <v>46387</v>
      </c>
      <c r="H8" s="2607" t="str">
        <f t="shared" ca="1" si="1"/>
        <v>欧红伟（注册号：2000110082）</v>
      </c>
    </row>
    <row r="9" spans="1:8" ht="24" customHeight="1">
      <c r="A9" s="2603" t="s">
        <v>176</v>
      </c>
      <c r="B9" s="2602">
        <f ca="1">IF(C9&lt;B2,"已过期",1419970001)</f>
        <v>1419970001</v>
      </c>
      <c r="C9" s="2604">
        <v>43867</v>
      </c>
      <c r="D9" s="2605" t="str">
        <f t="shared" ca="1" si="0"/>
        <v>吴薇（注册号：1419970001）</v>
      </c>
      <c r="E9" s="2603" t="s">
        <v>176</v>
      </c>
      <c r="F9" s="2602">
        <f ca="1">IF(G9&lt;B2,"已过期",2002110125)</f>
        <v>2002110125</v>
      </c>
      <c r="G9" s="2606">
        <v>47118</v>
      </c>
      <c r="H9" s="2607" t="str">
        <f t="shared" ca="1" si="1"/>
        <v>吴薇（注册号：2002110125）</v>
      </c>
    </row>
    <row r="10" spans="1:8" ht="24" customHeight="1">
      <c r="A10" s="2603" t="s">
        <v>177</v>
      </c>
      <c r="B10" s="2602">
        <f ca="1">IF(C10&lt;B2,"已过期",1120060040)</f>
        <v>1120060040</v>
      </c>
      <c r="C10" s="2604">
        <v>43483</v>
      </c>
      <c r="D10" s="2605" t="str">
        <f t="shared" ca="1" si="0"/>
        <v>陈颖（注册号：1120060040）</v>
      </c>
      <c r="E10" s="2603" t="s">
        <v>177</v>
      </c>
      <c r="F10" s="2602">
        <f ca="1">IF(G10&lt;B2,"已过期",2004110096)</f>
        <v>2004110096</v>
      </c>
      <c r="G10" s="2606">
        <v>47118</v>
      </c>
      <c r="H10" s="2607" t="str">
        <f t="shared" ca="1" si="1"/>
        <v>陈颖（注册号：2004110096）</v>
      </c>
    </row>
    <row r="11" spans="1:8" ht="24" customHeight="1">
      <c r="A11" s="2603" t="s">
        <v>178</v>
      </c>
      <c r="B11" s="2602">
        <f ca="1">IF(C11&lt;B2,"已过期",1120100036)</f>
        <v>1120100036</v>
      </c>
      <c r="C11" s="2604">
        <v>43622</v>
      </c>
      <c r="D11" s="2605" t="str">
        <f t="shared" ca="1" si="0"/>
        <v>崔锴（注册号：1120100036）</v>
      </c>
      <c r="E11" s="2603" t="s">
        <v>178</v>
      </c>
      <c r="F11" s="2602">
        <f ca="1">IF(G11&lt;B2,"已过期",2010110070)</f>
        <v>2010110070</v>
      </c>
      <c r="G11" s="2606">
        <v>47907</v>
      </c>
      <c r="H11" s="2607" t="str">
        <f t="shared" ca="1" si="1"/>
        <v>崔锴（注册号：2010110070）</v>
      </c>
    </row>
    <row r="12" spans="1:8" ht="24" customHeight="1">
      <c r="A12" s="2603"/>
      <c r="B12" s="2602"/>
      <c r="C12" s="2604"/>
      <c r="D12" s="2605" t="str">
        <f t="shared" si="0"/>
        <v>（注册号：）</v>
      </c>
      <c r="E12" s="2603"/>
      <c r="F12" s="2602" t="s">
        <v>121</v>
      </c>
      <c r="G12" s="2602" t="s">
        <v>121</v>
      </c>
      <c r="H12" s="2607" t="str">
        <f t="shared" si="1"/>
        <v>（注册号：——）</v>
      </c>
    </row>
    <row r="13" spans="1:8" ht="24" customHeight="1">
      <c r="A13" s="2603" t="s">
        <v>179</v>
      </c>
      <c r="B13" s="2602">
        <f ca="1">IF(C13&lt;B2,"已过期",1120070131)</f>
        <v>1120070131</v>
      </c>
      <c r="C13" s="2604">
        <v>43814</v>
      </c>
      <c r="D13" s="2605" t="str">
        <f t="shared" ca="1" si="0"/>
        <v>郑燚（注册号：1120070131）</v>
      </c>
      <c r="E13" s="2603" t="s">
        <v>179</v>
      </c>
      <c r="F13" s="2602">
        <v>2014110011</v>
      </c>
      <c r="G13" s="2606">
        <v>49302</v>
      </c>
      <c r="H13" s="2607" t="str">
        <f t="shared" si="1"/>
        <v>郑燚（注册号：2014110011）</v>
      </c>
    </row>
    <row r="14" spans="1:8" ht="24" customHeight="1">
      <c r="A14" s="2603" t="s">
        <v>180</v>
      </c>
      <c r="B14" s="2602">
        <f ca="1">IF(C14&lt;B2,"已过期",1120130020)</f>
        <v>1120130020</v>
      </c>
      <c r="C14" s="2604">
        <v>43622</v>
      </c>
      <c r="D14" s="2605" t="str">
        <f t="shared" ca="1" si="0"/>
        <v>马琳琳（注册号：1120130020）</v>
      </c>
      <c r="E14" s="2603"/>
      <c r="F14" s="2602" t="s">
        <v>121</v>
      </c>
      <c r="G14" s="2602" t="s">
        <v>121</v>
      </c>
      <c r="H14" s="2607" t="str">
        <f t="shared" si="1"/>
        <v>（注册号：——）</v>
      </c>
    </row>
    <row r="15" spans="1:8" ht="24" customHeight="1">
      <c r="A15" s="2608" t="s">
        <v>181</v>
      </c>
      <c r="B15" s="2602">
        <v>1120070085</v>
      </c>
      <c r="C15" s="2604">
        <v>43814</v>
      </c>
      <c r="D15" s="2605" t="str">
        <f t="shared" si="0"/>
        <v>杨红英（注册号：1120070085）</v>
      </c>
      <c r="E15" s="2608" t="s">
        <v>181</v>
      </c>
      <c r="F15" s="2602">
        <v>2004110128</v>
      </c>
      <c r="G15" s="2609">
        <v>47118</v>
      </c>
      <c r="H15" s="2607" t="str">
        <f t="shared" si="1"/>
        <v>杨红英（注册号：2004110128）</v>
      </c>
    </row>
    <row r="16" spans="1:8" ht="24" customHeight="1">
      <c r="A16" s="2603" t="s">
        <v>182</v>
      </c>
      <c r="B16" s="2602">
        <f ca="1">IF(C16&lt;B2,"已过期",1120140022)</f>
        <v>1120140022</v>
      </c>
      <c r="C16" s="2604">
        <v>44029</v>
      </c>
      <c r="D16" s="2605" t="str">
        <f t="shared" ca="1" si="0"/>
        <v>刘梅（注册号：1120140022）</v>
      </c>
      <c r="E16" s="2603" t="s">
        <v>182</v>
      </c>
      <c r="F16" s="2602">
        <f ca="1">IF(G16&lt;B2,"已过期",2008110059)</f>
        <v>2008110059</v>
      </c>
      <c r="G16" s="2606">
        <v>47177</v>
      </c>
      <c r="H16" s="2607" t="str">
        <f t="shared" ca="1" si="1"/>
        <v>刘梅（注册号：2008110059）</v>
      </c>
    </row>
    <row r="17" spans="1:8" ht="24" customHeight="1">
      <c r="A17" s="2603"/>
      <c r="B17" s="2602"/>
      <c r="C17" s="2604"/>
      <c r="D17" s="2605"/>
      <c r="E17" s="2603"/>
      <c r="F17" s="2602"/>
      <c r="G17" s="2606"/>
      <c r="H17" s="2607"/>
    </row>
    <row r="18" spans="1:8" ht="24" customHeight="1">
      <c r="A18" s="2603"/>
      <c r="B18" s="2602"/>
      <c r="C18" s="2604"/>
      <c r="D18" s="2605"/>
      <c r="E18" s="2603"/>
      <c r="F18" s="2602"/>
      <c r="G18" s="2606"/>
      <c r="H18" s="2607"/>
    </row>
    <row r="19" spans="1:8" ht="24" customHeight="1">
      <c r="A19" s="2603"/>
      <c r="B19" s="2602"/>
      <c r="C19" s="2604"/>
      <c r="D19" s="2605"/>
      <c r="E19" s="2603"/>
      <c r="F19" s="2602"/>
      <c r="G19" s="2602"/>
      <c r="H19" s="2607"/>
    </row>
    <row r="20" spans="1:8" ht="24" customHeight="1">
      <c r="A20" s="2603"/>
      <c r="B20" s="2602"/>
      <c r="C20" s="2604"/>
      <c r="D20" s="2605"/>
      <c r="E20" s="2603"/>
      <c r="F20" s="2602"/>
      <c r="G20" s="2602"/>
      <c r="H20" s="2607"/>
    </row>
    <row r="21" spans="1:8" ht="24" customHeight="1">
      <c r="A21" s="2603"/>
      <c r="B21" s="2602"/>
      <c r="C21" s="2604"/>
      <c r="D21" s="2605" t="str">
        <f t="shared" si="0"/>
        <v>（注册号：）</v>
      </c>
      <c r="E21" s="2603" t="s">
        <v>183</v>
      </c>
      <c r="F21" s="2602">
        <f ca="1">IF(G21&lt;B2,"已过期",2011110090)</f>
        <v>2011110090</v>
      </c>
      <c r="G21" s="2606">
        <v>48302</v>
      </c>
      <c r="H21" s="2607" t="str">
        <f t="shared" ca="1" si="1"/>
        <v>赵雯（注册号：2011110090）</v>
      </c>
    </row>
    <row r="22" spans="1:8" ht="24" customHeight="1">
      <c r="A22" s="2603" t="s">
        <v>184</v>
      </c>
      <c r="B22" s="2602">
        <f ca="1">IF(C22&lt;B2,"已过期",1120020033)</f>
        <v>1120020033</v>
      </c>
      <c r="C22" s="2604">
        <v>43304</v>
      </c>
      <c r="D22" s="2605" t="str">
        <f t="shared" ca="1" si="0"/>
        <v>刘敬东（注册号：1120020033）</v>
      </c>
      <c r="E22" s="2603" t="s">
        <v>184</v>
      </c>
      <c r="F22" s="2602">
        <f ca="1">IF(G22&lt;B2,"已过期",2000110137)</f>
        <v>2000110137</v>
      </c>
      <c r="G22" s="2606">
        <v>46387</v>
      </c>
      <c r="H22" s="2607" t="str">
        <f t="shared" ca="1" si="1"/>
        <v>刘敬东（注册号：2000110137）</v>
      </c>
    </row>
    <row r="23" spans="1:8" ht="24" customHeight="1">
      <c r="A23" s="2603" t="s">
        <v>185</v>
      </c>
      <c r="B23" s="2602">
        <f ca="1">IF(C23&lt;B2,"已过期",1120130048)</f>
        <v>1120130048</v>
      </c>
      <c r="C23" s="2604">
        <v>43686</v>
      </c>
      <c r="D23" s="2605" t="str">
        <f t="shared" ca="1" si="0"/>
        <v>王萌（注册号：1120130048）</v>
      </c>
      <c r="E23" s="2603"/>
      <c r="F23" s="2602"/>
      <c r="G23" s="2602"/>
      <c r="H23" s="2607" t="str">
        <f t="shared" si="1"/>
        <v>（注册号：）</v>
      </c>
    </row>
    <row r="24" spans="1:8" s="2591" customFormat="1" ht="24" customHeight="1">
      <c r="A24" s="2602" t="s">
        <v>121</v>
      </c>
      <c r="B24" s="2602" t="s">
        <v>121</v>
      </c>
      <c r="C24" s="2602" t="s">
        <v>121</v>
      </c>
      <c r="D24" s="2605" t="str">
        <f t="shared" si="0"/>
        <v>——（注册号：——）</v>
      </c>
      <c r="E24" s="2602" t="s">
        <v>121</v>
      </c>
      <c r="F24" s="2602" t="s">
        <v>121</v>
      </c>
      <c r="G24" s="2602" t="s">
        <v>121</v>
      </c>
      <c r="H24" s="2607" t="str">
        <f t="shared" si="1"/>
        <v>——（注册号：——）</v>
      </c>
    </row>
    <row r="25" spans="1:8" ht="24" customHeight="1">
      <c r="A25" s="2800" t="s">
        <v>186</v>
      </c>
      <c r="B25" s="2800"/>
      <c r="C25" s="2800"/>
      <c r="D25" s="2800"/>
      <c r="E25" s="2800"/>
      <c r="F25" s="2800"/>
      <c r="G25" s="2800"/>
      <c r="H25" s="2800"/>
    </row>
    <row r="26" spans="1:8" s="2592" customFormat="1" ht="24" customHeight="1">
      <c r="A26" s="2801" t="s">
        <v>187</v>
      </c>
      <c r="B26" s="2801"/>
      <c r="C26" s="2801"/>
      <c r="D26" s="2610"/>
      <c r="E26" s="2610"/>
      <c r="F26" s="2801" t="s">
        <v>188</v>
      </c>
      <c r="G26" s="2801"/>
      <c r="H26" s="2801"/>
    </row>
    <row r="27" spans="1:8" s="2593" customFormat="1" ht="24" customHeight="1">
      <c r="A27" s="2611" t="s">
        <v>189</v>
      </c>
      <c r="B27" s="2599" t="s">
        <v>190</v>
      </c>
      <c r="C27" s="2599" t="s">
        <v>166</v>
      </c>
      <c r="D27" s="2599"/>
      <c r="E27" s="2599"/>
      <c r="F27" s="2602" t="s">
        <v>189</v>
      </c>
      <c r="G27" s="2599" t="s">
        <v>190</v>
      </c>
      <c r="H27" s="2599" t="s">
        <v>166</v>
      </c>
    </row>
    <row r="28" spans="1:8" s="2593" customFormat="1" ht="24" customHeight="1">
      <c r="A28" s="2612" t="s">
        <v>191</v>
      </c>
      <c r="B28" s="2613" t="s">
        <v>192</v>
      </c>
      <c r="C28" s="2606">
        <v>43725</v>
      </c>
      <c r="D28" s="2606"/>
      <c r="E28" s="2606"/>
      <c r="F28" s="2612" t="s">
        <v>193</v>
      </c>
      <c r="G28" s="2612" t="s">
        <v>194</v>
      </c>
      <c r="H28" s="2614">
        <v>44377</v>
      </c>
    </row>
    <row r="29" spans="1:8" s="2593" customFormat="1" ht="24" customHeight="1">
      <c r="A29" s="2612"/>
      <c r="B29" s="2612"/>
      <c r="C29" s="2615"/>
      <c r="D29" s="2615"/>
      <c r="E29" s="2615"/>
      <c r="F29" s="2612" t="s">
        <v>195</v>
      </c>
      <c r="G29" s="2616" t="s">
        <v>196</v>
      </c>
      <c r="H29" s="2617">
        <v>43281</v>
      </c>
    </row>
    <row r="30" spans="1:8" ht="24" customHeight="1">
      <c r="C30" s="2618"/>
      <c r="D30" s="2618"/>
      <c r="E30" s="2618"/>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6" customWidth="1"/>
    <col min="2" max="2" width="22.5" style="2577"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7" customWidth="1"/>
    <col min="27" max="16384" width="9" style="2577"/>
  </cols>
  <sheetData>
    <row r="1" spans="1:25" s="2575" customFormat="1" ht="27">
      <c r="A1" s="2578" t="s">
        <v>197</v>
      </c>
      <c r="B1" s="2579" t="s">
        <v>198</v>
      </c>
      <c r="C1" s="2580" t="s">
        <v>199</v>
      </c>
      <c r="D1" s="2581" t="s">
        <v>200</v>
      </c>
      <c r="E1" s="2581" t="s">
        <v>201</v>
      </c>
      <c r="F1" s="2581" t="s">
        <v>202</v>
      </c>
      <c r="G1" s="2581" t="s">
        <v>203</v>
      </c>
      <c r="H1" s="2581" t="s">
        <v>204</v>
      </c>
      <c r="I1" s="2581" t="s">
        <v>205</v>
      </c>
      <c r="J1" s="2581" t="s">
        <v>206</v>
      </c>
      <c r="K1" s="2581" t="s">
        <v>207</v>
      </c>
      <c r="L1" s="2581" t="s">
        <v>208</v>
      </c>
      <c r="M1" s="2581" t="s">
        <v>209</v>
      </c>
      <c r="N1" s="2581" t="s">
        <v>210</v>
      </c>
      <c r="O1" s="2581" t="s">
        <v>211</v>
      </c>
      <c r="P1" s="2589" t="s">
        <v>212</v>
      </c>
      <c r="Q1" s="2589" t="s">
        <v>213</v>
      </c>
      <c r="R1" s="2589" t="s">
        <v>214</v>
      </c>
      <c r="S1" s="2581" t="s">
        <v>215</v>
      </c>
      <c r="T1" s="2590" t="s">
        <v>216</v>
      </c>
      <c r="U1" s="2581" t="s">
        <v>217</v>
      </c>
      <c r="V1" s="2581" t="s">
        <v>218</v>
      </c>
      <c r="W1" s="2581" t="s">
        <v>219</v>
      </c>
      <c r="X1" s="2581" t="s">
        <v>220</v>
      </c>
      <c r="Y1" s="2581" t="s">
        <v>221</v>
      </c>
    </row>
    <row r="2" spans="1:25">
      <c r="A2" s="2582" t="s">
        <v>121</v>
      </c>
      <c r="B2" s="2582" t="s">
        <v>222</v>
      </c>
      <c r="C2" s="2583"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82" t="s">
        <v>234</v>
      </c>
      <c r="B3" s="2584"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82" t="s">
        <v>246</v>
      </c>
      <c r="B4" s="2584" t="s">
        <v>247</v>
      </c>
      <c r="C4" s="2583"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82" t="s">
        <v>256</v>
      </c>
      <c r="B5" s="2582" t="s">
        <v>257</v>
      </c>
      <c r="C5" s="2583"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7"/>
    </row>
    <row r="6" spans="1:25">
      <c r="A6" s="2582" t="s">
        <v>264</v>
      </c>
      <c r="B6" s="2582"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7"/>
    </row>
    <row r="7" spans="1:25">
      <c r="A7" s="2582" t="s">
        <v>270</v>
      </c>
      <c r="B7" s="2584" t="s">
        <v>271</v>
      </c>
      <c r="C7" s="2583" t="s">
        <v>272</v>
      </c>
      <c r="F7" s="538" t="s">
        <v>273</v>
      </c>
      <c r="H7" s="538" t="s">
        <v>155</v>
      </c>
      <c r="I7" s="538" t="s">
        <v>274</v>
      </c>
      <c r="X7" s="2587"/>
    </row>
    <row r="8" spans="1:25">
      <c r="A8" s="2582" t="s">
        <v>275</v>
      </c>
      <c r="B8" s="2584" t="s">
        <v>276</v>
      </c>
      <c r="C8" s="2583" t="s">
        <v>277</v>
      </c>
      <c r="F8" s="538" t="s">
        <v>278</v>
      </c>
      <c r="H8" s="538" t="s">
        <v>279</v>
      </c>
      <c r="I8" s="538" t="s">
        <v>280</v>
      </c>
      <c r="X8" s="2587"/>
    </row>
    <row r="9" spans="1:25">
      <c r="A9" s="2582" t="s">
        <v>281</v>
      </c>
      <c r="B9" s="2582" t="s">
        <v>282</v>
      </c>
      <c r="C9" s="2583" t="s">
        <v>283</v>
      </c>
      <c r="F9" s="538" t="s">
        <v>157</v>
      </c>
      <c r="H9" s="538" t="s">
        <v>284</v>
      </c>
    </row>
    <row r="10" spans="1:25">
      <c r="A10" s="2582" t="s">
        <v>285</v>
      </c>
      <c r="B10" s="2582" t="s">
        <v>286</v>
      </c>
      <c r="C10" s="2583" t="s">
        <v>287</v>
      </c>
      <c r="F10" s="538" t="s">
        <v>121</v>
      </c>
    </row>
    <row r="11" spans="1:25">
      <c r="A11" s="2582" t="s">
        <v>288</v>
      </c>
      <c r="B11" s="2582" t="s">
        <v>289</v>
      </c>
      <c r="C11" s="2583" t="s">
        <v>290</v>
      </c>
    </row>
    <row r="12" spans="1:25">
      <c r="A12" s="2582" t="s">
        <v>291</v>
      </c>
      <c r="B12" s="2582" t="s">
        <v>292</v>
      </c>
      <c r="C12" s="2583" t="s">
        <v>293</v>
      </c>
    </row>
    <row r="13" spans="1:25">
      <c r="A13" s="2582" t="s">
        <v>294</v>
      </c>
      <c r="B13" s="2582" t="s">
        <v>295</v>
      </c>
      <c r="C13" s="2583" t="s">
        <v>296</v>
      </c>
    </row>
    <row r="14" spans="1:25">
      <c r="A14" s="2582" t="s">
        <v>297</v>
      </c>
      <c r="B14" s="2582" t="s">
        <v>298</v>
      </c>
      <c r="C14" s="2583"/>
    </row>
    <row r="15" spans="1:25">
      <c r="A15" s="2582" t="s">
        <v>299</v>
      </c>
      <c r="B15" s="2582" t="s">
        <v>300</v>
      </c>
      <c r="C15" s="2583"/>
    </row>
    <row r="16" spans="1:25">
      <c r="A16" s="2582" t="s">
        <v>301</v>
      </c>
      <c r="B16" s="2582" t="s">
        <v>302</v>
      </c>
      <c r="C16" s="2583"/>
    </row>
    <row r="17" spans="1:3">
      <c r="A17" s="2582" t="s">
        <v>303</v>
      </c>
      <c r="B17" s="2582" t="s">
        <v>304</v>
      </c>
      <c r="C17" s="2583"/>
    </row>
    <row r="18" spans="1:3">
      <c r="A18" s="2582" t="s">
        <v>305</v>
      </c>
      <c r="B18" s="2582" t="s">
        <v>306</v>
      </c>
      <c r="C18" s="2583"/>
    </row>
    <row r="19" spans="1:3">
      <c r="A19" s="2582" t="s">
        <v>307</v>
      </c>
      <c r="B19" s="2582" t="s">
        <v>308</v>
      </c>
      <c r="C19" s="2583"/>
    </row>
    <row r="20" spans="1:3">
      <c r="A20" s="2582" t="s">
        <v>309</v>
      </c>
      <c r="B20" s="2582" t="s">
        <v>310</v>
      </c>
      <c r="C20" s="2583"/>
    </row>
    <row r="21" spans="1:3">
      <c r="A21" s="2582" t="s">
        <v>259</v>
      </c>
      <c r="B21" s="2582" t="s">
        <v>310</v>
      </c>
      <c r="C21" s="2583"/>
    </row>
    <row r="22" spans="1:3">
      <c r="A22" s="2582" t="s">
        <v>311</v>
      </c>
      <c r="B22" s="2582" t="s">
        <v>310</v>
      </c>
      <c r="C22" s="2583"/>
    </row>
    <row r="23" spans="1:3">
      <c r="A23" s="2582" t="s">
        <v>312</v>
      </c>
      <c r="B23" s="2582" t="s">
        <v>310</v>
      </c>
      <c r="C23" s="2583"/>
    </row>
    <row r="24" spans="1:3">
      <c r="A24" s="2582" t="s">
        <v>313</v>
      </c>
      <c r="B24" s="2582" t="s">
        <v>310</v>
      </c>
      <c r="C24" s="2583"/>
    </row>
    <row r="25" spans="1:3">
      <c r="A25" s="2582" t="s">
        <v>314</v>
      </c>
      <c r="B25" s="2582" t="s">
        <v>310</v>
      </c>
      <c r="C25" s="2583"/>
    </row>
    <row r="26" spans="1:3">
      <c r="A26" s="2582" t="s">
        <v>315</v>
      </c>
      <c r="B26" s="2582" t="s">
        <v>310</v>
      </c>
      <c r="C26" s="2583"/>
    </row>
    <row r="27" spans="1:3">
      <c r="A27" s="2582" t="s">
        <v>310</v>
      </c>
      <c r="B27" s="2582" t="s">
        <v>310</v>
      </c>
      <c r="C27" s="2583"/>
    </row>
    <row r="28" spans="1:3">
      <c r="A28" s="2582" t="s">
        <v>310</v>
      </c>
      <c r="B28" s="2582" t="s">
        <v>310</v>
      </c>
      <c r="C28" s="2583"/>
    </row>
    <row r="29" spans="1:3">
      <c r="A29" s="2582" t="s">
        <v>310</v>
      </c>
      <c r="B29" s="2582" t="s">
        <v>310</v>
      </c>
      <c r="C29" s="2583"/>
    </row>
    <row r="30" spans="1:3">
      <c r="A30" s="2582" t="s">
        <v>310</v>
      </c>
      <c r="B30" s="2582" t="s">
        <v>310</v>
      </c>
      <c r="C30" s="2583"/>
    </row>
    <row r="31" spans="1:3">
      <c r="A31" s="2582" t="s">
        <v>310</v>
      </c>
      <c r="B31" s="2582" t="s">
        <v>310</v>
      </c>
      <c r="C31" s="2583"/>
    </row>
    <row r="32" spans="1:3">
      <c r="A32" s="2582" t="s">
        <v>310</v>
      </c>
      <c r="B32" s="2582" t="s">
        <v>310</v>
      </c>
      <c r="C32" s="2583"/>
    </row>
    <row r="33" spans="1:3">
      <c r="A33" s="2582" t="s">
        <v>310</v>
      </c>
      <c r="B33" s="2582" t="s">
        <v>310</v>
      </c>
      <c r="C33" s="2583"/>
    </row>
    <row r="34" spans="1:3">
      <c r="A34" s="2582" t="s">
        <v>310</v>
      </c>
      <c r="B34" s="2582" t="s">
        <v>310</v>
      </c>
      <c r="C34" s="2583"/>
    </row>
    <row r="35" spans="1:3">
      <c r="A35" s="2582" t="s">
        <v>310</v>
      </c>
      <c r="B35" s="2582" t="s">
        <v>310</v>
      </c>
      <c r="C35" s="2583"/>
    </row>
    <row r="36" spans="1:3">
      <c r="A36" s="2582" t="s">
        <v>310</v>
      </c>
      <c r="B36" s="2582" t="s">
        <v>310</v>
      </c>
      <c r="C36" s="2583"/>
    </row>
    <row r="37" spans="1:3">
      <c r="A37" s="2582" t="s">
        <v>310</v>
      </c>
      <c r="B37" s="2582" t="s">
        <v>310</v>
      </c>
      <c r="C37" s="2583"/>
    </row>
    <row r="38" spans="1:3">
      <c r="A38" s="2582" t="s">
        <v>310</v>
      </c>
      <c r="B38" s="2582" t="s">
        <v>310</v>
      </c>
      <c r="C38" s="2583"/>
    </row>
    <row r="39" spans="1:3">
      <c r="A39" s="2582" t="s">
        <v>310</v>
      </c>
      <c r="B39" s="2582" t="s">
        <v>310</v>
      </c>
      <c r="C39" s="2583"/>
    </row>
    <row r="40" spans="1:3">
      <c r="A40" s="2582" t="s">
        <v>310</v>
      </c>
      <c r="B40" s="2582" t="s">
        <v>310</v>
      </c>
      <c r="C40" s="2583"/>
    </row>
    <row r="41" spans="1:3">
      <c r="A41" s="2582" t="s">
        <v>310</v>
      </c>
      <c r="B41" s="2582" t="s">
        <v>310</v>
      </c>
      <c r="C41" s="2583"/>
    </row>
    <row r="42" spans="1:3">
      <c r="A42" s="2582" t="s">
        <v>310</v>
      </c>
      <c r="B42" s="2582" t="s">
        <v>310</v>
      </c>
      <c r="C42" s="2583"/>
    </row>
    <row r="43" spans="1:3">
      <c r="A43" s="2582" t="s">
        <v>310</v>
      </c>
      <c r="B43" s="2582" t="s">
        <v>310</v>
      </c>
      <c r="C43" s="2583"/>
    </row>
    <row r="44" spans="1:3">
      <c r="A44" s="2582" t="s">
        <v>310</v>
      </c>
      <c r="B44" s="2582" t="s">
        <v>310</v>
      </c>
      <c r="C44" s="2583"/>
    </row>
    <row r="45" spans="1:3">
      <c r="A45" s="2582" t="s">
        <v>310</v>
      </c>
      <c r="B45" s="2582" t="s">
        <v>310</v>
      </c>
      <c r="C45" s="2583"/>
    </row>
    <row r="46" spans="1:3">
      <c r="A46" s="2582" t="s">
        <v>310</v>
      </c>
      <c r="B46" s="2582" t="s">
        <v>310</v>
      </c>
      <c r="C46" s="2583"/>
    </row>
    <row r="47" spans="1:3">
      <c r="A47" s="2582" t="s">
        <v>310</v>
      </c>
      <c r="B47" s="2582" t="s">
        <v>310</v>
      </c>
      <c r="C47" s="2583"/>
    </row>
    <row r="48" spans="1:3">
      <c r="A48" s="2582" t="s">
        <v>310</v>
      </c>
      <c r="B48" s="2582" t="s">
        <v>310</v>
      </c>
      <c r="C48" s="2583"/>
    </row>
    <row r="49" spans="1:4">
      <c r="A49" s="2582" t="s">
        <v>310</v>
      </c>
      <c r="B49" s="2582" t="s">
        <v>310</v>
      </c>
      <c r="C49" s="2583"/>
    </row>
    <row r="50" spans="1:4">
      <c r="A50" s="2582" t="s">
        <v>310</v>
      </c>
      <c r="B50" s="2582" t="s">
        <v>310</v>
      </c>
      <c r="C50" s="2583"/>
    </row>
    <row r="51" spans="1:4">
      <c r="A51" s="2585"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李树华拟使用北京市房地产作为抵押担保物，向办理贷款手续。特委托北京康正宏基房地产评估有限公司对上述抵押物进行评估。本次评估为确定房地产抵押贷款额度提供参考依据而评估房地产抵押价值。</v>
      </c>
      <c r="D51" s="2144" t="s">
        <v>317</v>
      </c>
    </row>
    <row r="52" spans="1:4">
      <c r="A52" s="2585" t="s">
        <v>318</v>
      </c>
      <c r="B52" s="2585" t="s">
        <v>319</v>
      </c>
      <c r="C52" s="537" t="s">
        <v>320</v>
      </c>
      <c r="D52" s="537" t="s">
        <v>321</v>
      </c>
    </row>
    <row r="53" spans="1:4" ht="14.25" customHeight="1">
      <c r="A53" s="2802"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本次估价的“房地产价值”是指在正常市场情况下，在价值时点2018年4月9日，估价对象规划用途为，假定未设立法定优先受偿款下的房地产市场价值。</v>
      </c>
    </row>
    <row r="54" spans="1:4">
      <c r="A54" s="2802"/>
      <c r="B54" s="537" t="s">
        <v>324</v>
      </c>
      <c r="C54" s="537" t="s">
        <v>325</v>
      </c>
    </row>
    <row r="55" spans="1:4">
      <c r="A55" s="2802"/>
      <c r="B55" s="537" t="s">
        <v>326</v>
      </c>
      <c r="C55" s="537" t="s">
        <v>327</v>
      </c>
    </row>
    <row r="56" spans="1:4">
      <c r="A56" s="2802"/>
      <c r="B56" s="537" t="s">
        <v>328</v>
      </c>
      <c r="C56" s="537" t="s">
        <v>329</v>
      </c>
    </row>
    <row r="57" spans="1:4">
      <c r="A57" s="2802"/>
      <c r="B57" s="537" t="s">
        <v>330</v>
      </c>
      <c r="C57" s="537" t="s">
        <v>331</v>
      </c>
    </row>
    <row r="58" spans="1:4">
      <c r="A58" s="2586"/>
      <c r="B58" s="2587"/>
    </row>
    <row r="59" spans="1:4">
      <c r="A59" s="2586"/>
      <c r="B59" s="2587"/>
    </row>
    <row r="60" spans="1:4">
      <c r="A60" s="2588"/>
      <c r="B60" s="537"/>
    </row>
    <row r="61" spans="1:4">
      <c r="A61" s="2588"/>
      <c r="B61" s="537"/>
    </row>
    <row r="62" spans="1:4">
      <c r="A62" s="2588"/>
      <c r="B62" s="537"/>
    </row>
    <row r="63" spans="1:4">
      <c r="A63" s="2588"/>
      <c r="B63" s="537"/>
    </row>
    <row r="64" spans="1:4">
      <c r="A64" s="2588"/>
      <c r="B64" s="537"/>
    </row>
    <row r="65" spans="1:2">
      <c r="A65" s="2588"/>
      <c r="B65" s="537"/>
    </row>
    <row r="66" spans="1:2">
      <c r="A66" s="2588"/>
      <c r="B66" s="537"/>
    </row>
    <row r="67" spans="1:2">
      <c r="A67" s="2588"/>
      <c r="B67" s="537"/>
    </row>
    <row r="68" spans="1:2">
      <c r="A68" s="2588"/>
      <c r="B68" s="537"/>
    </row>
    <row r="69" spans="1:2">
      <c r="A69" s="2588"/>
      <c r="B69" s="537"/>
    </row>
    <row r="70" spans="1:2">
      <c r="A70" s="2588"/>
      <c r="B70" s="537"/>
    </row>
    <row r="71" spans="1:2">
      <c r="A71" s="2588"/>
      <c r="B71" s="537"/>
    </row>
    <row r="72" spans="1:2">
      <c r="A72" s="2588"/>
      <c r="B72" s="537"/>
    </row>
    <row r="73" spans="1:2">
      <c r="A73" s="2588"/>
      <c r="B73" s="537"/>
    </row>
    <row r="74" spans="1:2">
      <c r="A74" s="2588"/>
      <c r="B74" s="537"/>
    </row>
    <row r="75" spans="1:2">
      <c r="A75" s="2588"/>
      <c r="B75" s="537"/>
    </row>
    <row r="76" spans="1:2">
      <c r="A76" s="2588"/>
      <c r="B76" s="537"/>
    </row>
    <row r="77" spans="1:2">
      <c r="A77" s="2588"/>
      <c r="B77" s="537"/>
    </row>
    <row r="78" spans="1:2">
      <c r="A78" s="2588"/>
      <c r="B78" s="537"/>
    </row>
    <row r="79" spans="1:2">
      <c r="A79" s="2588"/>
      <c r="B79" s="537"/>
    </row>
    <row r="80" spans="1:2">
      <c r="A80" s="2588"/>
      <c r="B80" s="537"/>
    </row>
    <row r="81" spans="1:2">
      <c r="A81" s="2588"/>
      <c r="B81" s="537"/>
    </row>
    <row r="82" spans="1:2">
      <c r="A82" s="2588"/>
      <c r="B82" s="537"/>
    </row>
    <row r="83" spans="1:2">
      <c r="A83" s="2588"/>
      <c r="B83" s="537"/>
    </row>
    <row r="84" spans="1:2">
      <c r="A84" s="2588"/>
      <c r="B84" s="537"/>
    </row>
    <row r="85" spans="1:2">
      <c r="A85" s="2588"/>
      <c r="B85" s="537"/>
    </row>
    <row r="86" spans="1:2">
      <c r="A86" s="2588"/>
      <c r="B86" s="537"/>
    </row>
    <row r="87" spans="1:2">
      <c r="A87" s="2588"/>
      <c r="B87" s="537"/>
    </row>
    <row r="88" spans="1:2">
      <c r="A88" s="2588"/>
      <c r="B88" s="537"/>
    </row>
    <row r="89" spans="1:2">
      <c r="A89" s="2588"/>
      <c r="B89" s="537"/>
    </row>
    <row r="90" spans="1:2">
      <c r="A90" s="2588"/>
      <c r="B90" s="537"/>
    </row>
    <row r="91" spans="1:2">
      <c r="A91" s="2588"/>
      <c r="B91" s="537"/>
    </row>
    <row r="92" spans="1:2">
      <c r="A92" s="2588"/>
      <c r="B92" s="537"/>
    </row>
    <row r="93" spans="1:2">
      <c r="A93" s="2588"/>
      <c r="B93" s="537"/>
    </row>
    <row r="94" spans="1:2">
      <c r="A94" s="2588"/>
      <c r="B94" s="537"/>
    </row>
    <row r="95" spans="1:2">
      <c r="A95" s="2588"/>
      <c r="B95" s="537"/>
    </row>
    <row r="96" spans="1:2">
      <c r="A96" s="2588"/>
      <c r="B96" s="537"/>
    </row>
    <row r="97" spans="1:2">
      <c r="A97" s="2588"/>
      <c r="B97" s="537"/>
    </row>
    <row r="98" spans="1:2">
      <c r="A98" s="2588"/>
      <c r="B98" s="537"/>
    </row>
    <row r="99" spans="1:2">
      <c r="A99" s="2588"/>
      <c r="B99" s="537"/>
    </row>
    <row r="100" spans="1:2">
      <c r="A100" s="2588"/>
      <c r="B100" s="537"/>
    </row>
    <row r="101" spans="1:2">
      <c r="A101" s="2588"/>
      <c r="B101" s="537"/>
    </row>
    <row r="102" spans="1:2">
      <c r="A102" s="2588"/>
      <c r="B102" s="537"/>
    </row>
    <row r="103" spans="1:2">
      <c r="A103" s="2588"/>
      <c r="B103" s="537"/>
    </row>
    <row r="104" spans="1:2">
      <c r="A104" s="2588"/>
      <c r="B104" s="537"/>
    </row>
    <row r="105" spans="1:2">
      <c r="A105" s="2588"/>
      <c r="B105" s="537"/>
    </row>
    <row r="106" spans="1:2">
      <c r="A106" s="2588"/>
      <c r="B106" s="537"/>
    </row>
    <row r="107" spans="1:2">
      <c r="A107" s="2588"/>
      <c r="B107" s="537"/>
    </row>
    <row r="108" spans="1:2">
      <c r="A108" s="2588"/>
      <c r="B108" s="537"/>
    </row>
    <row r="109" spans="1:2">
      <c r="A109" s="2588"/>
      <c r="B109" s="537"/>
    </row>
    <row r="110" spans="1:2">
      <c r="A110" s="2588"/>
      <c r="B110" s="537"/>
    </row>
    <row r="111" spans="1:2">
      <c r="A111" s="2588"/>
      <c r="B111" s="537"/>
    </row>
    <row r="112" spans="1:2">
      <c r="A112" s="2588"/>
      <c r="B112" s="537"/>
    </row>
    <row r="113" spans="1:2">
      <c r="A113" s="2588"/>
      <c r="B113" s="537"/>
    </row>
    <row r="114" spans="1:2">
      <c r="A114" s="2588"/>
      <c r="B114" s="537"/>
    </row>
    <row r="115" spans="1:2">
      <c r="A115" s="2588"/>
      <c r="B115" s="537"/>
    </row>
    <row r="116" spans="1:2">
      <c r="A116" s="2588"/>
      <c r="B116" s="537"/>
    </row>
    <row r="117" spans="1:2">
      <c r="A117" s="2588"/>
      <c r="B117" s="537"/>
    </row>
    <row r="118" spans="1:2">
      <c r="A118" s="2588"/>
      <c r="B118" s="537"/>
    </row>
    <row r="119" spans="1:2">
      <c r="A119" s="2588"/>
      <c r="B119" s="537"/>
    </row>
    <row r="120" spans="1:2">
      <c r="A120" s="2588"/>
      <c r="B120" s="537"/>
    </row>
    <row r="121" spans="1:2">
      <c r="A121" s="2588"/>
      <c r="B121" s="537"/>
    </row>
    <row r="122" spans="1:2">
      <c r="A122" s="2588"/>
      <c r="B122" s="537"/>
    </row>
    <row r="123" spans="1:2">
      <c r="A123" s="2588"/>
      <c r="B123" s="537"/>
    </row>
    <row r="124" spans="1:2">
      <c r="A124" s="2588"/>
      <c r="B124" s="537"/>
    </row>
    <row r="125" spans="1:2">
      <c r="A125" s="2588"/>
      <c r="B125" s="537"/>
    </row>
    <row r="126" spans="1:2">
      <c r="A126" s="2588"/>
      <c r="B126" s="537"/>
    </row>
    <row r="127" spans="1:2">
      <c r="A127" s="2588"/>
      <c r="B127" s="537"/>
    </row>
    <row r="128" spans="1:2">
      <c r="A128" s="2588"/>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2018-04-09T05:49:48Z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