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805" windowHeight="1093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3" l="1"/>
  <c r="G7" i="33"/>
  <c r="E7" i="33"/>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4" i="59"/>
  <c r="D43" i="59"/>
  <c r="C48" i="59"/>
  <c r="D48" i="59"/>
  <c r="D47" i="59"/>
  <c r="C52" i="59"/>
  <c r="C53" i="59" s="1"/>
  <c r="D51" i="59"/>
  <c r="P29" i="59"/>
  <c r="AA27" i="59" s="1"/>
  <c r="E60" i="59"/>
  <c r="E61" i="59" s="1"/>
  <c r="U61" i="59" s="1"/>
  <c r="Q66" i="59"/>
  <c r="P67" i="59"/>
  <c r="U73" i="59"/>
  <c r="E72" i="59"/>
  <c r="E71" i="59"/>
  <c r="Q29" i="59"/>
  <c r="C56" i="59"/>
  <c r="D56" i="59" s="1"/>
  <c r="D55" i="59"/>
  <c r="C64" i="59"/>
  <c r="D64" i="59" s="1"/>
  <c r="D63"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57" i="59"/>
  <c r="D57" i="59" s="1"/>
  <c r="N66" i="59"/>
  <c r="N67" i="59"/>
  <c r="C45" i="59"/>
  <c r="D45" i="59" s="1"/>
  <c r="D44" i="59"/>
  <c r="D28" i="59"/>
  <c r="F28" i="59"/>
  <c r="F27" i="59" s="1"/>
  <c r="V29" i="59"/>
  <c r="T45" i="59"/>
  <c r="T57"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AB23" i="33" s="1"/>
  <c r="F19" i="33"/>
  <c r="S19" i="33" s="1"/>
  <c r="J19" i="33"/>
  <c r="W19" i="33" s="1"/>
  <c r="H17" i="33"/>
  <c r="AB17" i="33" s="1"/>
  <c r="J15" i="33"/>
  <c r="AC15" i="33" s="1"/>
  <c r="F11" i="33"/>
  <c r="AA11" i="33"/>
  <c r="W10" i="33"/>
  <c r="H10" i="33"/>
  <c r="U10" i="33" s="1"/>
  <c r="S10" i="21"/>
  <c r="U40" i="33"/>
  <c r="U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s="1"/>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27" i="33"/>
  <c r="U34" i="33"/>
  <c r="U38" i="33"/>
  <c r="W37" i="33"/>
  <c r="W43" i="33"/>
  <c r="AC41" i="33"/>
  <c r="AC27" i="33"/>
  <c r="AA45" i="33"/>
  <c r="U46" i="33"/>
  <c r="S23" i="33"/>
  <c r="S10" i="33"/>
  <c r="AC12" i="33"/>
  <c r="W39" i="33"/>
  <c r="W9" i="33"/>
  <c r="W13" i="33"/>
  <c r="AC46"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D123" i="9"/>
  <c r="D6" i="52" s="1"/>
  <c r="D124" i="9"/>
  <c r="D7" i="52"/>
  <c r="B58" i="60"/>
  <c r="L109" i="43"/>
  <c r="K106" i="43"/>
  <c r="C104" i="43"/>
  <c r="A125" i="57"/>
  <c r="N104" i="46"/>
  <c r="J17" i="4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W35" i="33"/>
  <c r="W40" i="33"/>
  <c r="S33" i="33"/>
  <c r="U35" i="33"/>
  <c r="U32" i="33"/>
  <c r="AC45" i="33"/>
  <c r="AB29" i="33"/>
  <c r="AB36"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E19" i="1"/>
  <c r="D18" i="1"/>
  <c r="F19" i="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116" i="9"/>
  <c r="D114" i="9"/>
  <c r="D115" i="9"/>
  <c r="I113" i="9" s="1"/>
  <c r="E2" i="34"/>
  <c r="F5" i="61"/>
  <c r="F7" i="61"/>
  <c r="C19" i="57"/>
  <c r="F6" i="61"/>
  <c r="D19" i="57"/>
  <c r="F3" i="61"/>
  <c r="E2" i="33"/>
  <c r="H23" i="31"/>
  <c r="D20" i="57"/>
  <c r="C20" i="57"/>
  <c r="E2" i="35"/>
  <c r="E2" i="21"/>
  <c r="E2" i="37"/>
  <c r="E2" i="36"/>
  <c r="F4" i="61"/>
  <c r="E2" i="11"/>
  <c r="J1" i="61" l="1"/>
  <c r="C7" i="36"/>
  <c r="C46" i="36" s="1"/>
  <c r="C7" i="21"/>
  <c r="C58" i="21" s="1"/>
  <c r="D58" i="21" s="1"/>
  <c r="U23" i="33"/>
  <c r="W23" i="33"/>
  <c r="F17" i="33"/>
  <c r="AA17" i="33" s="1"/>
  <c r="J17" i="33"/>
  <c r="U21" i="33"/>
  <c r="AA19" i="33"/>
  <c r="AC19" i="33"/>
  <c r="S17" i="33"/>
  <c r="U17" i="33"/>
  <c r="W15" i="33"/>
  <c r="U15" i="33"/>
  <c r="U33" i="33"/>
  <c r="AA28" i="33"/>
  <c r="W28" i="33"/>
  <c r="AB28" i="33"/>
  <c r="AA36" i="33"/>
  <c r="AB26" i="33"/>
  <c r="S26" i="33"/>
  <c r="S8" i="33"/>
  <c r="D80" i="57"/>
  <c r="D78" i="9"/>
  <c r="D93" i="9"/>
  <c r="C5" i="11"/>
  <c r="F18" i="1"/>
  <c r="C11" i="12" s="1"/>
  <c r="C15" i="12" s="1"/>
  <c r="F50" i="11"/>
  <c r="D20" i="1"/>
  <c r="F34" i="11"/>
  <c r="D24" i="15"/>
  <c r="A132" i="9"/>
  <c r="C120" i="57"/>
  <c r="H116" i="57" s="1"/>
  <c r="D36" i="57"/>
  <c r="P51" i="15"/>
  <c r="C110" i="57"/>
  <c r="H104" i="57" s="1"/>
  <c r="D39" i="50"/>
  <c r="D40" i="50" s="1"/>
  <c r="C106" i="9"/>
  <c r="H102" i="9" s="1"/>
  <c r="C114" i="57"/>
  <c r="H109" i="57" s="1"/>
  <c r="A8" i="52"/>
  <c r="B65" i="60" s="1"/>
  <c r="D42" i="50"/>
  <c r="D43" i="50" s="1"/>
  <c r="J52" i="15"/>
  <c r="M60" i="15" s="1"/>
  <c r="C7" i="34"/>
  <c r="C59" i="34" s="1"/>
  <c r="C7" i="33"/>
  <c r="N47" i="9"/>
  <c r="N49" i="57"/>
  <c r="C53" i="10"/>
  <c r="C7" i="35"/>
  <c r="C48" i="35" s="1"/>
  <c r="D48" i="35" s="1"/>
  <c r="E48" i="35" s="1"/>
  <c r="F48" i="35" s="1"/>
  <c r="G48" i="35" s="1"/>
  <c r="H48" i="35" s="1"/>
  <c r="C7" i="40"/>
  <c r="C62" i="40" s="1"/>
  <c r="D62" i="40" s="1"/>
  <c r="B20" i="59"/>
  <c r="B19" i="59" s="1"/>
  <c r="B18" i="59" s="1"/>
  <c r="B17" i="59" s="1"/>
  <c r="S21" i="59"/>
  <c r="AA12" i="21"/>
  <c r="S12" i="21"/>
  <c r="AC26" i="33"/>
  <c r="W26" i="33"/>
  <c r="U9" i="33"/>
  <c r="AB9" i="33"/>
  <c r="F16" i="59"/>
  <c r="F15" i="59" s="1"/>
  <c r="F14" i="59" s="1"/>
  <c r="F13" i="59" s="1"/>
  <c r="V17" i="59"/>
  <c r="D19" i="59"/>
  <c r="I14" i="62"/>
  <c r="B8" i="62" s="1"/>
  <c r="C8" i="62" s="1"/>
  <c r="D21" i="59"/>
  <c r="V21" i="59"/>
  <c r="T21" i="59"/>
  <c r="U23" i="39"/>
  <c r="S27" i="36"/>
  <c r="S24" i="36"/>
  <c r="W17" i="21"/>
  <c r="F9" i="35"/>
  <c r="H9" i="35"/>
  <c r="F12" i="35"/>
  <c r="H12" i="35"/>
  <c r="J36" i="35"/>
  <c r="H23" i="36"/>
  <c r="F25" i="37"/>
  <c r="J25" i="37"/>
  <c r="F44" i="39"/>
  <c r="D67" i="59"/>
  <c r="O67" i="59"/>
  <c r="O66" i="59"/>
  <c r="T53" i="59"/>
  <c r="D53" i="59"/>
  <c r="D4" i="47"/>
  <c r="F4" i="47" s="1"/>
  <c r="B2" i="47" s="1"/>
  <c r="M19" i="43"/>
  <c r="U41" i="59"/>
  <c r="C60" i="59"/>
  <c r="D59" i="59"/>
  <c r="B55" i="43"/>
  <c r="B75" i="43"/>
  <c r="U29" i="59"/>
  <c r="D68" i="59"/>
  <c r="D29" i="59"/>
  <c r="AA26" i="59"/>
  <c r="AA29" i="59"/>
  <c r="AB29" i="59"/>
  <c r="AB27" i="59"/>
  <c r="AB3" i="59"/>
  <c r="S29" i="59"/>
  <c r="X26" i="59"/>
  <c r="X29" i="59"/>
  <c r="B31" i="59"/>
  <c r="B32" i="59" s="1"/>
  <c r="B33" i="59" s="1"/>
  <c r="S33" i="59" s="1"/>
  <c r="C31" i="59"/>
  <c r="X31" i="59"/>
  <c r="X32" i="59"/>
  <c r="X33" i="59"/>
  <c r="B35" i="59"/>
  <c r="B36" i="59" s="1"/>
  <c r="B37" i="59" s="1"/>
  <c r="S37" i="59" s="1"/>
  <c r="C35" i="59"/>
  <c r="X38" i="59"/>
  <c r="B39" i="59"/>
  <c r="B40" i="59" s="1"/>
  <c r="B41" i="59" s="1"/>
  <c r="S41" i="59" s="1"/>
  <c r="AA7" i="59"/>
  <c r="AA6" i="59"/>
  <c r="AA5" i="59"/>
  <c r="AA8" i="59"/>
  <c r="AA9" i="59"/>
  <c r="AA11" i="59"/>
  <c r="AA10" i="59"/>
  <c r="AA40" i="59"/>
  <c r="F56" i="59"/>
  <c r="F57" i="59" s="1"/>
  <c r="V57" i="59" s="1"/>
  <c r="F64" i="59"/>
  <c r="F65" i="59" s="1"/>
  <c r="V65" i="59" s="1"/>
  <c r="S77" i="59"/>
  <c r="B76" i="59"/>
  <c r="B75" i="59" s="1"/>
  <c r="S21" i="21"/>
  <c r="S21" i="37"/>
  <c r="C29" i="39"/>
  <c r="C25" i="40"/>
  <c r="F31" i="59"/>
  <c r="F32" i="59" s="1"/>
  <c r="F33" i="59" s="1"/>
  <c r="V33" i="59" s="1"/>
  <c r="F35" i="59"/>
  <c r="F36" i="59" s="1"/>
  <c r="F37" i="59" s="1"/>
  <c r="V37" i="59" s="1"/>
  <c r="Y38" i="59"/>
  <c r="Z38" i="59" s="1"/>
  <c r="C39" i="59"/>
  <c r="F39" i="59"/>
  <c r="F40" i="59" s="1"/>
  <c r="F41" i="59" s="1"/>
  <c r="V41" i="59" s="1"/>
  <c r="Y6" i="59"/>
  <c r="Z6" i="59" s="1"/>
  <c r="Y7" i="59"/>
  <c r="Z7" i="59" s="1"/>
  <c r="Y5" i="59"/>
  <c r="Z5" i="59" s="1"/>
  <c r="Y8" i="59"/>
  <c r="Z8" i="59" s="1"/>
  <c r="Y9" i="59"/>
  <c r="Z9" i="59" s="1"/>
  <c r="Y10" i="59"/>
  <c r="Z10" i="59" s="1"/>
  <c r="Y12" i="59"/>
  <c r="Z12" i="59" s="1"/>
  <c r="Y40" i="59"/>
  <c r="Z40" i="59" s="1"/>
  <c r="V77" i="59"/>
  <c r="F76" i="59"/>
  <c r="F75" i="59" s="1"/>
  <c r="AA39" i="59"/>
  <c r="X8" i="59"/>
  <c r="X6" i="59"/>
  <c r="X7" i="59"/>
  <c r="X9" i="59"/>
  <c r="X5" i="59"/>
  <c r="X11" i="59"/>
  <c r="X12" i="59"/>
  <c r="X10" i="59"/>
  <c r="AB9" i="59"/>
  <c r="AB7" i="59"/>
  <c r="AB5" i="59"/>
  <c r="AB8" i="59"/>
  <c r="AB6" i="59"/>
  <c r="AB10" i="59"/>
  <c r="P69" i="59"/>
  <c r="AA25" i="59"/>
  <c r="E16" i="59"/>
  <c r="E15" i="59" s="1"/>
  <c r="E14" i="59" s="1"/>
  <c r="E13" i="59" s="1"/>
  <c r="U17" i="59"/>
  <c r="Y25" i="59"/>
  <c r="Z25" i="59" s="1"/>
  <c r="AB23" i="59"/>
  <c r="AB22" i="59"/>
  <c r="Y22" i="59"/>
  <c r="Z22" i="59" s="1"/>
  <c r="Y20" i="59"/>
  <c r="Z20" i="59" s="1"/>
  <c r="AB18" i="59"/>
  <c r="AA18" i="59"/>
  <c r="AA17" i="59"/>
  <c r="X23" i="59"/>
  <c r="AA20" i="59"/>
  <c r="X22" i="59"/>
  <c r="X18" i="59"/>
  <c r="AB17" i="59"/>
  <c r="Y19" i="59"/>
  <c r="Z19" i="59" s="1"/>
  <c r="Y13" i="59"/>
  <c r="Z13" i="59" s="1"/>
  <c r="AB15" i="59"/>
  <c r="Y24" i="59"/>
  <c r="Z24" i="59" s="1"/>
  <c r="AA22" i="59"/>
  <c r="X16" i="59"/>
  <c r="AA16" i="59"/>
  <c r="AB12" i="59"/>
  <c r="AB14" i="59"/>
  <c r="AA13" i="59"/>
  <c r="AA12" i="59"/>
  <c r="AA15" i="59"/>
  <c r="X14" i="59"/>
  <c r="B15" i="50"/>
  <c r="V25" i="59"/>
  <c r="X25" i="59"/>
  <c r="Y18" i="59"/>
  <c r="Z18" i="59" s="1"/>
  <c r="Y16" i="59"/>
  <c r="Z16" i="59" s="1"/>
  <c r="AB16" i="59"/>
  <c r="AB11" i="59"/>
  <c r="AB13" i="59"/>
  <c r="Y11" i="59"/>
  <c r="Z11" i="59" s="1"/>
  <c r="Y14" i="59"/>
  <c r="Z14" i="59" s="1"/>
  <c r="Y15" i="59"/>
  <c r="Z15" i="59" s="1"/>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4" i="61"/>
  <c r="D5" i="61"/>
  <c r="D7" i="61"/>
  <c r="D3" i="61"/>
  <c r="G1" i="61"/>
  <c r="F7" i="37" l="1"/>
  <c r="S7" i="37" s="1"/>
  <c r="C64" i="40"/>
  <c r="C58" i="33"/>
  <c r="I7" i="33"/>
  <c r="H7" i="35"/>
  <c r="F67" i="39"/>
  <c r="G67" i="39" s="1"/>
  <c r="G69" i="39" s="1"/>
  <c r="AC17" i="33"/>
  <c r="W17" i="33"/>
  <c r="D8" i="62"/>
  <c r="J7" i="37"/>
  <c r="AC7" i="37" s="1"/>
  <c r="V42" i="37" s="1"/>
  <c r="I42" i="37" s="1"/>
  <c r="F7" i="35"/>
  <c r="S7" i="35" s="1"/>
  <c r="D69" i="39"/>
  <c r="D39" i="59"/>
  <c r="C40" i="59"/>
  <c r="D35" i="59"/>
  <c r="C36" i="59"/>
  <c r="AA44" i="39"/>
  <c r="S44" i="39"/>
  <c r="AA25" i="37"/>
  <c r="S25" i="37"/>
  <c r="AC36" i="35"/>
  <c r="W36" i="35"/>
  <c r="S12" i="35"/>
  <c r="AA12" i="35"/>
  <c r="AA9" i="35"/>
  <c r="S9" i="35"/>
  <c r="C16" i="59"/>
  <c r="T17" i="59"/>
  <c r="H7" i="37"/>
  <c r="AB7" i="37" s="1"/>
  <c r="T42" i="37" s="1"/>
  <c r="G42" i="37" s="1"/>
  <c r="G46" i="37" s="1"/>
  <c r="H46" i="37" s="1"/>
  <c r="D31" i="59"/>
  <c r="C32" i="59"/>
  <c r="C61" i="59"/>
  <c r="D60" i="59"/>
  <c r="AC25" i="37"/>
  <c r="W25" i="37"/>
  <c r="AB23" i="36"/>
  <c r="U23" i="36"/>
  <c r="U12" i="35"/>
  <c r="AB12" i="35"/>
  <c r="AB9" i="35"/>
  <c r="U9" i="35"/>
  <c r="B16" i="59"/>
  <c r="B15" i="59" s="1"/>
  <c r="B14" i="59" s="1"/>
  <c r="B13" i="59" s="1"/>
  <c r="S17" i="59"/>
  <c r="C7" i="43"/>
  <c r="U9" i="59"/>
  <c r="E8" i="59"/>
  <c r="V9" i="59"/>
  <c r="F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D113" i="43"/>
  <c r="D64" i="40"/>
  <c r="E62" i="40"/>
  <c r="AA7" i="37"/>
  <c r="R42" i="37" s="1"/>
  <c r="R43" i="37" s="1"/>
  <c r="L49" i="15"/>
  <c r="I20" i="43"/>
  <c r="B14" i="1"/>
  <c r="F58" i="21"/>
  <c r="E59" i="34"/>
  <c r="AA7" i="35"/>
  <c r="R38" i="35" s="1"/>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7" i="37" l="1"/>
  <c r="H67" i="39"/>
  <c r="U7" i="37"/>
  <c r="F69" i="39"/>
  <c r="D58" i="33"/>
  <c r="C19" i="15"/>
  <c r="C20" i="15" s="1"/>
  <c r="C26" i="15" s="1"/>
  <c r="J7" i="36"/>
  <c r="AC7" i="36" s="1"/>
  <c r="V36" i="36" s="1"/>
  <c r="I36" i="36" s="1"/>
  <c r="B12" i="59"/>
  <c r="B11" i="59" s="1"/>
  <c r="B10" i="59" s="1"/>
  <c r="B9" i="59" s="1"/>
  <c r="S13" i="59"/>
  <c r="T61" i="59"/>
  <c r="D61" i="59"/>
  <c r="C37" i="59"/>
  <c r="D36" i="59"/>
  <c r="C41" i="59"/>
  <c r="D40" i="59"/>
  <c r="C33" i="59"/>
  <c r="D32" i="59"/>
  <c r="F7" i="59"/>
  <c r="E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F7" i="36"/>
  <c r="I42" i="35"/>
  <c r="J42" i="35" s="1"/>
  <c r="C43" i="37"/>
  <c r="B2" i="37" s="1"/>
  <c r="B3" i="37" s="1"/>
  <c r="C42" i="37"/>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I67" i="39" l="1"/>
  <c r="H69" i="39"/>
  <c r="E58" i="33"/>
  <c r="T33" i="59"/>
  <c r="D33" i="59"/>
  <c r="T41" i="59"/>
  <c r="D41" i="59"/>
  <c r="T37" i="59"/>
  <c r="D37"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C38" i="35"/>
  <c r="C39" i="35"/>
  <c r="G41" i="36"/>
  <c r="H41" i="36" s="1"/>
  <c r="G40" i="36"/>
  <c r="H40" i="36"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F58" i="33"/>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J69" i="39" l="1"/>
  <c r="K67" i="39"/>
  <c r="G58" i="33"/>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F7" i="21"/>
  <c r="H7" i="21"/>
  <c r="AB7" i="21" s="1"/>
  <c r="T48" i="21" s="1"/>
  <c r="G48" i="21" s="1"/>
  <c r="J7" i="21"/>
  <c r="AC7" i="21" s="1"/>
  <c r="V48" i="21" s="1"/>
  <c r="I48" i="21" s="1"/>
  <c r="H58" i="33"/>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U7" i="21"/>
  <c r="J59" i="34"/>
  <c r="S7" i="21"/>
  <c r="AA7" i="21"/>
  <c r="R48" i="21" s="1"/>
  <c r="Q46" i="15"/>
  <c r="C60" i="15"/>
  <c r="C57" i="15"/>
  <c r="C66" i="15" s="1"/>
  <c r="C37" i="15"/>
  <c r="C30" i="15" s="1"/>
  <c r="C39" i="15" s="1"/>
  <c r="Q68" i="15"/>
  <c r="J16" i="15"/>
  <c r="J25" i="15" s="1"/>
  <c r="C56" i="11"/>
  <c r="C57" i="11" s="1"/>
  <c r="B2" i="11"/>
  <c r="B3" i="11"/>
  <c r="M67" i="39" l="1"/>
  <c r="L69" i="39"/>
  <c r="W7" i="21"/>
  <c r="I58" i="33"/>
  <c r="C98" i="57"/>
  <c r="E98" i="57" s="1"/>
  <c r="E99" i="57" s="1"/>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J58" i="33"/>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K58" i="33"/>
  <c r="D6" i="59"/>
  <c r="C5" i="59"/>
  <c r="D35" i="9"/>
  <c r="D34" i="9" s="1"/>
  <c r="L64" i="40"/>
  <c r="M62" i="40"/>
  <c r="M59" i="34"/>
  <c r="N59" i="34" s="1"/>
  <c r="O59" i="34" s="1"/>
  <c r="H7" i="34" s="1"/>
  <c r="L58" i="15"/>
  <c r="L61" i="15" s="1"/>
  <c r="J7" i="39" l="1"/>
  <c r="F7" i="39"/>
  <c r="H7" i="39"/>
  <c r="L58" i="33"/>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M58" i="33"/>
  <c r="N58" i="33" s="1"/>
  <c r="O58" i="33" s="1"/>
  <c r="H7" i="33" s="1"/>
  <c r="F7" i="33"/>
  <c r="J7" i="33"/>
  <c r="AA7" i="34"/>
  <c r="R49" i="34" s="1"/>
  <c r="R50" i="34" s="1"/>
  <c r="B2" i="15"/>
  <c r="B3" i="15"/>
  <c r="AC7" i="34"/>
  <c r="V49" i="34" s="1"/>
  <c r="I49" i="34" s="1"/>
  <c r="G54" i="34" s="1"/>
  <c r="H54" i="34" s="1"/>
  <c r="E49" i="34"/>
  <c r="E53" i="34" s="1"/>
  <c r="F53" i="34" s="1"/>
  <c r="O62" i="40"/>
  <c r="O64" i="40" s="1"/>
  <c r="N64" i="40"/>
  <c r="G51" i="39"/>
  <c r="H51" i="39" s="1"/>
  <c r="G52" i="39"/>
  <c r="H52" i="39" s="1"/>
  <c r="G53" i="34"/>
  <c r="H53" i="34" s="1"/>
  <c r="D20" i="9"/>
  <c r="D19" i="9"/>
  <c r="R48" i="39" l="1"/>
  <c r="E47" i="39"/>
  <c r="E54" i="34"/>
  <c r="F54" i="34" s="1"/>
  <c r="S7" i="33"/>
  <c r="AA7" i="33"/>
  <c r="R48" i="33" s="1"/>
  <c r="W7" i="33"/>
  <c r="AC7" i="33"/>
  <c r="V48" i="33" s="1"/>
  <c r="I48" i="33" s="1"/>
  <c r="U7" i="33"/>
  <c r="AB7" i="33"/>
  <c r="T48" i="33" s="1"/>
  <c r="G48" i="33" s="1"/>
  <c r="D101" i="9"/>
  <c r="D102" i="9"/>
  <c r="I53" i="34"/>
  <c r="J53" i="34" s="1"/>
  <c r="I54" i="34"/>
  <c r="J54" i="34" s="1"/>
  <c r="C50" i="34"/>
  <c r="B2" i="34" s="1"/>
  <c r="B3" i="34" s="1"/>
  <c r="C49" i="34"/>
  <c r="H7" i="40"/>
  <c r="J7" i="40"/>
  <c r="F7" i="40"/>
  <c r="I52" i="39" l="1"/>
  <c r="J52" i="39" s="1"/>
  <c r="E52" i="39"/>
  <c r="F52" i="39" s="1"/>
  <c r="E51" i="39"/>
  <c r="F51" i="39" s="1"/>
  <c r="C48" i="39"/>
  <c r="C47" i="39"/>
  <c r="G52" i="33"/>
  <c r="H52" i="33" s="1"/>
  <c r="G53" i="33"/>
  <c r="H53" i="33" s="1"/>
  <c r="I52" i="33"/>
  <c r="J52" i="33" s="1"/>
  <c r="E48" i="33"/>
  <c r="I53" i="33" s="1"/>
  <c r="J53" i="33" s="1"/>
  <c r="R49" i="33"/>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C48" i="33"/>
  <c r="C49" i="33"/>
  <c r="E52" i="33"/>
  <c r="F52" i="33" s="1"/>
  <c r="E53" i="33"/>
  <c r="F53" i="33" s="1"/>
  <c r="G47" i="40"/>
  <c r="H47" i="40" s="1"/>
  <c r="E42" i="40"/>
  <c r="B2" i="33" l="1"/>
  <c r="B3" i="33"/>
  <c r="I47" i="40"/>
  <c r="J47" i="40" s="1"/>
  <c r="E47" i="40"/>
  <c r="F47" i="40" s="1"/>
  <c r="E46" i="40"/>
  <c r="F46" i="40" s="1"/>
  <c r="C43" i="40"/>
  <c r="C42" i="40"/>
  <c r="C19" i="9"/>
  <c r="C20" i="9"/>
  <c r="C102" i="9" l="1"/>
  <c r="G20" i="9"/>
  <c r="C32" i="9" s="1"/>
  <c r="C35" i="9" s="1"/>
  <c r="C34" i="9" s="1"/>
  <c r="C101" i="9"/>
  <c r="D22" i="9"/>
  <c r="G19" i="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7" i="9"/>
  <c r="N67" i="9" s="1"/>
  <c r="M63" i="9"/>
  <c r="N63" i="9" s="1"/>
  <c r="N69" i="9" s="1"/>
  <c r="O69" i="9" s="1"/>
  <c r="M64" i="9"/>
  <c r="N64" i="9" s="1"/>
  <c r="M66" i="9"/>
  <c r="N66" i="9" s="1"/>
  <c r="G121" i="9" l="1"/>
  <c r="E121" i="9"/>
  <c r="I121" i="9"/>
  <c r="D121" i="9" l="1"/>
  <c r="E4" i="52"/>
  <c r="B38" i="60" s="1"/>
  <c r="C104" i="9"/>
  <c r="I4" i="52"/>
  <c r="F121" i="9"/>
  <c r="G4" i="52"/>
  <c r="B41" i="60" s="1"/>
  <c r="H121" i="9"/>
  <c r="D107" i="9"/>
  <c r="I103" i="9"/>
  <c r="D30" i="50" l="1"/>
  <c r="D9" i="50"/>
  <c r="B21" i="60" s="1"/>
  <c r="H122" i="9"/>
  <c r="H5" i="52" s="1"/>
  <c r="H4" i="52"/>
  <c r="F122" i="9"/>
  <c r="F5" i="52" s="1"/>
  <c r="B42" i="60" s="1"/>
  <c r="F4" i="52"/>
  <c r="B40" i="60" s="1"/>
  <c r="D122" i="9"/>
  <c r="D5" i="52" s="1"/>
  <c r="B39" i="60" s="1"/>
  <c r="D4" i="52"/>
  <c r="B37" i="60" s="1"/>
  <c r="D106" i="9"/>
  <c r="D112" i="9" s="1"/>
  <c r="D117" i="9" s="1"/>
  <c r="C103" i="9"/>
  <c r="D14" i="62"/>
  <c r="E14" i="62" s="1"/>
  <c r="I102" i="9"/>
  <c r="D113" i="9"/>
  <c r="I111" i="9" l="1"/>
  <c r="D38" i="50"/>
  <c r="B62" i="60" s="1"/>
  <c r="I110" i="9"/>
  <c r="D28" i="50"/>
  <c r="D29" i="50" s="1"/>
  <c r="D7" i="50"/>
  <c r="I115" i="9"/>
  <c r="D23" i="50" s="1"/>
  <c r="B34" i="60" s="1"/>
  <c r="D44" i="50"/>
  <c r="N48" i="9"/>
  <c r="D45" i="9"/>
  <c r="D52" i="9" s="1"/>
  <c r="F14" i="62"/>
  <c r="B5" i="62"/>
  <c r="D5" i="62" s="1"/>
  <c r="B19" i="60" l="1"/>
  <c r="D8" i="50"/>
  <c r="B22" i="60" s="1"/>
  <c r="D125" i="9"/>
  <c r="D15" i="50"/>
  <c r="D36" i="50"/>
  <c r="D37" i="50" s="1"/>
  <c r="D126" i="9"/>
  <c r="D9" i="52" s="1"/>
  <c r="D17" i="50"/>
  <c r="C5" i="62"/>
  <c r="C93" i="9"/>
  <c r="C86" i="9" s="1"/>
  <c r="C78" i="9"/>
  <c r="C73" i="9" s="1"/>
  <c r="C85" i="9"/>
  <c r="D53" i="9"/>
  <c r="D48" i="9" s="1"/>
  <c r="N52" i="9" s="1"/>
  <c r="O57" i="9" s="1"/>
  <c r="Q57" i="9" s="1"/>
  <c r="C72" i="9"/>
  <c r="C64" i="9"/>
  <c r="C63" i="9" s="1"/>
  <c r="C67" i="9" s="1"/>
  <c r="C68" i="9" s="1"/>
  <c r="D54" i="9" s="1"/>
  <c r="C95" i="9"/>
  <c r="B29" i="60" l="1"/>
  <c r="D16" i="50"/>
  <c r="B30" i="60" s="1"/>
  <c r="G14" i="62"/>
  <c r="B6" i="62" s="1"/>
  <c r="D8" i="52"/>
  <c r="O58" i="9"/>
  <c r="O59" i="9"/>
  <c r="O60" i="9" s="1"/>
  <c r="C79" i="9"/>
  <c r="C96" i="9"/>
  <c r="E96" i="9" s="1"/>
  <c r="E97" i="9" s="1"/>
  <c r="C97" i="9" l="1"/>
  <c r="D58" i="9" s="1"/>
  <c r="C80" i="9"/>
  <c r="E80" i="9" s="1"/>
  <c r="E81" i="9" s="1"/>
  <c r="D6" i="62"/>
  <c r="C6" i="62"/>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<sst xmlns="http://schemas.openxmlformats.org/spreadsheetml/2006/main" count="7792" uniqueCount="3292">
  <si>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</si>
  <si>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</si>
  <si>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</si>
  <si>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</si>
  <si>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</si>
  <si>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</si>
  <si>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</si>
  <si>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</si>
  <si>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</si>
  <si>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</si>
  <si>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</si>
  <si>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</si>
  <si>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</si>
  <si>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</si>
  <si>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</si>
  <si>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</si>
  <si>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</si>
  <si>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</si>
  <si>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</si>
  <si>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</si>
  <si>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</si>
  <si>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</si>
  <si>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</si>
  <si>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</si>
  <si>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</si>
  <si>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</si>
  <si>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</si>
  <si>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</si>
  <si>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</si>
  <si>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</si>
  <si>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</si>
  <si>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</si>
  <si>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</si>
  <si>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</si>
  <si>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</si>
  <si>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</si>
  <si>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</si>
  <si>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</si>
  <si>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</si>
  <si>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</si>
  <si>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</si>
  <si>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</si>
  <si>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</si>
  <si>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</si>
  <si>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</si>
  <si>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</si>
  <si>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</si>
  <si>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</si>
  <si>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</si>
  <si>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</si>
  <si>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</si>
  <si>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</si>
  <si>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</si>
  <si>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</si>
  <si>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</si>
  <si>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</si>
  <si>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</si>
  <si>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</si>
  <si>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</si>
  <si>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</si>
  <si>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</si>
  <si>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</si>
  <si>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</si>
  <si>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</si>
  <si>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</si>
  <si>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</si>
  <si>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</si>
  <si>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</si>
  <si>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</si>
  <si>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</si>
  <si>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</si>
  <si>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</si>
  <si>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</si>
  <si>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</si>
  <si>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</si>
  <si>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</si>
  <si>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</si>
  <si>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</si>
  <si>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</si>
  <si>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</si>
  <si>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</si>
  <si>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</si>
  <si>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</si>
  <si>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</si>
  <si>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</si>
  <si>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</si>
  <si>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</si>
  <si>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</si>
  <si>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</si>
  <si>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</si>
  <si>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</si>
  <si>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</si>
  <si>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</si>
  <si>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</si>
  <si>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</si>
  <si>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</si>
  <si>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</si>
  <si>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</si>
  <si>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</si>
  <si>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</si>
  <si>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</si>
  <si>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</si>
  <si>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</si>
  <si>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</si>
  <si>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</si>
  <si>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</si>
  <si>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</si>
  <si>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</si>
  <si>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</si>
  <si>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</si>
  <si>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</si>
  <si>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</si>
  <si>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</si>
  <si>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</si>
  <si>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</si>
  <si>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</si>
  <si>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</si>
  <si>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</si>
  <si>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</si>
  <si>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</si>
  <si>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</si>
  <si>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</si>
  <si>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</si>
  <si>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</si>
  <si>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</si>
  <si>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</si>
  <si>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</si>
  <si>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</si>
  <si>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</si>
  <si>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</si>
  <si>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</si>
  <si>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</si>
  <si>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</si>
  <si>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</si>
  <si>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</si>
  <si>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</si>
  <si>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</si>
  <si>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</si>
  <si>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</si>
  <si>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</si>
  <si>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</si>
  <si>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</si>
  <si>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</si>
  <si>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</si>
  <si>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</si>
  <si>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</si>
  <si>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</si>
  <si>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</si>
  <si>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</si>
  <si>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</si>
  <si>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</si>
  <si>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</si>
  <si>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</si>
  <si>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</si>
  <si>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</si>
  <si>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</si>
  <si>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</si>
  <si>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</si>
  <si>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</si>
  <si>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</si>
  <si>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</si>
  <si>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</si>
  <si>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</si>
  <si>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</si>
  <si>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</si>
  <si>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</si>
  <si>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</si>
  <si>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</si>
  <si>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</si>
  <si>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</si>
  <si>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</si>
  <si>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</si>
  <si>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</si>
  <si>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</si>
  <si>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</si>
  <si>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</si>
  <si>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</si>
  <si>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</si>
  <si>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</si>
  <si>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</si>
  <si>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</si>
  <si>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</si>
  <si>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</si>
  <si>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</si>
  <si>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</si>
  <si>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</si>
  <si>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</si>
  <si>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</si>
  <si>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</si>
  <si>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</si>
  <si>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</si>
  <si>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</si>
  <si>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</si>
  <si>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</si>
  <si>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</si>
  <si>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</si>
  <si>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</si>
  <si>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</si>
  <si>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</si>
  <si>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</si>
  <si>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</si>
  <si>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</si>
  <si>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</si>
  <si>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</si>
  <si>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</si>
  <si>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</si>
  <si>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</si>
  <si>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</si>
  <si>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</si>
  <si>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</si>
  <si>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</si>
  <si>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</si>
  <si>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</si>
  <si>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</si>
  <si>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</si>
  <si>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</si>
  <si>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</si>
  <si>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</si>
  <si>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</si>
  <si>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</si>
  <si>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</si>
  <si>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</si>
  <si>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</si>
  <si>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</si>
  <si>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</si>
  <si>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</si>
  <si>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</si>
  <si>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</si>
  <si>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</si>
  <si>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</si>
  <si>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</si>
  <si>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</si>
  <si>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</si>
  <si>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</si>
  <si>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</si>
  <si>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</si>
  <si>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</si>
  <si>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</si>
  <si>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</si>
  <si>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</si>
  <si>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</si>
  <si>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</si>
  <si>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</si>
  <si>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</si>
  <si>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</si>
  <si>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</si>
  <si>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</si>
  <si>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</si>
  <si>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</si>
  <si>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</si>
  <si>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</si>
  <si>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</si>
  <si>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</si>
  <si>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</si>
  <si>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</si>
  <si>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</si>
  <si>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</si>
  <si>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</si>
  <si>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</si>
  <si>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</si>
  <si>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</si>
  <si>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</si>
  <si>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</si>
  <si>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</si>
  <si>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</si>
  <si>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</si>
  <si>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</si>
  <si>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</si>
  <si>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</si>
  <si>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</si>
  <si>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</si>
  <si>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</si>
  <si>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</si>
  <si>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</si>
  <si>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</si>
  <si>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</si>
  <si>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</si>
  <si>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</si>
  <si>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</si>
  <si>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</si>
  <si>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</si>
  <si>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</si>
  <si>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</si>
  <si>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</si>
  <si>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</si>
  <si>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</si>
  <si>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</si>
  <si>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</si>
  <si>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</si>
  <si>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</si>
  <si>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</si>
  <si>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</si>
  <si>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</si>
  <si>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</si>
  <si>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</si>
  <si>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</si>
  <si>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</si>
  <si>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</si>
  <si>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</si>
  <si>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</si>
  <si>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</si>
  <si>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</si>
  <si>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</si>
  <si>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</si>
  <si>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</si>
  <si>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</si>
  <si>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</si>
  <si>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</si>
  <si>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</si>
  <si>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</si>
  <si>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</si>
  <si>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</si>
  <si>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</si>
  <si>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</si>
  <si>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</si>
  <si>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</si>
  <si>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</si>
  <si>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</si>
  <si>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</si>
  <si>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</si>
  <si>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</si>
  <si>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</si>
  <si>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</si>
  <si>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</si>
  <si>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</si>
  <si>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</si>
  <si>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</si>
  <si>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</si>
  <si>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</si>
  <si>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</si>
  <si>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</si>
  <si>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</si>
  <si>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</si>
  <si>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</si>
  <si>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</si>
  <si>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</si>
  <si>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</si>
  <si>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</si>
  <si>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</si>
  <si>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</si>
  <si>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</si>
  <si>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</si>
  <si>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</si>
  <si>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</si>
  <si>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</si>
  <si>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</si>
  <si>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</si>
  <si>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</si>
  <si>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</si>
  <si>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</si>
  <si>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</si>
  <si>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</si>
  <si>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</si>
  <si>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</si>
  <si>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</si>
  <si>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</si>
  <si>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</si>
  <si>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</si>
  <si>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</si>
  <si>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</si>
  <si>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</si>
  <si>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</si>
  <si>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</si>
  <si>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</si>
  <si>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</si>
  <si>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</si>
  <si>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</si>
  <si>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</si>
  <si>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</si>
  <si>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</si>
  <si>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</si>
  <si>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</si>
  <si>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</si>
  <si>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</si>
  <si>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</si>
  <si>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</si>
  <si>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</si>
  <si>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</si>
  <si>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</si>
  <si>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</si>
  <si>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</si>
  <si>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</si>
  <si>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</si>
  <si>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</si>
  <si>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</si>
  <si>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</si>
  <si>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</si>
  <si>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</si>
  <si>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</si>
  <si>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</si>
  <si>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</si>
  <si>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</si>
  <si>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</si>
  <si>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</si>
  <si>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</si>
  <si>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</si>
  <si>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</si>
  <si>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</si>
  <si>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</si>
  <si>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</si>
  <si>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</si>
  <si>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</si>
  <si>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</si>
  <si>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</si>
  <si>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</si>
  <si>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</si>
  <si>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</si>
  <si>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</si>
  <si>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</si>
  <si>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</si>
  <si>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</si>
  <si>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</si>
  <si>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</si>
  <si>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</si>
  <si>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</si>
  <si>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</si>
  <si>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</si>
  <si>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</si>
  <si>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</si>
  <si>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</si>
  <si>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</si>
  <si>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</si>
  <si>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</si>
  <si>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</si>
  <si>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</si>
  <si>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</si>
  <si>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</si>
  <si>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</si>
  <si>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</si>
  <si>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</si>
  <si>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</si>
  <si>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</si>
  <si>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</si>
  <si>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</si>
  <si>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</si>
  <si>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</si>
  <si>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</si>
  <si>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</si>
  <si>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</si>
  <si>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</si>
  <si>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</si>
  <si>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</si>
  <si>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</si>
  <si>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</si>
  <si>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</si>
  <si>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</si>
  <si>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</si>
  <si>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</si>
  <si>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</si>
  <si>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</si>
  <si>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</si>
  <si>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</si>
  <si>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</si>
  <si>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</si>
  <si>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</si>
  <si>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</si>
  <si>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</si>
  <si>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</si>
  <si>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</si>
  <si>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</si>
  <si>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</si>
  <si>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</si>
  <si>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</si>
  <si>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</si>
  <si>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</si>
  <si>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</si>
  <si>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</si>
  <si>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</si>
  <si>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</si>
  <si>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</si>
  <si>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</si>
  <si>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</si>
  <si>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</si>
  <si>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</si>
  <si>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</si>
  <si>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</si>
  <si>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</si>
  <si>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</si>
  <si>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</si>
  <si>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</si>
  <si>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</si>
  <si>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</si>
  <si>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</si>
  <si>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</si>
  <si>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</si>
  <si>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</si>
  <si>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</si>
  <si>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</si>
  <si>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</si>
  <si>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</si>
  <si>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</si>
  <si>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</si>
  <si>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</si>
  <si>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</si>
  <si>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</si>
  <si>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</si>
  <si>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</si>
  <si>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</si>
  <si>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</si>
  <si>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</si>
  <si>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</si>
  <si>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</si>
  <si>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</si>
  <si>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</si>
  <si>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</si>
  <si>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</si>
  <si>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</si>
  <si>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</si>
  <si>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</si>
  <si>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</si>
  <si>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</si>
  <si>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</si>
  <si>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</si>
  <si>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</si>
  <si>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</si>
  <si>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</si>
  <si>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</si>
  <si>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</si>
  <si>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</si>
  <si>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</si>
  <si>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</si>
  <si>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</si>
  <si>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</si>
  <si>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</si>
  <si>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</si>
  <si>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</si>
  <si>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</si>
  <si>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</si>
  <si>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</si>
  <si>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</si>
  <si>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</si>
  <si>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</si>
  <si>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</si>
  <si>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</si>
  <si>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</si>
  <si>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</si>
  <si>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</si>
  <si>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</si>
  <si>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</si>
  <si>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</si>
  <si>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</si>
  <si>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</si>
  <si>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</si>
  <si>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</si>
  <si>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</si>
  <si>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</si>
  <si>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</si>
  <si>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</si>
  <si>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</si>
  <si>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</si>
  <si>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</si>
  <si>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</si>
  <si>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</si>
  <si>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</si>
  <si>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</si>
  <si>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</si>
  <si>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</si>
  <si>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</si>
  <si>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</si>
  <si>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</si>
  <si>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</si>
  <si>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</si>
  <si>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</si>
  <si>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</si>
  <si>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</si>
  <si>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</si>
  <si>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</si>
  <si>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</si>
  <si>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</si>
  <si>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</si>
  <si>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</si>
  <si>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</si>
  <si>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</si>
  <si>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</si>
  <si>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</si>
  <si>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</si>
  <si>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</si>
  <si>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</si>
  <si>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</si>
  <si>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</si>
  <si>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</si>
  <si>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</si>
  <si>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</si>
  <si>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</si>
  <si>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</si>
  <si>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</si>
  <si>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</si>
  <si>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</si>
  <si>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</si>
  <si>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</si>
  <si>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</si>
  <si>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</si>
  <si>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</si>
  <si>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</si>
  <si>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</si>
  <si>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</si>
  <si>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</si>
  <si>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</si>
  <si>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</si>
  <si>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</si>
  <si>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</si>
  <si>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</si>
  <si>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</si>
  <si>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</si>
  <si>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</si>
  <si>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</si>
  <si>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</si>
  <si>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</si>
  <si>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</si>
  <si>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</si>
  <si>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</si>
  <si>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</si>
  <si>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</si>
  <si>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</si>
  <si>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</si>
  <si>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</si>
  <si>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</si>
  <si>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</si>
  <si>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</si>
  <si>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</si>
  <si>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</si>
  <si>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</si>
  <si>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</si>
  <si>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</si>
  <si>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</si>
  <si>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</si>
  <si>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</si>
  <si>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</si>
  <si>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</si>
  <si>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</si>
  <si>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</si>
  <si>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</si>
  <si>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</si>
  <si>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</si>
  <si>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</si>
  <si>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</si>
  <si>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</si>
  <si>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</si>
  <si>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</si>
  <si>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</si>
  <si>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</si>
  <si>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</si>
  <si>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</si>
  <si>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</si>
  <si>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</si>
  <si>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</si>
  <si>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</si>
  <si>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</si>
  <si>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</si>
  <si>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</si>
  <si>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</si>
  <si>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</si>
  <si>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</si>
  <si>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</si>
  <si>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</si>
  <si>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</si>
  <si>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</si>
  <si>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</si>
  <si>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</si>
  <si>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</si>
  <si>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</si>
  <si>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</si>
  <si>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</si>
  <si>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</si>
  <si>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</si>
  <si>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</si>
  <si>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</si>
  <si>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</si>
  <si>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</si>
  <si>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</si>
  <si>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</si>
  <si>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</si>
  <si>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</si>
  <si>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</si>
  <si>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</si>
  <si>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</si>
  <si>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</si>
  <si>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</si>
  <si>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</si>
  <si>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</si>
  <si>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</si>
  <si>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</si>
  <si>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</si>
  <si>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</si>
  <si>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</si>
  <si>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</si>
  <si>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</si>
  <si>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</si>
  <si>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</si>
  <si>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</si>
  <si>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</si>
  <si>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</si>
  <si>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</si>
  <si>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</si>
  <si>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</si>
  <si>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</si>
  <si>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</si>
  <si>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</si>
  <si>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</si>
  <si>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</si>
  <si>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</si>
  <si>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</si>
  <si>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</si>
  <si>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</si>
  <si>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</si>
  <si>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</si>
  <si>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</si>
  <si>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</si>
  <si>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</si>
  <si>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</si>
  <si>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</si>
  <si>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</si>
  <si>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</si>
  <si>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</si>
  <si>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</si>
  <si>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</si>
  <si>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</si>
  <si>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</si>
  <si>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</si>
  <si>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</si>
  <si>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</si>
  <si>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</si>
  <si>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</si>
  <si>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</si>
  <si>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</si>
  <si>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</si>
  <si>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</si>
  <si>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</si>
  <si>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</si>
  <si>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</si>
  <si>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</si>
  <si>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</si>
  <si>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</si>
  <si>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</si>
  <si>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</si>
  <si>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</si>
  <si>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</si>
  <si>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</si>
  <si>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</si>
  <si>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</si>
  <si>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</si>
  <si>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</si>
  <si>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</si>
  <si>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</si>
  <si>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</si>
  <si>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</si>
  <si>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</si>
  <si>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</si>
  <si>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</si>
  <si>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</si>
  <si>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</si>
  <si>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</si>
  <si>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</si>
  <si>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</si>
  <si>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</si>
  <si>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</si>
  <si>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</si>
  <si>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</si>
  <si>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</si>
  <si>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</si>
  <si>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</si>
  <si>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</si>
  <si>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</si>
  <si>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</si>
  <si>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</si>
  <si>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</si>
  <si>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</si>
  <si>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</si>
  <si>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</si>
  <si>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</si>
  <si>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</si>
  <si>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</si>
  <si>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</si>
  <si>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</si>
  <si>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</si>
  <si>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</si>
  <si>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</si>
  <si>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</si>
  <si>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</si>
  <si>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</si>
  <si>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</si>
  <si>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</si>
  <si>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</si>
  <si>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</si>
  <si>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</si>
  <si>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</si>
  <si>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</si>
  <si>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</si>
  <si>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</si>
  <si>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</si>
  <si>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</si>
  <si>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</si>
  <si>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</si>
  <si>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</si>
  <si>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</si>
  <si>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</si>
  <si>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</si>
  <si>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</si>
  <si>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</si>
  <si>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</si>
  <si>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</si>
  <si>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</si>
  <si>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</si>
  <si>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</si>
  <si>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</si>
  <si>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</si>
  <si>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</si>
  <si>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</si>
  <si>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</si>
  <si>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</si>
  <si>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</si>
  <si>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</si>
  <si>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</si>
  <si>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</si>
  <si>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</si>
  <si>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</si>
  <si>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</si>
  <si>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</si>
  <si>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</si>
  <si>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</si>
  <si>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</si>
  <si>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</si>
  <si>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</si>
  <si>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</si>
  <si>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</si>
  <si>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</si>
  <si>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</si>
  <si>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</si>
  <si>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</si>
  <si>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</si>
  <si>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</si>
  <si>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</si>
  <si>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</si>
  <si>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</si>
  <si>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</si>
  <si>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</si>
  <si>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</si>
  <si>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</si>
  <si>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</si>
  <si>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</si>
  <si>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</si>
  <si>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</si>
  <si>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</si>
  <si>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</si>
  <si>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</si>
  <si>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</si>
  <si>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</si>
  <si>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</si>
  <si>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</si>
  <si>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</si>
  <si>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</si>
  <si>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</si>
  <si>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</si>
  <si>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</si>
  <si>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</si>
  <si>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</si>
  <si>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</si>
  <si>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</si>
  <si>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</si>
  <si>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</si>
  <si>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</si>
  <si>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</si>
  <si>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</si>
  <si>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</si>
  <si>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</si>
  <si>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</si>
  <si>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</si>
  <si>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</si>
  <si>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</si>
  <si>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</si>
  <si>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</si>
  <si>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</si>
  <si>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</si>
  <si>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</si>
  <si>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</si>
  <si>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</si>
  <si>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</si>
  <si>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</si>
  <si>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</si>
  <si>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</si>
  <si>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</si>
  <si>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</si>
  <si>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</si>
  <si>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</si>
  <si>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</si>
  <si>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</si>
  <si>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</si>
  <si>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</si>
  <si>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</si>
  <si>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</si>
  <si>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</si>
  <si>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</si>
  <si>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</si>
  <si>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</si>
  <si>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</si>
  <si>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</si>
  <si>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</si>
  <si>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</si>
  <si>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</si>
  <si>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</si>
  <si>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</si>
  <si>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</si>
  <si>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</si>
  <si>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</si>
  <si>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</si>
  <si>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</si>
  <si>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</si>
  <si>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</si>
  <si>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</si>
  <si>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</si>
  <si>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</si>
  <si>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</si>
  <si>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</si>
  <si>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</si>
  <si>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</si>
  <si>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</si>
  <si>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</si>
  <si>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</si>
  <si>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</si>
  <si>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</si>
  <si>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</si>
  <si>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</si>
  <si>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</si>
  <si>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</si>
  <si>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</si>
  <si>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</si>
  <si>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</si>
  <si>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</si>
  <si>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</si>
  <si>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</si>
  <si>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</si>
  <si>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</si>
  <si>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</si>
  <si>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</si>
  <si>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</si>
  <si>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</si>
  <si>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</si>
  <si>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</si>
  <si>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</si>
  <si>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</si>
  <si>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</si>
  <si>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</si>
  <si>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</si>
  <si>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</si>
  <si>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</si>
  <si>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</si>
  <si>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</si>
  <si>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</si>
  <si>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</si>
  <si>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</si>
  <si>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</si>
  <si>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</si>
  <si>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</si>
  <si>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</si>
  <si>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</si>
  <si>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</si>
  <si>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</si>
  <si>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</si>
  <si>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</si>
  <si>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</si>
  <si>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</si>
  <si>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</si>
  <si>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</si>
  <si>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</si>
  <si>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</si>
  <si>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</si>
  <si>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</si>
  <si>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</si>
  <si>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</si>
  <si>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</si>
  <si>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</si>
  <si>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</si>
  <si>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</si>
  <si>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</si>
  <si>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</si>
  <si>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</si>
  <si>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</si>
  <si>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</si>
  <si>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</si>
  <si>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</si>
  <si>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</si>
  <si>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</si>
  <si>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</si>
  <si>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</si>
  <si>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</si>
  <si>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</si>
  <si>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</si>
  <si>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</si>
  <si>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</si>
  <si>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</si>
  <si>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</si>
  <si>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</si>
  <si>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</si>
  <si>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</si>
  <si>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</si>
  <si>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</si>
  <si>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</si>
  <si>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</si>
  <si>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</si>
  <si>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</si>
  <si>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</si>
  <si>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</si>
  <si>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</si>
  <si>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</si>
  <si>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</si>
  <si>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</si>
  <si>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</si>
  <si>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</si>
  <si>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</si>
  <si>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</si>
  <si>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</si>
  <si>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</si>
  <si>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</si>
  <si>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</si>
  <si>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</si>
  <si>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</si>
  <si>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</si>
  <si>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</si>
  <si>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</si>
  <si>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</si>
  <si>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</si>
  <si>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</si>
  <si>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</si>
  <si>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</si>
  <si>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</si>
  <si>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</si>
  <si>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</si>
  <si>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</si>
  <si>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</si>
  <si>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</si>
  <si>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</si>
  <si>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</si>
  <si>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</si>
  <si>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</si>
  <si>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</si>
  <si>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</si>
  <si>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</si>
  <si>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</si>
  <si>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</si>
  <si>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</si>
  <si>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</si>
  <si>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</si>
  <si>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</si>
  <si>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</si>
  <si>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</si>
  <si>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</si>
  <si>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</si>
  <si>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</si>
  <si>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</si>
  <si>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</si>
  <si>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</si>
  <si>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</si>
  <si>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</si>
  <si>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</si>
  <si>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</si>
  <si>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</si>
  <si>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</si>
  <si>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</si>
  <si>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</si>
  <si>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</si>
  <si>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</si>
  <si>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</si>
  <si>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</si>
  <si>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</si>
  <si>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</si>
  <si>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</si>
  <si>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</si>
  <si>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</si>
  <si>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</si>
  <si>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</si>
  <si>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</si>
  <si>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</si>
  <si>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</si>
  <si>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</si>
  <si>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</si>
  <si>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</si>
  <si>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</si>
  <si>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</si>
  <si>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</si>
  <si>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</si>
  <si>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</si>
  <si>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</si>
  <si>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</si>
  <si>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</si>
  <si>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</si>
  <si>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</si>
  <si>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</si>
  <si>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</si>
  <si>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</si>
  <si>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</si>
  <si>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</si>
  <si>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</si>
  <si>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</si>
  <si>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</si>
  <si>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</si>
  <si>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</si>
  <si>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</si>
  <si>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</si>
  <si>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</si>
  <si>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</si>
  <si>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</si>
  <si>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</si>
  <si>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</si>
  <si>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</si>
  <si>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</si>
  <si>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</si>
  <si>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</si>
  <si>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</si>
  <si>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</si>
  <si>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</si>
  <si>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</si>
  <si>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</si>
  <si>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</si>
  <si>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</si>
  <si>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</si>
  <si>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</si>
  <si>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</si>
  <si>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</si>
  <si>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</si>
  <si>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</si>
  <si>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</si>
  <si>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</si>
  <si>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</si>
  <si>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</si>
  <si>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</si>
  <si>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</si>
  <si>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</si>
  <si>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</si>
  <si>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</si>
  <si>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</si>
  <si>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</si>
  <si>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</si>
  <si>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</si>
  <si>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</si>
  <si>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</si>
  <si>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</si>
  <si>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</si>
  <si>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</si>
  <si>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</si>
  <si>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</si>
  <si>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</si>
  <si>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</si>
  <si>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</si>
  <si>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</si>
  <si>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</si>
  <si>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</si>
  <si>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</si>
  <si>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</si>
  <si>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</si>
  <si>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</si>
  <si>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</si>
  <si>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</si>
  <si>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</si>
  <si>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</si>
  <si>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</si>
  <si>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</si>
  <si>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</si>
  <si>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</si>
  <si>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</si>
  <si>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</si>
  <si>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</si>
  <si>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</si>
  <si>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</si>
  <si>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</si>
  <si>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</si>
  <si>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</si>
  <si>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</si>
  <si>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</si>
  <si>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</si>
  <si>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</si>
  <si>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</si>
  <si>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</si>
  <si>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</si>
  <si>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</si>
  <si>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</si>
  <si>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</si>
  <si>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</si>
  <si>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</si>
  <si>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</si>
  <si>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</si>
  <si>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</si>
  <si>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</si>
  <si>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</si>
  <si>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</si>
  <si>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</si>
  <si>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</si>
  <si>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</si>
  <si>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</si>
  <si>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</si>
  <si>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</si>
  <si>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</si>
  <si>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</si>
  <si>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</si>
  <si>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</si>
  <si>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</si>
  <si>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</si>
  <si>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</si>
  <si>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</si>
  <si>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</si>
  <si>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</si>
  <si>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</si>
  <si>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</si>
  <si>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</si>
  <si>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</si>
  <si>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</si>
  <si>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</si>
  <si>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</si>
  <si>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</si>
  <si>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</si>
  <si>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</si>
  <si>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</si>
  <si>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</si>
  <si>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</si>
  <si>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</si>
  <si>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</si>
  <si>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</si>
  <si>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</si>
  <si>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</si>
  <si>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</si>
  <si>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</si>
  <si>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</si>
  <si>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</si>
  <si>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</si>
  <si>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</si>
  <si>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</si>
  <si>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</si>
  <si>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</si>
  <si>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</si>
  <si>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</si>
  <si>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</si>
  <si>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</si>
  <si>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</si>
  <si>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</si>
  <si>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</si>
  <si>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</si>
  <si>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</si>
  <si>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</si>
  <si>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</si>
  <si>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</si>
  <si>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</si>
  <si>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</si>
  <si>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</si>
  <si>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</si>
  <si>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</si>
  <si>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</si>
  <si>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</si>
  <si>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</si>
  <si>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</si>
  <si>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</si>
  <si>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</si>
  <si>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</si>
  <si>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</si>
  <si>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</si>
  <si>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</si>
  <si>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</si>
  <si>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</si>
  <si>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</si>
  <si>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</si>
  <si>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</si>
  <si>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</si>
  <si>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</si>
  <si>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</si>
  <si>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</si>
  <si>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</si>
  <si>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</si>
  <si>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</si>
  <si>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</si>
  <si>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</si>
  <si>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</si>
  <si>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</si>
  <si>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</si>
  <si>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</si>
  <si>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</si>
  <si>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</si>
  <si>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</si>
  <si>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</si>
  <si>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</si>
  <si>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</si>
  <si>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</si>
  <si>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</si>
  <si>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</si>
  <si>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</si>
  <si>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</si>
  <si>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</si>
  <si>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</si>
  <si>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</si>
  <si>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</si>
  <si>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</si>
  <si>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</si>
  <si>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</si>
  <si>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</si>
  <si>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</si>
  <si>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</si>
  <si>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</si>
  <si>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</si>
  <si>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</si>
  <si>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</si>
  <si>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</si>
  <si>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</si>
  <si>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</si>
  <si>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</si>
  <si>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</si>
  <si>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</si>
  <si>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</si>
  <si>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</si>
  <si>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</si>
  <si>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</si>
  <si>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</si>
  <si>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</si>
  <si>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</si>
  <si>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</si>
  <si>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</si>
  <si>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</si>
  <si>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</si>
  <si>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</si>
  <si>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</si>
  <si>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</si>
  <si>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</si>
  <si>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</si>
  <si>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</si>
  <si>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</si>
  <si>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</si>
  <si>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</si>
  <si>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</si>
  <si>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</si>
  <si>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</si>
  <si>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</si>
  <si>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</si>
  <si>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</si>
  <si>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</si>
  <si>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</si>
  <si>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</si>
  <si>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</si>
  <si>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</si>
  <si>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</si>
  <si>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</si>
  <si>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</si>
  <si>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</si>
  <si>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</si>
  <si>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</si>
  <si>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</si>
  <si>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</si>
  <si>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</si>
  <si>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</si>
  <si>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</si>
  <si>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</si>
  <si>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</si>
  <si>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</si>
  <si>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</si>
  <si>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</si>
  <si>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</si>
  <si>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</si>
  <si>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</si>
  <si>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</si>
  <si>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</si>
  <si>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</si>
  <si>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</si>
  <si>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</si>
  <si>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</si>
  <si>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</si>
  <si>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</si>
  <si>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</si>
  <si>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</si>
  <si>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</si>
  <si>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</si>
  <si>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</si>
  <si>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</si>
  <si>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</si>
  <si>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</si>
  <si>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</si>
  <si>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</si>
  <si>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</si>
  <si>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</si>
  <si>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</si>
  <si>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</si>
  <si>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</si>
  <si>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</si>
  <si>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</si>
  <si>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</si>
  <si>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</si>
  <si>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</si>
  <si>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</si>
  <si>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</si>
  <si>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</si>
  <si>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</si>
  <si>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</si>
  <si>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</si>
  <si>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</si>
  <si>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</si>
  <si>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</si>
  <si>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</si>
  <si>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</si>
  <si>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</si>
  <si>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</si>
  <si>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</si>
  <si>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</si>
  <si>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</si>
  <si>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</si>
  <si>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</si>
  <si>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</si>
  <si>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</si>
  <si>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</si>
  <si>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</si>
  <si>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</si>
  <si>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</si>
  <si>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</si>
  <si>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</si>
  <si>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</si>
  <si>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</si>
  <si>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</si>
  <si>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</si>
  <si>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</si>
  <si>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</si>
  <si>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</si>
  <si>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</si>
  <si>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</si>
  <si>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</si>
  <si>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</si>
  <si>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</si>
  <si>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</si>
  <si>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</si>
  <si>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</si>
  <si>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</si>
  <si>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</si>
  <si>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</si>
  <si>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</si>
  <si>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</si>
  <si>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</si>
  <si>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</si>
  <si>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</si>
  <si>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</si>
  <si>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</si>
  <si>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</si>
  <si>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</si>
  <si>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</si>
  <si>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</si>
  <si>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</si>
  <si>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</si>
  <si>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</si>
  <si>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</si>
  <si>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</si>
  <si>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</si>
  <si>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</si>
  <si>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</si>
  <si>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</si>
  <si>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</si>
  <si>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</si>
  <si>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</si>
  <si>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</si>
  <si>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</si>
  <si>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</si>
  <si>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</si>
  <si>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</si>
  <si>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</si>
  <si>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</si>
  <si>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</si>
  <si>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</si>
  <si>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</si>
  <si>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</si>
  <si>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</si>
  <si>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</si>
  <si>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</si>
  <si>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</si>
  <si>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</si>
  <si>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</si>
  <si>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</si>
  <si>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</si>
  <si>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</si>
  <si>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</si>
  <si>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</si>
  <si>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</si>
  <si>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</si>
  <si>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</si>
  <si>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</si>
  <si>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</si>
  <si>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</si>
  <si>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</si>
  <si>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</si>
  <si>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</si>
  <si>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</si>
  <si>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</si>
  <si>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</si>
  <si>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</si>
  <si>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</si>
  <si>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</si>
  <si>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</si>
  <si>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</si>
  <si>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</si>
  <si>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</si>
  <si>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</si>
  <si>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</si>
  <si>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</si>
  <si>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</si>
  <si>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</si>
  <si>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</si>
  <si>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</si>
  <si>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</si>
  <si>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</si>
  <si>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</si>
  <si>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</si>
  <si>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</si>
  <si>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</si>
  <si>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</si>
  <si>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</si>
  <si>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</si>
  <si>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</si>
  <si>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</si>
  <si>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</si>
  <si>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</si>
  <si>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</si>
  <si>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</si>
  <si>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</si>
  <si>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</si>
  <si>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</si>
  <si>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</si>
  <si>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</si>
  <si>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</si>
  <si>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</si>
  <si>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</si>
  <si>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</si>
  <si>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</si>
  <si>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</si>
  <si>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</si>
  <si>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</si>
  <si>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</si>
  <si>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</si>
  <si>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</si>
  <si>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</si>
  <si>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</si>
  <si>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</si>
  <si>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</si>
  <si>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</si>
  <si>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</si>
  <si>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</si>
  <si>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</si>
  <si>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</si>
  <si>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</si>
  <si>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</si>
  <si>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</si>
  <si>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</si>
  <si>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</si>
  <si>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</si>
  <si>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</si>
  <si>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</si>
  <si>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</si>
  <si>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</si>
  <si>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</si>
  <si>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</si>
  <si>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</si>
  <si>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</si>
  <si>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</si>
  <si>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</si>
  <si>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</si>
  <si>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</si>
  <si>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</si>
  <si>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</si>
  <si>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</si>
  <si>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</si>
  <si>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</si>
  <si>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</si>
  <si>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</si>
  <si>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</si>
  <si>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</si>
  <si>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</si>
  <si>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</si>
  <si>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</si>
  <si>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</si>
  <si>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</si>
  <si>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</si>
  <si>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</si>
  <si>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</si>
  <si>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</si>
  <si>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</si>
  <si>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</si>
  <si>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</si>
  <si>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</si>
  <si>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</si>
  <si>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</si>
  <si>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</si>
  <si>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</si>
  <si>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</si>
  <si>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</si>
  <si>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</si>
  <si>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</si>
  <si>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</si>
  <si>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</si>
  <si>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</si>
  <si>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</si>
  <si>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</si>
  <si>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</si>
  <si>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</si>
  <si>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</si>
  <si>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</si>
  <si>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</si>
  <si>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</si>
  <si>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</si>
  <si>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</si>
  <si>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</si>
  <si>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</si>
  <si>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</si>
  <si>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</si>
  <si>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</si>
  <si>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</si>
  <si>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</si>
  <si>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</si>
  <si>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</si>
  <si>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</si>
  <si>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</si>
  <si>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</si>
  <si>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</si>
  <si>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</si>
  <si>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</si>
  <si>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</si>
  <si>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</si>
  <si>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</si>
  <si>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</si>
  <si>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</si>
  <si>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</si>
  <si>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</si>
  <si>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</si>
  <si>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</si>
  <si>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</si>
  <si>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</si>
  <si>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</si>
  <si>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</si>
  <si>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</si>
  <si>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</si>
  <si>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</si>
  <si>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</si>
  <si>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</si>
  <si>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</si>
  <si>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</si>
  <si>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</si>
  <si>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</si>
  <si>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</si>
  <si>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</si>
  <si>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</si>
  <si>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</si>
  <si>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</si>
  <si>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</si>
  <si>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</si>
  <si>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</si>
  <si>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</si>
  <si>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</si>
  <si>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</si>
  <si>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</si>
  <si>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</si>
  <si>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</si>
  <si>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</si>
  <si>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</si>
  <si>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</si>
  <si>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</si>
  <si>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</si>
  <si>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</si>
  <si>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</si>
  <si>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</si>
  <si>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</si>
  <si>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</si>
  <si>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</si>
  <si>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</si>
  <si>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</si>
  <si>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</si>
  <si>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</si>
  <si>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</si>
  <si>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</si>
  <si>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</si>
  <si>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</si>
  <si>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</si>
  <si>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</si>
  <si>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</si>
  <si>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</si>
  <si>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</si>
  <si>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</si>
  <si>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</si>
  <si>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</si>
  <si>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</si>
  <si>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</si>
  <si>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</si>
  <si>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</si>
  <si>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</si>
  <si>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</si>
  <si>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</si>
  <si>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</si>
  <si>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</si>
  <si>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</si>
  <si>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</si>
  <si>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</si>
  <si>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</si>
  <si>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</si>
  <si>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</si>
  <si>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</si>
  <si>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</si>
  <si>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</si>
  <si>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</si>
  <si>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</si>
  <si>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</si>
  <si>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</si>
  <si>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</si>
  <si>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</si>
  <si>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</si>
  <si>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</si>
  <si>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</si>
  <si>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</si>
  <si>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</si>
  <si>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</si>
  <si>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</si>
  <si>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</si>
  <si>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</si>
  <si>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</si>
  <si>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</si>
  <si>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</si>
  <si>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</si>
  <si>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</si>
  <si>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</si>
  <si>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</si>
  <si>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</si>
  <si>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</si>
  <si>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</si>
  <si>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</si>
  <si>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</si>
  <si>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</si>
  <si>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</si>
  <si>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</si>
  <si>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</si>
  <si>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</si>
  <si>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</si>
  <si>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</si>
  <si>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</si>
  <si>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</si>
  <si>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</si>
  <si>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</si>
  <si>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</si>
  <si>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</si>
  <si>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</si>
  <si>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</si>
  <si>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</si>
  <si>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</si>
  <si>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</si>
  <si>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</si>
  <si>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</si>
  <si>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</si>
  <si>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</si>
  <si>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</si>
  <si>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</si>
  <si>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</si>
  <si>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</si>
  <si>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</si>
  <si>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</si>
  <si>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</si>
  <si>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</si>
  <si>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</si>
  <si>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</si>
  <si>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</si>
  <si>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</si>
  <si>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</si>
  <si>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</si>
  <si>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</si>
  <si>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</si>
  <si>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</si>
  <si>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</si>
  <si>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</si>
  <si>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</si>
  <si>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</si>
  <si>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</si>
  <si>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</si>
  <si>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</si>
  <si>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</si>
  <si>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</si>
  <si>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</si>
  <si>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</si>
  <si>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</si>
  <si>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</si>
  <si>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</si>
  <si>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</si>
  <si>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</si>
  <si>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</si>
  <si>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</si>
  <si>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</si>
  <si>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</si>
  <si>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</si>
  <si>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</si>
  <si>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</si>
  <si>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</si>
  <si>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</si>
  <si>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</si>
  <si>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</si>
  <si>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</si>
  <si>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</si>
  <si>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</si>
  <si>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</si>
  <si>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</si>
  <si>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</si>
  <si>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</si>
  <si>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</si>
  <si>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</si>
  <si>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</si>
  <si>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</si>
  <si>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</si>
  <si>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</si>
  <si>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</si>
  <si>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</si>
  <si>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</si>
  <si>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</si>
  <si>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</si>
  <si>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</si>
  <si>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</si>
  <si>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</si>
  <si>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</si>
  <si>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</si>
  <si>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</si>
  <si>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</si>
  <si>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</si>
  <si>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</si>
  <si>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</si>
  <si>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</si>
  <si>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</si>
  <si>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</si>
  <si>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</si>
  <si>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</si>
  <si>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</si>
  <si>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</si>
  <si>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</si>
  <si>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</si>
  <si>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</si>
  <si>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</si>
  <si>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</si>
  <si>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</si>
  <si>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</si>
  <si>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</si>
  <si>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</si>
  <si>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</si>
  <si>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</si>
  <si>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</si>
  <si>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</si>
  <si>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</si>
  <si>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</si>
  <si>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</si>
  <si>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</si>
  <si>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</si>
  <si>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</si>
  <si>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</si>
  <si>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</si>
  <si>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</si>
  <si>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</si>
  <si>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</si>
  <si>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</si>
  <si>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</si>
  <si>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</si>
  <si>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</si>
  <si>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</si>
  <si>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</si>
  <si>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</si>
  <si>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</si>
  <si>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</si>
  <si>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</si>
  <si>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</si>
  <si>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</si>
  <si>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</si>
  <si>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</si>
  <si>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</si>
  <si>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</si>
  <si>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</si>
  <si>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</si>
  <si>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</si>
  <si>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</si>
  <si>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</si>
  <si>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</si>
  <si>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</si>
  <si>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</si>
  <si>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</si>
  <si>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</si>
  <si>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</si>
  <si>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</si>
  <si>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</si>
  <si>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</si>
  <si>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</si>
  <si>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</si>
  <si>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</si>
  <si>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</si>
  <si>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</si>
  <si>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</si>
  <si>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</si>
  <si>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</si>
  <si>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</si>
  <si>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</si>
  <si>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</si>
  <si>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</si>
  <si>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</si>
  <si>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</si>
  <si>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</si>
  <si>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</si>
  <si>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</si>
  <si>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</si>
  <si>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</si>
  <si>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</si>
  <si>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</si>
  <si>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</si>
  <si>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</si>
  <si>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</si>
  <si>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</si>
  <si>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</si>
  <si>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</si>
  <si>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</si>
  <si>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</si>
  <si>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</si>
  <si>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</si>
  <si>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</si>
  <si>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</si>
  <si>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</si>
  <si>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</si>
  <si>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</si>
  <si>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</si>
  <si>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</si>
  <si>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</si>
  <si>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</si>
  <si>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</si>
  <si>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</si>
  <si>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</si>
  <si>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</si>
  <si>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</si>
  <si>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</si>
  <si>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</si>
  <si>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</si>
  <si>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</si>
  <si>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</si>
  <si>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</si>
  <si>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</si>
  <si>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</si>
  <si>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</si>
  <si>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</si>
  <si>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</si>
  <si>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</si>
  <si>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</si>
  <si>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</si>
  <si>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</si>
  <si>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</si>
  <si>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</si>
  <si>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</si>
  <si>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</si>
  <si>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</si>
  <si>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</si>
  <si>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</si>
  <si>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</si>
  <si>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</si>
  <si>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</si>
  <si>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</si>
  <si>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</si>
  <si>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</si>
  <si>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</si>
  <si>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</si>
  <si>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</si>
  <si>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</si>
  <si>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</si>
  <si>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</si>
  <si>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</si>
  <si>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</si>
  <si>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</si>
  <si>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</si>
  <si>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</si>
  <si>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</si>
  <si>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</si>
  <si>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</si>
  <si>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</si>
  <si>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</si>
  <si>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</si>
  <si>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</si>
  <si>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</si>
  <si>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</si>
  <si>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</si>
  <si>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</si>
  <si>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</si>
  <si>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</si>
  <si>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</si>
  <si>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</si>
  <si>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</si>
  <si>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</si>
  <si>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</si>
  <si>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</si>
  <si>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</si>
  <si>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</si>
  <si>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</si>
  <si>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</si>
  <si>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</si>
  <si>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</si>
  <si>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</si>
  <si>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</si>
  <si>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</si>
  <si>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</si>
  <si>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</si>
  <si>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</si>
  <si>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</si>
  <si>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</si>
  <si>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</si>
  <si>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</si>
  <si>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</si>
  <si>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</si>
  <si>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</si>
  <si>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</si>
  <si>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</si>
  <si>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</si>
  <si>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</si>
  <si>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</si>
  <si>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</si>
  <si>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</si>
  <si>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</si>
  <si>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</si>
  <si>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</si>
  <si>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</si>
  <si>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</si>
  <si>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</si>
  <si>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</si>
  <si>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</si>
  <si>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</si>
  <si>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</si>
  <si>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</si>
  <si>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</si>
  <si>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</si>
  <si>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</si>
  <si>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</si>
  <si>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</si>
  <si>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</si>
  <si>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</si>
  <si>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</si>
  <si>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</si>
  <si>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</si>
  <si>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</si>
  <si>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</si>
  <si>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</si>
  <si>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</si>
  <si>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</si>
  <si>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</si>
  <si>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</si>
  <si>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</si>
  <si>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</si>
  <si>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</si>
  <si>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</si>
  <si>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</si>
  <si>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</si>
  <si>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</si>
  <si>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</si>
  <si>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</si>
  <si>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</si>
  <si>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</si>
  <si>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</si>
  <si>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</si>
  <si>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</si>
  <si>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</si>
  <si>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</si>
  <si>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</si>
  <si>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</si>
  <si>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</si>
  <si>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</si>
  <si>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</si>
  <si>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</si>
  <si>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</si>
  <si>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</si>
  <si>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</si>
  <si>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</si>
  <si>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</si>
  <si>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</si>
  <si>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</si>
  <si>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</si>
  <si>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</si>
  <si>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</si>
  <si>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</si>
  <si>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</si>
  <si>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</si>
  <si>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</si>
  <si>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</si>
  <si>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</si>
  <si>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</si>
  <si>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</si>
  <si>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</si>
  <si>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</si>
  <si>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</si>
  <si>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</si>
  <si>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</si>
  <si>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</si>
  <si>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</si>
  <si>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</si>
  <si>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</si>
  <si>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</si>
  <si>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</si>
  <si>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</si>
  <si>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</si>
  <si>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</si>
  <si>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</si>
  <si>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</si>
  <si>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</si>
  <si>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</si>
  <si>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</si>
  <si>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</si>
  <si>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</si>
  <si>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</si>
  <si>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</si>
  <si>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</si>
  <si>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</si>
  <si>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</si>
  <si>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</si>
  <si>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</si>
  <si>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</si>
  <si>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</si>
  <si>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</si>
  <si>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</si>
  <si>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</si>
  <si>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</si>
  <si>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</si>
  <si>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</si>
  <si>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</si>
  <si>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</si>
  <si>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</si>
  <si>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</si>
  <si>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</si>
  <si>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</si>
  <si>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</si>
  <si>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</si>
  <si>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</si>
  <si>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</si>
  <si>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</si>
  <si>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</si>
  <si>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</si>
  <si>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</si>
  <si>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</si>
  <si>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</si>
  <si>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</si>
  <si>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</si>
  <si>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</si>
  <si>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</si>
  <si>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</si>
  <si>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</si>
  <si>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</si>
  <si>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</si>
  <si>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</si>
  <si>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</si>
  <si>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</si>
  <si>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</si>
  <si>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</si>
  <si>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</si>
  <si>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</si>
  <si>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</si>
  <si>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</si>
  <si>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</si>
  <si>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</si>
  <si>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</si>
  <si>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</si>
  <si>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</si>
  <si>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</si>
  <si>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</si>
  <si>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</si>
  <si>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</si>
  <si>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</si>
  <si>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</si>
  <si>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</si>
  <si>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</si>
  <si>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</si>
  <si>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</si>
  <si>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</si>
  <si>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</si>
  <si>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</si>
  <si>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</si>
  <si>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</si>
  <si>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</si>
  <si>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</si>
  <si>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</si>
  <si>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</si>
  <si>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</si>
  <si>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</si>
  <si>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</si>
  <si>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</si>
  <si>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</si>
  <si>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</si>
  <si>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</si>
  <si>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</si>
  <si>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</si>
  <si>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</si>
  <si>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</si>
  <si>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</si>
  <si>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</si>
  <si>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</si>
  <si>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</si>
  <si>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</si>
  <si>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</si>
  <si>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</si>
  <si>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</si>
  <si>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</si>
  <si>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</si>
  <si>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</si>
  <si>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</si>
  <si>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</si>
  <si>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</si>
  <si>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</si>
  <si>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</si>
  <si>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</si>
  <si>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</si>
  <si>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</si>
  <si>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</si>
  <si>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</si>
  <si>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</si>
  <si>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</si>
  <si>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</si>
  <si>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</si>
  <si>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</si>
  <si>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</si>
  <si>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</si>
  <si>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</si>
  <si>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</si>
  <si>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</si>
  <si>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</si>
  <si>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</si>
  <si>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</si>
  <si>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</si>
  <si>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</si>
  <si>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</si>
  <si>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</si>
  <si>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</si>
  <si>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</si>
  <si>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</si>
  <si>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</si>
  <si>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</si>
  <si>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</si>
  <si>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</si>
  <si>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</si>
  <si>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</si>
  <si>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</si>
  <si>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</si>
  <si>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</si>
  <si>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</si>
  <si>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</si>
  <si>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</si>
  <si>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</si>
  <si>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</si>
  <si>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</si>
  <si>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</si>
  <si>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</si>
  <si>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</si>
  <si>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</si>
  <si>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</si>
  <si>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</si>
  <si>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</si>
  <si>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</si>
  <si>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</si>
  <si>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</si>
  <si>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</si>
  <si>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</si>
  <si>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</si>
  <si>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</si>
  <si>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</si>
  <si>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</si>
  <si>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</si>
  <si>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</si>
  <si>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</si>
  <si>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</si>
  <si>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</si>
  <si>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</si>
  <si>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</si>
  <si>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</si>
  <si>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</si>
  <si>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</si>
  <si>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</si>
  <si>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</si>
  <si>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</si>
  <si>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</si>
  <si>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</si>
  <si>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</si>
  <si>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</si>
  <si>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</si>
  <si>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</si>
  <si>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</si>
  <si>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</si>
  <si>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</si>
  <si>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</si>
  <si>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</si>
  <si>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</si>
  <si>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</si>
  <si>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</si>
  <si>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</si>
  <si>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</si>
  <si>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</si>
  <si>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</si>
  <si>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</si>
  <si>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</si>
  <si>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</si>
  <si>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</si>
  <si>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</si>
  <si>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</si>
  <si>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</si>
  <si>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</si>
  <si>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</si>
  <si>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</si>
  <si>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</si>
  <si>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</si>
  <si>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</si>
  <si>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</si>
  <si>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</si>
  <si>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</si>
  <si>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</si>
  <si>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</si>
  <si>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</si>
  <si>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</si>
  <si>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</si>
  <si>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</si>
  <si>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</si>
  <si>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</si>
  <si>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</si>
  <si>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</si>
  <si>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</si>
  <si>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</si>
  <si>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</si>
  <si>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</si>
  <si>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</si>
  <si>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</si>
  <si>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</si>
  <si>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</si>
  <si>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</si>
  <si>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</si>
  <si>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</si>
  <si>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</si>
  <si>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</si>
  <si>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</si>
  <si>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</si>
  <si>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</si>
  <si>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</si>
  <si>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</si>
  <si>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</si>
  <si>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</si>
  <si>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</si>
  <si>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</si>
  <si>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</si>
  <si>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</si>
  <si>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</si>
  <si>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</si>
  <si>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</si>
  <si>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</si>
  <si>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</si>
  <si>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</si>
  <si>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</si>
  <si>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</si>
  <si>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</si>
  <si>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</si>
  <si>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</si>
  <si>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</si>
  <si>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</si>
  <si>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</si>
  <si>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</si>
  <si>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</si>
  <si>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</si>
  <si>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</si>
  <si>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</si>
  <si>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</si>
  <si>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</si>
  <si>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</si>
  <si>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</si>
  <si>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</si>
  <si>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</si>
  <si>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</si>
  <si>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</si>
  <si>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</si>
  <si>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</si>
  <si>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</si>
  <si>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</si>
  <si>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</si>
  <si>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</si>
  <si>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</si>
  <si>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</si>
  <si>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</si>
  <si>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</si>
  <si>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</si>
  <si>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</si>
  <si>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</si>
  <si>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</si>
  <si>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</si>
  <si>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</si>
  <si>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</si>
  <si>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</si>
  <si>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</si>
  <si>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</si>
  <si>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</si>
  <si>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</si>
  <si>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</si>
  <si>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</si>
  <si>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</si>
  <si>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</si>
  <si>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</si>
  <si>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</si>
  <si>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</si>
  <si>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</si>
  <si>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</si>
  <si>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</si>
  <si>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</si>
  <si>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</si>
  <si>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</si>
  <si>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</si>
  <si>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</si>
  <si>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</si>
  <si>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</si>
  <si>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</si>
  <si>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</si>
  <si>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</si>
  <si>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</si>
  <si>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</si>
  <si>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</si>
  <si>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</si>
  <si>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</si>
  <si>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</si>
  <si>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</si>
  <si>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</si>
  <si>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</si>
  <si>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</si>
  <si>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</si>
  <si>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</si>
  <si>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</si>
  <si>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</si>
  <si>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</si>
  <si>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</si>
  <si>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</si>
  <si>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</si>
  <si>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</si>
  <si>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</si>
  <si>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</si>
  <si>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</si>
  <si>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</si>
  <si>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</si>
  <si>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</si>
  <si>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</si>
  <si>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</si>
  <si>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</si>
  <si>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</si>
  <si>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</si>
  <si>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</si>
  <si>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</si>
  <si>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</si>
  <si>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</si>
  <si>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</si>
  <si>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</si>
  <si>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</si>
  <si>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</si>
  <si>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</si>
  <si>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</si>
  <si>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</si>
  <si>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</si>
  <si>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</si>
  <si>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</si>
  <si>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</si>
  <si>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</si>
  <si>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</si>
  <si>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</si>
  <si>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</si>
  <si>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</si>
  <si>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</si>
  <si>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</si>
  <si>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</si>
  <si>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</si>
  <si>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</si>
  <si>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</si>
  <si>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</si>
  <si>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</si>
  <si>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</si>
  <si>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</si>
  <si>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</si>
  <si>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</si>
  <si>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</si>
  <si>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</si>
  <si>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</si>
  <si>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</si>
  <si>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</si>
  <si>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</si>
  <si>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</si>
  <si>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</si>
  <si>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</si>
  <si>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</si>
  <si>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</si>
  <si>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</si>
  <si>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</si>
  <si>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</si>
  <si>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</si>
  <si>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</si>
  <si>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</si>
  <si>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</si>
  <si>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</si>
  <si>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</si>
  <si>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</si>
  <si>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</si>
  <si>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</si>
  <si>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</si>
  <si>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</si>
  <si>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</si>
  <si>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</si>
  <si>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</si>
  <si>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</si>
  <si>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</si>
  <si>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</si>
  <si>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</si>
  <si>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</si>
  <si>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</si>
  <si>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</si>
  <si>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</si>
  <si>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</si>
  <si>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</si>
  <si>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</si>
  <si>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</si>
  <si>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</si>
  <si>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</si>
  <si>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</si>
  <si>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</si>
  <si>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</si>
  <si>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</si>
  <si>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</si>
  <si>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</si>
  <si>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</si>
  <si>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</si>
  <si>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</si>
  <si>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</si>
  <si>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</si>
  <si>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</si>
  <si>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</si>
  <si>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</si>
  <si>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</si>
  <si>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</si>
  <si>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</si>
  <si>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</si>
  <si>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</si>
  <si>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</si>
  <si>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</si>
  <si>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</si>
  <si>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</si>
  <si>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</si>
  <si>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</si>
  <si>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</si>
  <si>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</si>
  <si>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</si>
  <si>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</si>
  <si>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</si>
  <si>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</si>
  <si>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</si>
  <si>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</si>
  <si>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</si>
  <si>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</si>
  <si>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</si>
  <si>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</si>
  <si>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</si>
  <si>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</si>
  <si>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</si>
  <si>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</si>
  <si>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</si>
  <si>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</si>
  <si>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</si>
  <si>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</si>
  <si>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</si>
  <si>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</si>
  <si>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</si>
  <si>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</si>
  <si>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</si>
  <si>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</si>
  <si>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</si>
  <si>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</si>
  <si>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</si>
  <si>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</si>
  <si>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</si>
  <si>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</si>
  <si>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</si>
  <si>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</si>
  <si>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</si>
  <si>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</si>
  <si>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</si>
  <si>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</si>
  <si>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</si>
  <si>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</si>
  <si>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</si>
  <si>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</si>
  <si>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</si>
  <si>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</si>
  <si>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</si>
  <si>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</si>
  <si>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</si>
  <si>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</si>
  <si>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</si>
  <si>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</si>
  <si>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</si>
  <si>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</si>
  <si>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</si>
  <si>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</si>
  <si>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</si>
  <si>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</si>
  <si>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</si>
  <si>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</si>
  <si>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</si>
  <si>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</si>
  <si>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</si>
  <si>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</si>
  <si>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</si>
  <si>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</si>
  <si>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</si>
  <si>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</si>
  <si>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</si>
  <si>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</si>
  <si>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</si>
  <si>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</si>
  <si>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</si>
  <si>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</si>
  <si>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</si>
  <si>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</si>
  <si>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</si>
  <si>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</si>
  <si>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</si>
  <si>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</si>
  <si>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</si>
  <si>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</si>
  <si>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</si>
  <si>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</si>
  <si>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</si>
  <si>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</si>
  <si>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</si>
  <si>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</si>
  <si>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</si>
  <si>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</si>
  <si>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</si>
  <si>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</si>
  <si>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</si>
  <si>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</si>
  <si>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</si>
  <si>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</si>
  <si>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</si>
  <si>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</si>
  <si>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</si>
  <si>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</si>
  <si>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</si>
  <si>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</si>
  <si>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</si>
  <si>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</si>
  <si>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</si>
  <si>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</si>
  <si>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</si>
  <si>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</si>
  <si>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</si>
  <si>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</si>
  <si>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</si>
  <si>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</si>
  <si>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</si>
  <si>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</si>
  <si>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</si>
  <si>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</si>
  <si>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</si>
  <si>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</si>
  <si>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</si>
  <si>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</si>
  <si>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</si>
  <si>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</si>
  <si>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</si>
  <si>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</si>
  <si>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</si>
  <si>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</si>
  <si>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</si>
  <si>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</si>
  <si>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</si>
  <si>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</si>
  <si>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</si>
  <si>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</si>
  <si>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</si>
  <si>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</si>
  <si>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</si>
  <si>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</si>
  <si>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</si>
  <si>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</si>
  <si>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</si>
  <si>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</si>
  <si>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</si>
  <si>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</si>
  <si>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</si>
  <si>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</si>
  <si>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</si>
  <si>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</si>
  <si>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</si>
  <si>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</si>
  <si>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</si>
  <si>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</si>
  <si>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</si>
  <si>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</si>
  <si>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</si>
  <si>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</si>
  <si>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</si>
  <si>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</si>
  <si>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</si>
  <si>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</si>
  <si>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</si>
  <si>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</si>
  <si>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</si>
  <si>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</si>
  <si>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</si>
  <si>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</si>
  <si>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</si>
  <si>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</si>
  <si>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</si>
  <si>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</si>
  <si>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</si>
  <si>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</si>
  <si>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</si>
  <si>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</si>
  <si>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</si>
  <si>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</si>
  <si>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</si>
  <si>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</si>
  <si>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</si>
  <si>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</si>
  <si>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</si>
  <si>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</si>
  <si>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</si>
  <si>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</si>
  <si>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</si>
  <si>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</si>
  <si>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</si>
  <si>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</si>
  <si>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</si>
  <si>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</si>
  <si>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</si>
  <si>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</si>
  <si>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</si>
  <si>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</si>
  <si>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</si>
  <si>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</si>
  <si>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</si>
  <si>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</si>
  <si>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</si>
  <si>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</si>
  <si>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</si>
  <si>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</si>
  <si>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</si>
  <si>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</si>
  <si>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</si>
  <si>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</si>
  <si>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</si>
  <si>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</si>
  <si>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</si>
  <si>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</si>
  <si>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</si>
  <si>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</si>
  <si>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</si>
  <si>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</si>
  <si>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</si>
  <si>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</si>
  <si>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</si>
  <si>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</si>
  <si>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</si>
  <si>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</si>
  <si>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</si>
  <si>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</si>
  <si>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</si>
  <si>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</si>
  <si>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</si>
  <si>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</si>
  <si>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</si>
  <si>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</si>
  <si>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</si>
  <si>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</si>
  <si>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</si>
  <si>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</si>
  <si>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</si>
  <si>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</si>
  <si>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</si>
  <si>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</si>
  <si>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</si>
  <si>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</si>
  <si>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</si>
  <si>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</si>
  <si>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</si>
  <si>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</si>
  <si>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</si>
  <si>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</si>
  <si>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</si>
  <si>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</si>
  <si>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</si>
  <si>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</si>
  <si>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</si>
  <si>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</si>
  <si>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</si>
  <si>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</si>
  <si>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</si>
  <si>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</si>
  <si>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</si>
  <si>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</si>
  <si>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</si>
  <si>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</si>
  <si>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</si>
  <si>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</si>
  <si>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</si>
  <si>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</si>
  <si>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</si>
  <si>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</si>
  <si>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</si>
  <si>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</si>
  <si>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</si>
  <si>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</si>
  <si>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</si>
  <si>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</si>
  <si>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</si>
  <si>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</si>
  <si>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</si>
  <si>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</si>
  <si>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</si>
  <si>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</si>
  <si>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</si>
  <si>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</si>
  <si>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</si>
  <si>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</si>
  <si>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</si>
  <si>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</si>
  <si>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</si>
  <si>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</si>
  <si>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</si>
  <si>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</si>
  <si>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</si>
  <si>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</si>
  <si>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</si>
  <si>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</si>
  <si>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</si>
  <si>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</si>
  <si>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</si>
  <si>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</si>
  <si>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</si>
  <si>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</si>
  <si>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</si>
  <si>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</si>
  <si>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</si>
  <si>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</si>
  <si>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</si>
  <si>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</si>
  <si>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</si>
  <si>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</si>
  <si>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</si>
  <si>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</si>
  <si>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</si>
  <si>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</si>
  <si>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</si>
  <si>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</si>
  <si>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</si>
  <si>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</si>
  <si>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</si>
  <si>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</si>
  <si>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</si>
  <si>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</si>
  <si>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</si>
  <si>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</si>
  <si>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</si>
  <si>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</si>
  <si>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</si>
  <si>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</si>
  <si>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</si>
  <si>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</si>
  <si>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</si>
  <si>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</si>
  <si>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</si>
  <si>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</si>
  <si>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</si>
  <si>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</si>
  <si>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</si>
  <si>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</si>
  <si>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</si>
  <si>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</si>
  <si>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</si>
  <si>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</si>
  <si>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</si>
  <si>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</si>
  <si>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</si>
  <si>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</si>
  <si>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</si>
  <si>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</si>
  <si>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</si>
  <si>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</si>
  <si>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</si>
  <si>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</si>
  <si>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</si>
  <si>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</si>
  <si>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</si>
  <si>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</si>
  <si>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</si>
  <si>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</si>
  <si>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</si>
  <si>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</si>
  <si>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</si>
  <si>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</si>
  <si>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</si>
  <si>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</si>
  <si>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</si>
  <si>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</si>
  <si>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</si>
  <si>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</si>
  <si>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</si>
  <si>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</si>
  <si>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</si>
  <si>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</si>
  <si>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</si>
  <si>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</si>
  <si>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</si>
  <si>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</si>
  <si>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</si>
  <si>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</si>
  <si>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</si>
  <si>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</si>
  <si>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</si>
  <si>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</si>
  <si>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</si>
  <si>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</si>
  <si>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</si>
  <si>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</si>
  <si>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</si>
  <si>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</si>
  <si>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</si>
  <si>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</si>
  <si>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</si>
  <si>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</si>
  <si>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</si>
  <si>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</si>
  <si>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</si>
  <si>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</si>
  <si>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</si>
  <si>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</si>
  <si>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</si>
  <si>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</si>
  <si>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</si>
  <si>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</si>
  <si>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</si>
  <si>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</si>
  <si>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</si>
  <si>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</si>
  <si>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</si>
  <si>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</si>
  <si>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</si>
  <si>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</si>
  <si>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</si>
  <si>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</si>
  <si>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</si>
  <si>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</si>
  <si>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</si>
  <si>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</si>
  <si>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</si>
  <si>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</si>
  <si>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</si>
  <si>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</si>
  <si>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</si>
  <si>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</si>
  <si>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</si>
  <si>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</si>
  <si>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</si>
  <si>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</si>
  <si>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</si>
  <si>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</si>
  <si>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</si>
  <si>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</si>
  <si>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</si>
  <si>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</si>
  <si>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</si>
  <si>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</si>
  <si>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</si>
  <si>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</si>
  <si>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</si>
  <si>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</si>
  <si>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</si>
  <si>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</si>
  <si>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</si>
  <si>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</si>
  <si>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</si>
  <si>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</si>
  <si>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</si>
  <si>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</si>
  <si>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</si>
  <si>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</si>
  <si>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</si>
  <si>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</si>
  <si>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</si>
  <si>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</si>
  <si>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</si>
  <si>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</si>
  <si>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</si>
  <si>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</si>
  <si>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</si>
  <si>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</si>
  <si>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</si>
  <si>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</si>
  <si>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</si>
  <si>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</si>
  <si>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</si>
  <si>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</si>
  <si>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</si>
  <si>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</si>
  <si>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</si>
  <si>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</si>
  <si>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</si>
  <si>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</si>
  <si>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</si>
  <si>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</si>
  <si>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</si>
  <si>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</si>
  <si>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</si>
  <si>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</si>
  <si>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</si>
  <si>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</si>
  <si>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</si>
  <si>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</si>
  <si>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</si>
  <si>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</si>
  <si>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</si>
  <si>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</si>
  <si>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</si>
  <si>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</si>
  <si>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</si>
  <si>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</si>
  <si>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</si>
  <si>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</si>
  <si>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</si>
  <si>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</si>
  <si>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</si>
  <si>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</si>
  <si>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</si>
  <si>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</si>
  <si>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</si>
  <si>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</si>
  <si>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</si>
  <si>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</si>
  <si>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</si>
  <si>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</si>
  <si>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</si>
  <si>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</si>
  <si>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</si>
  <si>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</si>
  <si>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</si>
  <si>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</si>
  <si>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</si>
  <si>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</si>
  <si>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</si>
  <si>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</si>
  <si>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</si>
  <si>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</si>
  <si>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时间</t>
  </si>
  <si>
    <t>楼栋号</t>
  </si>
  <si>
    <t>单元号</t>
  </si>
  <si>
    <t>房间号</t>
  </si>
  <si>
    <t>许可证号</t>
  </si>
  <si>
    <t>物业类型</t>
  </si>
  <si>
    <t>户型</t>
  </si>
  <si>
    <t>成交面积（㎡）</t>
  </si>
  <si>
    <t>成交金额（万元）</t>
  </si>
  <si>
    <t>成交单价（元/㎡</t>
  </si>
  <si>
    <t>2022-01-28</t>
  </si>
  <si>
    <t>21号楼</t>
  </si>
  <si>
    <t>104</t>
  </si>
  <si>
    <t>现：京(2019)石不动产权第0006983号</t>
  </si>
  <si>
    <t>商业</t>
  </si>
  <si>
    <t>其他</t>
  </si>
  <si>
    <t>171.0</t>
  </si>
  <si>
    <t>205.22</t>
  </si>
  <si>
    <t>12000.0</t>
  </si>
  <si>
    <t>2022-01-27</t>
  </si>
  <si>
    <t>11号楼</t>
  </si>
  <si>
    <t>44866</t>
  </si>
  <si>
    <t>现：京(2019)石不动产权第0008658号</t>
  </si>
  <si>
    <t>111.0</t>
  </si>
  <si>
    <t>133.2</t>
  </si>
  <si>
    <t>12号楼</t>
  </si>
  <si>
    <t>106</t>
  </si>
  <si>
    <t>现：京(2019)石不动产权第0006984号</t>
  </si>
  <si>
    <t>166.0</t>
  </si>
  <si>
    <t>199.38</t>
  </si>
  <si>
    <t>16号楼</t>
  </si>
  <si>
    <t>121</t>
  </si>
  <si>
    <t>现：京(2019)石不动产权第0006982号</t>
  </si>
  <si>
    <t>117.0</t>
  </si>
  <si>
    <t>140.24</t>
  </si>
  <si>
    <t>2022-01-24</t>
  </si>
  <si>
    <t>195.0</t>
  </si>
  <si>
    <t>234.02</t>
  </si>
  <si>
    <t>2021-10-29</t>
  </si>
  <si>
    <t>107</t>
  </si>
  <si>
    <t>165.0</t>
  </si>
  <si>
    <t>197.54</t>
  </si>
  <si>
    <t>108</t>
  </si>
  <si>
    <t>2021-08-24</t>
  </si>
  <si>
    <t>10号楼</t>
  </si>
  <si>
    <t>44470</t>
  </si>
  <si>
    <t>现：京(2019)石不动产权第0008661号</t>
  </si>
  <si>
    <t>219.0</t>
  </si>
  <si>
    <t>262.34</t>
  </si>
  <si>
    <t>113</t>
  </si>
  <si>
    <t>44472</t>
  </si>
  <si>
    <t>199.5</t>
  </si>
  <si>
    <t>44471</t>
  </si>
  <si>
    <t>163.0</t>
  </si>
  <si>
    <t>195.58</t>
  </si>
  <si>
    <t>2021-08-10</t>
  </si>
  <si>
    <t>518.19</t>
  </si>
  <si>
    <t>30300.0</t>
  </si>
  <si>
    <t>169.0</t>
  </si>
  <si>
    <t>512.51</t>
  </si>
  <si>
    <t>30277.0</t>
  </si>
  <si>
    <t>2021-07-19</t>
  </si>
  <si>
    <t>158.0</t>
  </si>
  <si>
    <t>189.94</t>
  </si>
  <si>
    <t>2021-06-18</t>
  </si>
  <si>
    <t>123</t>
  </si>
  <si>
    <t>173.0</t>
  </si>
  <si>
    <t>207.17</t>
  </si>
  <si>
    <t>120</t>
  </si>
  <si>
    <t>109</t>
  </si>
  <si>
    <t>115</t>
  </si>
  <si>
    <t>174.0</t>
  </si>
  <si>
    <t>208.84</t>
  </si>
  <si>
    <t>125</t>
  </si>
  <si>
    <t>196.0</t>
  </si>
  <si>
    <t>234.88</t>
  </si>
  <si>
    <t>114</t>
  </si>
  <si>
    <t>164.0</t>
  </si>
  <si>
    <t>196.78</t>
  </si>
  <si>
    <t>11-5</t>
  </si>
  <si>
    <t>205.0</t>
  </si>
  <si>
    <t>246.43</t>
  </si>
  <si>
    <t>110</t>
  </si>
  <si>
    <t>10-7</t>
  </si>
  <si>
    <t>189.07</t>
  </si>
  <si>
    <t>159.0</t>
  </si>
  <si>
    <t>190.37</t>
  </si>
  <si>
    <t>105</t>
  </si>
  <si>
    <t>10-6</t>
  </si>
  <si>
    <t>124</t>
  </si>
  <si>
    <t>205.34</t>
  </si>
  <si>
    <t>208.24</t>
  </si>
  <si>
    <t>11-3</t>
  </si>
  <si>
    <t>135.0</t>
  </si>
  <si>
    <t>161.54</t>
  </si>
  <si>
    <t>111</t>
  </si>
  <si>
    <t>161.0</t>
  </si>
  <si>
    <t>193.12</t>
  </si>
  <si>
    <t>178.0</t>
  </si>
  <si>
    <t>213.22</t>
  </si>
  <si>
    <t>112</t>
  </si>
  <si>
    <t>170.0</t>
  </si>
  <si>
    <t>203.81</t>
  </si>
  <si>
    <t>2021-06-17</t>
  </si>
  <si>
    <t>118</t>
  </si>
  <si>
    <t>237.0</t>
  </si>
  <si>
    <t>284.1</t>
  </si>
  <si>
    <t>117</t>
  </si>
  <si>
    <t>199.15</t>
  </si>
  <si>
    <t>119</t>
  </si>
  <si>
    <t>193.0</t>
  </si>
  <si>
    <t>231.26</t>
  </si>
  <si>
    <t>197.0</t>
  </si>
  <si>
    <t>236.26</t>
  </si>
  <si>
    <t>2021-05-26</t>
  </si>
  <si>
    <t>44473</t>
  </si>
  <si>
    <t>162.0</t>
  </si>
  <si>
    <t>408.65</t>
  </si>
  <si>
    <t>25298.0</t>
  </si>
  <si>
    <t>2021-02-01</t>
  </si>
  <si>
    <t>44477</t>
  </si>
  <si>
    <t>415.29</t>
  </si>
  <si>
    <t>25481.0</t>
  </si>
  <si>
    <t>44480</t>
  </si>
  <si>
    <t>37.0</t>
  </si>
  <si>
    <t>82.91</t>
  </si>
  <si>
    <t>22691.0</t>
  </si>
  <si>
    <t>102</t>
  </si>
  <si>
    <t>427.06</t>
  </si>
  <si>
    <t>25192.0</t>
  </si>
  <si>
    <t>2021-01-19</t>
  </si>
  <si>
    <t>520.64</t>
  </si>
  <si>
    <t>30442.0</t>
  </si>
  <si>
    <t>516.12</t>
  </si>
  <si>
    <t>30446.0</t>
  </si>
  <si>
    <t>2020-12-23</t>
  </si>
  <si>
    <t>116</t>
  </si>
  <si>
    <t>145.0</t>
  </si>
  <si>
    <t>368.86</t>
  </si>
  <si>
    <t>25468.0</t>
  </si>
  <si>
    <t>2020-12-21</t>
  </si>
  <si>
    <t>435.57</t>
  </si>
  <si>
    <t>25694.0</t>
  </si>
  <si>
    <t>2020-12-11</t>
  </si>
  <si>
    <t>434.57</t>
  </si>
  <si>
    <t>2020-11-20</t>
  </si>
  <si>
    <t>103</t>
  </si>
  <si>
    <t>430.84</t>
  </si>
  <si>
    <t>44109</t>
  </si>
  <si>
    <t>398.39</t>
  </si>
  <si>
    <t>25284.0</t>
  </si>
  <si>
    <t>436.57</t>
  </si>
  <si>
    <t>25527.0</t>
  </si>
  <si>
    <t>2020-11-02</t>
  </si>
  <si>
    <t>543.04</t>
  </si>
  <si>
    <t>27845.0</t>
  </si>
  <si>
    <t>2020-10-30</t>
  </si>
  <si>
    <t>20号楼</t>
  </si>
  <si>
    <t>现：京(2019)石不动产权第0006985号</t>
  </si>
  <si>
    <t>461.58</t>
  </si>
  <si>
    <t>27018.0</t>
  </si>
  <si>
    <t>172.0</t>
  </si>
  <si>
    <t>464.93</t>
  </si>
  <si>
    <t>101</t>
  </si>
  <si>
    <t>180.0</t>
  </si>
  <si>
    <t>505.57</t>
  </si>
  <si>
    <t>28079.0</t>
  </si>
  <si>
    <t>288.0</t>
  </si>
  <si>
    <t>778.51</t>
  </si>
  <si>
    <t>460.8</t>
  </si>
  <si>
    <t>460.69</t>
  </si>
  <si>
    <t>479.71</t>
  </si>
  <si>
    <t>2020-10-29</t>
  </si>
  <si>
    <t>44113</t>
  </si>
  <si>
    <t>200.0</t>
  </si>
  <si>
    <t>597.04</t>
  </si>
  <si>
    <t>29800.0</t>
  </si>
  <si>
    <t>2020-10-15</t>
  </si>
  <si>
    <t>188.0</t>
  </si>
  <si>
    <t>523.81</t>
  </si>
  <si>
    <t>27800.0</t>
  </si>
  <si>
    <t>2020-09-28</t>
  </si>
  <si>
    <t>44117</t>
  </si>
  <si>
    <t>42.0</t>
  </si>
  <si>
    <t>94.4</t>
  </si>
  <si>
    <t>22664.0</t>
  </si>
  <si>
    <t>2020-08-04</t>
  </si>
  <si>
    <t>44116</t>
  </si>
  <si>
    <t>40.0</t>
  </si>
  <si>
    <t>91.09</t>
  </si>
  <si>
    <t>2020-06-05</t>
  </si>
  <si>
    <t>44114</t>
  </si>
  <si>
    <t>52.0</t>
  </si>
  <si>
    <t>141.58</t>
  </si>
  <si>
    <t>27138.0</t>
  </si>
  <si>
    <t>2020-05-20</t>
  </si>
  <si>
    <t>122</t>
  </si>
  <si>
    <t>520.03</t>
  </si>
  <si>
    <t>30389.0</t>
  </si>
  <si>
    <t>2019-12-20</t>
  </si>
  <si>
    <t>199.0</t>
  </si>
  <si>
    <t>504.85</t>
  </si>
  <si>
    <t>25350.0</t>
  </si>
  <si>
    <t>2019-12-17</t>
  </si>
  <si>
    <t>488.6</t>
  </si>
  <si>
    <t>207.0</t>
  </si>
  <si>
    <t>636.06</t>
  </si>
  <si>
    <t>30682.0</t>
  </si>
  <si>
    <t>2019-11-21</t>
  </si>
  <si>
    <t>43771</t>
  </si>
  <si>
    <t>90.0</t>
  </si>
  <si>
    <t>259.55</t>
  </si>
  <si>
    <t>28950.0</t>
  </si>
  <si>
    <t>2019-11-05</t>
  </si>
  <si>
    <t>512.89</t>
  </si>
  <si>
    <t>2019-11-04</t>
  </si>
  <si>
    <t>561.11</t>
  </si>
  <si>
    <t>28500.0</t>
  </si>
  <si>
    <t>2019-09-05</t>
  </si>
  <si>
    <t>187.0</t>
  </si>
  <si>
    <t>546.15</t>
  </si>
  <si>
    <t>29218.0</t>
  </si>
  <si>
    <t>2019-09-02</t>
  </si>
  <si>
    <t>198.0</t>
  </si>
  <si>
    <t>574.69</t>
  </si>
  <si>
    <t>29000.0</t>
  </si>
  <si>
    <t>191.0</t>
  </si>
  <si>
    <t>656.77</t>
  </si>
  <si>
    <t>34346.0</t>
  </si>
  <si>
    <t>533.57</t>
  </si>
  <si>
    <t>30906.0</t>
  </si>
  <si>
    <t>160.0</t>
  </si>
  <si>
    <t>457.08</t>
  </si>
  <si>
    <t>28510.0</t>
  </si>
  <si>
    <t>抵押</t>
  </si>
  <si>
    <t>房地产抵押价值</t>
  </si>
  <si>
    <t>北京市</t>
  </si>
  <si>
    <t>企业</t>
  </si>
  <si>
    <t>万元</t>
  </si>
  <si>
    <t>楼面单价</t>
  </si>
  <si>
    <t>无租约</t>
  </si>
  <si>
    <t>否</t>
  </si>
  <si>
    <t>利息：取LPR加浮动点数</t>
  </si>
  <si>
    <t>正常</t>
    <phoneticPr fontId="25" type="noConversion"/>
  </si>
  <si>
    <t>正常</t>
    <phoneticPr fontId="25" type="noConversion"/>
  </si>
  <si>
    <t>一般</t>
    <phoneticPr fontId="25" type="noConversion"/>
  </si>
  <si>
    <t>较好</t>
    <phoneticPr fontId="25" type="noConversion"/>
  </si>
  <si>
    <t>较好</t>
    <phoneticPr fontId="25" type="noConversion"/>
  </si>
  <si>
    <r>
      <t>1-2</t>
    </r>
    <r>
      <rPr>
        <sz val="11"/>
        <rFont val="宋体"/>
        <family val="3"/>
        <charset val="134"/>
      </rPr>
      <t>层</t>
    </r>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</si>
  <si>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</si>
  <si>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</si>
  <si>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</si>
  <si>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</si>
  <si>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钢混</t>
  </si>
  <si>
    <t>非生产用房</t>
  </si>
  <si>
    <t>比较法-商业</t>
  </si>
  <si>
    <t>收益法</t>
  </si>
  <si>
    <t>一般</t>
    <phoneticPr fontId="25" type="noConversion"/>
  </si>
  <si>
    <t>七通</t>
    <phoneticPr fontId="25" type="noConversion"/>
  </si>
  <si>
    <t>七通</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</si>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</sst>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9" borderId="0" xfId="0" applyFill="1" applyAlignment="1"/>
    <xf numFmtId="0" fontId="93" fillId="0" borderId="0" xfId="1" applyAlignment="1"/>
    <xf numFmtId="0" fontId="93" fillId="9" borderId="0" xfId="1" applyFill="1" applyAlignment="1"/>
    <xf numFmtId="0" fontId="93" fillId="7" borderId="0" xfId="1" applyFill="1" applyAlignment="1"/>
    <xf numFmtId="0" fontId="0" fillId="7" borderId="0" xfId="0" applyFill="1" applyAlignment="1"/>
    <xf numFmtId="49" fontId="135" fillId="2" borderId="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189277</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0477" cy="7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估价对象为北京市房地产，为XX所有。根据《》[]，估价对象建筑面积为199.15平方米。根据《》[]，估价对象（分摊）出让国有建设用地使用权面积为平方米。估价对象用途为。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2022年6月24日</v>
      </c>
    </row>
    <row r="10" spans="1:2">
      <c r="A10" s="1139" t="s">
        <v>865</v>
      </c>
      <c r="B10" s="1126" t="str">
        <f>'预评函-1'!A13</f>
        <v>本次估价的“房地产价值”是指在正常市场情况下，在价值时点2022年6月24日，估价对象规划用途为，假定未设立法定优先受偿款下的房地产市场价值。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199.15</v>
      </c>
    </row>
    <row r="19" spans="1:2">
      <c r="A19" s="1139" t="s">
        <v>874</v>
      </c>
      <c r="B19" s="1126">
        <f ca="1">'预评函-2（1）'!D7</f>
        <v>458</v>
      </c>
    </row>
    <row r="20" spans="1:2">
      <c r="A20" s="1139" t="s">
        <v>912</v>
      </c>
      <c r="B20" s="1126" t="str">
        <f>'预评函-2（1）'!C7</f>
        <v>总价（万元）</v>
      </c>
    </row>
    <row r="21" spans="1:2">
      <c r="A21" s="1139" t="s">
        <v>875</v>
      </c>
      <c r="B21" s="1126">
        <f ca="1">'预评函-2（1）'!D9</f>
        <v>22979</v>
      </c>
    </row>
    <row r="22" spans="1:2">
      <c r="A22" s="1139" t="s">
        <v>876</v>
      </c>
      <c r="B22" s="1126" t="str">
        <f ca="1">'预评函-2（1）'!D8</f>
        <v>肆佰伍拾捌万元整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458</v>
      </c>
    </row>
    <row r="30" spans="1:2">
      <c r="A30" s="1139" t="s">
        <v>882</v>
      </c>
      <c r="B30" s="1126" t="str">
        <f ca="1">'预评函-2（1）'!D16</f>
        <v>肆佰伍拾捌万元整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346</v>
      </c>
    </row>
    <row r="38" spans="1:2">
      <c r="A38" s="1139" t="s">
        <v>890</v>
      </c>
      <c r="B38" s="1126">
        <f ca="1">'预评函-2（2）'!E4</f>
        <v>17395</v>
      </c>
    </row>
    <row r="39" spans="1:2">
      <c r="A39" s="1139" t="s">
        <v>891</v>
      </c>
      <c r="B39" s="1126" t="str">
        <f ca="1">'预评函-2（2）'!D5</f>
        <v>叁佰肆拾陆万元整</v>
      </c>
    </row>
    <row r="40" spans="1:2">
      <c r="A40" s="1139" t="s">
        <v>892</v>
      </c>
      <c r="B40" s="1126">
        <f ca="1">'预评函-2（2）'!F4</f>
        <v>111</v>
      </c>
    </row>
    <row r="41" spans="1:2">
      <c r="A41" s="1139" t="s">
        <v>893</v>
      </c>
      <c r="B41" s="1126">
        <f ca="1">'预评函-2（2）'!G4</f>
        <v>5584</v>
      </c>
    </row>
    <row r="42" spans="1:2" s="1136" customFormat="1" ht="15.75" thickBot="1">
      <c r="A42" s="1140" t="s">
        <v>894</v>
      </c>
      <c r="B42" s="1128" t="str">
        <f ca="1">'预评函-2（2）'!F5</f>
        <v>壹佰壹拾壹万元整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22979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2" sqref="D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44736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3265</v>
      </c>
      <c r="E4" s="782"/>
      <c r="F4" s="782"/>
      <c r="G4" s="1121"/>
    </row>
    <row r="5" spans="1:17">
      <c r="A5" s="1358" t="s">
        <v>1295</v>
      </c>
      <c r="B5" s="1359" t="s">
        <v>2480</v>
      </c>
      <c r="C5" s="2811" t="s">
        <v>1296</v>
      </c>
      <c r="D5" s="1361" t="s">
        <v>3266</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3267</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3268</v>
      </c>
      <c r="C7" s="1453" t="str">
        <f>IF(B7="自然人","姓名","名称")</f>
        <v>名称</v>
      </c>
      <c r="D7" s="1366" t="s">
        <v>2480</v>
      </c>
      <c r="E7" s="783"/>
      <c r="F7" s="783"/>
      <c r="G7" s="1122"/>
    </row>
    <row r="8" spans="1:17" ht="13.5" thickTop="1">
      <c r="A8" s="3391" t="s">
        <v>1301</v>
      </c>
      <c r="B8" s="1367" t="s">
        <v>1302</v>
      </c>
      <c r="C8" s="3404"/>
      <c r="D8" s="3405"/>
      <c r="E8" s="2519" t="s">
        <v>1303</v>
      </c>
      <c r="F8" s="2520" t="s">
        <v>1304</v>
      </c>
      <c r="G8" s="2521" t="str">
        <f>C6</f>
        <v>XX</v>
      </c>
    </row>
    <row r="9" spans="1:17">
      <c r="A9" s="3391"/>
      <c r="B9" s="259" t="s">
        <v>1305</v>
      </c>
      <c r="C9" s="1359"/>
      <c r="D9" s="1368"/>
      <c r="E9" s="2815" t="s">
        <v>1306</v>
      </c>
      <c r="F9" s="2522"/>
      <c r="G9" s="2523"/>
    </row>
    <row r="10" spans="1:17" ht="13.5" thickBot="1">
      <c r="A10" s="3391"/>
      <c r="B10" s="259" t="s">
        <v>1307</v>
      </c>
      <c r="C10" s="3406"/>
      <c r="D10" s="3407"/>
      <c r="E10" s="2816" t="s">
        <v>1308</v>
      </c>
      <c r="F10" s="2524"/>
      <c r="G10" s="2525"/>
    </row>
    <row r="11" spans="1:17" ht="13.5" thickBot="1">
      <c r="A11" s="3391"/>
      <c r="B11" s="1370" t="s">
        <v>1309</v>
      </c>
      <c r="C11" s="3408"/>
      <c r="D11" s="3409"/>
      <c r="E11" s="769"/>
      <c r="F11" s="769"/>
      <c r="G11" s="788"/>
    </row>
    <row r="12" spans="1:17" ht="13.5" thickBot="1">
      <c r="A12" s="3395" t="s">
        <v>2587</v>
      </c>
      <c r="B12" s="2817" t="s">
        <v>1310</v>
      </c>
      <c r="C12" s="766">
        <v>199.15</v>
      </c>
      <c r="D12" s="1371" t="s">
        <v>1311</v>
      </c>
      <c r="E12" s="1372"/>
      <c r="F12" s="1373"/>
      <c r="G12" s="788"/>
    </row>
    <row r="13" spans="1:17" ht="21" customHeight="1" thickBot="1">
      <c r="A13" s="3396"/>
      <c r="B13" s="2818" t="s">
        <v>1312</v>
      </c>
      <c r="C13" s="767"/>
      <c r="D13" s="1374" t="s">
        <v>1313</v>
      </c>
      <c r="E13" s="1375"/>
      <c r="F13" s="769"/>
      <c r="G13" s="788"/>
      <c r="I13" s="341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0" t="s">
        <v>1320</v>
      </c>
      <c r="C17" s="3411"/>
      <c r="D17" s="3412" t="s">
        <v>1321</v>
      </c>
      <c r="E17" s="341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3" t="s">
        <v>2586</v>
      </c>
      <c r="B24" s="3423"/>
      <c r="C24" s="3423"/>
      <c r="D24" s="3423"/>
      <c r="E24" s="3423"/>
      <c r="F24" s="3423"/>
      <c r="G24" s="342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8" t="s">
        <v>1334</v>
      </c>
      <c r="D28" s="3399"/>
      <c r="E28" s="759"/>
      <c r="F28" s="761" t="s">
        <v>1334</v>
      </c>
      <c r="G28" s="759"/>
      <c r="K28" s="2822"/>
    </row>
    <row r="29" spans="1:66">
      <c r="A29" s="762" t="s">
        <v>1335</v>
      </c>
      <c r="B29" s="756"/>
      <c r="C29" s="3400" t="s">
        <v>1336</v>
      </c>
      <c r="D29" s="3401"/>
      <c r="E29" s="756"/>
      <c r="F29" s="762" t="s">
        <v>1336</v>
      </c>
      <c r="G29" s="756"/>
      <c r="K29" s="2822"/>
    </row>
    <row r="30" spans="1:66">
      <c r="A30" s="762" t="s">
        <v>1337</v>
      </c>
      <c r="B30" s="756"/>
      <c r="C30" s="3400" t="s">
        <v>1337</v>
      </c>
      <c r="D30" s="3401"/>
      <c r="E30" s="756"/>
      <c r="F30" s="762" t="s">
        <v>1338</v>
      </c>
      <c r="G30" s="756"/>
      <c r="K30" s="2822"/>
    </row>
    <row r="31" spans="1:66">
      <c r="A31" s="762" t="s">
        <v>1339</v>
      </c>
      <c r="B31" s="756"/>
      <c r="C31" s="3420" t="s">
        <v>1340</v>
      </c>
      <c r="D31" s="769"/>
      <c r="E31" s="2545" t="str">
        <f>E32&amp;" "&amp;E33&amp;" "&amp;E34&amp;" "&amp;E35</f>
        <v xml:space="preserve">   </v>
      </c>
      <c r="F31" s="762" t="s">
        <v>1341</v>
      </c>
      <c r="G31" s="756"/>
    </row>
    <row r="32" spans="1:66">
      <c r="A32" s="762" t="s">
        <v>1342</v>
      </c>
      <c r="B32" s="756"/>
      <c r="C32" s="3421"/>
      <c r="D32" s="259" t="s">
        <v>1343</v>
      </c>
      <c r="E32" s="756"/>
      <c r="F32" s="762" t="s">
        <v>1344</v>
      </c>
      <c r="G32" s="756"/>
    </row>
    <row r="33" spans="1:7" ht="24.75" thickBot="1">
      <c r="A33" s="763" t="s">
        <v>1345</v>
      </c>
      <c r="B33" s="760"/>
      <c r="C33" s="3421"/>
      <c r="D33" s="259" t="s">
        <v>1346</v>
      </c>
      <c r="E33" s="756"/>
      <c r="F33" s="762" t="s">
        <v>1347</v>
      </c>
      <c r="G33" s="756"/>
    </row>
    <row r="34" spans="1:7">
      <c r="A34" s="761" t="s">
        <v>1348</v>
      </c>
      <c r="B34" s="759"/>
      <c r="C34" s="3421"/>
      <c r="D34" s="259" t="s">
        <v>1349</v>
      </c>
      <c r="E34" s="756"/>
      <c r="F34" s="762" t="s">
        <v>1350</v>
      </c>
      <c r="G34" s="756"/>
    </row>
    <row r="35" spans="1:7" ht="13.5" thickBot="1">
      <c r="A35" s="762" t="s">
        <v>1351</v>
      </c>
      <c r="B35" s="756"/>
      <c r="C35" s="3422"/>
      <c r="D35" s="259" t="s">
        <v>1352</v>
      </c>
      <c r="E35" s="756"/>
      <c r="F35" s="763" t="s">
        <v>1353</v>
      </c>
      <c r="G35" s="2546"/>
    </row>
    <row r="36" spans="1:7">
      <c r="A36" s="762" t="s">
        <v>1310</v>
      </c>
      <c r="B36" s="756"/>
      <c r="C36" s="3400" t="s">
        <v>1354</v>
      </c>
      <c r="D36" s="3401"/>
      <c r="E36" s="756"/>
      <c r="F36" s="2547" t="s">
        <v>1355</v>
      </c>
      <c r="G36" s="759"/>
    </row>
    <row r="37" spans="1:7" ht="13.5" thickBot="1">
      <c r="A37" s="762" t="s">
        <v>1356</v>
      </c>
      <c r="B37" s="756"/>
      <c r="C37" s="3402" t="s">
        <v>1357</v>
      </c>
      <c r="D37" s="3403"/>
      <c r="E37" s="760"/>
      <c r="F37" s="1391" t="s">
        <v>1358</v>
      </c>
      <c r="G37" s="756"/>
    </row>
    <row r="38" spans="1:7" ht="13.5" thickBot="1">
      <c r="A38" s="762" t="s">
        <v>1359</v>
      </c>
      <c r="B38" s="756"/>
      <c r="C38" s="3392"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c r="A42" s="764" t="s">
        <v>1369</v>
      </c>
      <c r="B42" s="2548"/>
      <c r="C42" s="3415" t="s">
        <v>1369</v>
      </c>
      <c r="D42" s="341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7" t="s">
        <v>1372</v>
      </c>
      <c r="D49" s="3418"/>
      <c r="E49" s="778"/>
      <c r="F49" s="763" t="s">
        <v>1373</v>
      </c>
      <c r="G49" s="760"/>
    </row>
    <row r="50" spans="1:66">
      <c r="A50" s="762" t="s">
        <v>1374</v>
      </c>
      <c r="B50" s="777"/>
      <c r="C50" s="3392" t="s">
        <v>1375</v>
      </c>
      <c r="D50" s="3419"/>
      <c r="E50" s="2550"/>
      <c r="F50" s="795"/>
      <c r="G50" s="796"/>
    </row>
    <row r="51" spans="1:66" ht="13.5" thickBot="1">
      <c r="A51" s="762" t="s">
        <v>1376</v>
      </c>
      <c r="B51" s="777"/>
      <c r="C51" s="3394" t="s">
        <v>1377</v>
      </c>
      <c r="D51" s="339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4" t="s">
        <v>0</v>
      </c>
      <c r="B1" s="3424" t="s">
        <v>2</v>
      </c>
      <c r="C1" s="3424" t="s">
        <v>3</v>
      </c>
      <c r="D1" s="3425" t="s">
        <v>67</v>
      </c>
      <c r="E1" s="3425" t="s">
        <v>68</v>
      </c>
      <c r="F1" s="3425"/>
      <c r="G1" s="3425"/>
      <c r="H1" s="3425"/>
      <c r="I1" s="3425"/>
      <c r="J1" s="3425"/>
      <c r="K1" s="3425"/>
      <c r="L1" s="3425"/>
      <c r="M1" s="3425"/>
    </row>
    <row r="2" spans="1:13" ht="27" customHeight="1">
      <c r="A2" s="3424"/>
      <c r="B2" s="3424"/>
      <c r="C2" s="3424"/>
      <c r="D2" s="3425"/>
      <c r="E2" s="3425" t="s">
        <v>51</v>
      </c>
      <c r="F2" s="3425" t="s">
        <v>52</v>
      </c>
      <c r="G2" s="3425"/>
      <c r="H2" s="3425"/>
      <c r="I2" s="3425"/>
      <c r="J2" s="3425" t="s">
        <v>53</v>
      </c>
      <c r="K2" s="3425"/>
      <c r="L2" s="3425"/>
      <c r="M2" s="3425"/>
    </row>
    <row r="3" spans="1:13" ht="28.5">
      <c r="A3" s="3424"/>
      <c r="B3" s="3424"/>
      <c r="C3" s="3424"/>
      <c r="D3" s="3425"/>
      <c r="E3" s="34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5" t="s">
        <v>69</v>
      </c>
      <c r="B9" s="3425"/>
      <c r="C9" s="34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44736</v>
      </c>
      <c r="C2" s="1613"/>
      <c r="D2" s="342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3269</v>
      </c>
      <c r="C3" s="1613"/>
      <c r="D3" s="3427"/>
      <c r="E3" s="2557" t="s">
        <v>3272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3270</v>
      </c>
      <c r="C4" s="1613"/>
      <c r="D4" s="342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199.15</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56109</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31.15</v>
      </c>
      <c r="C13" s="2885"/>
      <c r="D13" s="2851" t="s">
        <v>1397</v>
      </c>
      <c r="E13" s="2571">
        <f>E12*B5</f>
        <v>39830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0.91900000000000004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697025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2014</v>
      </c>
      <c r="C27" s="1613"/>
      <c r="D27" s="3074" t="s">
        <v>3273</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3271</v>
      </c>
      <c r="D29" s="2853" t="s">
        <v>1423</v>
      </c>
      <c r="E29" s="2872">
        <f>E30+E31</f>
        <v>5.6000000000000001E-2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31.15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8" t="s">
        <v>1463</v>
      </c>
      <c r="B1" s="3429"/>
      <c r="C1" s="3429"/>
      <c r="D1" s="3429"/>
      <c r="E1" s="3429"/>
      <c r="F1" s="3429"/>
      <c r="G1" s="342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199.15</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458</v>
      </c>
      <c r="C5" s="2499">
        <f ca="1">ROUND(B5*10000/$B$1,0)</f>
        <v>22998</v>
      </c>
      <c r="D5" s="2499" t="e">
        <f ca="1">ROUND(B5*10000/$B$2,0)</f>
        <v>#DIV/0!</v>
      </c>
      <c r="E5" s="1562"/>
      <c r="F5" s="2500"/>
      <c r="G5" s="2500"/>
    </row>
    <row r="6" spans="1:9" ht="16.5">
      <c r="A6" s="2499" t="s">
        <v>981</v>
      </c>
      <c r="B6" s="2499">
        <f ca="1">SUM(G14:G23)</f>
        <v>458</v>
      </c>
      <c r="C6" s="2499">
        <f t="shared" ref="C6:C8" ca="1" si="0">ROUND(B6*10000/$B$1,0)</f>
        <v>22998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199.15</v>
      </c>
      <c r="C14" s="2835">
        <f>项目基本情况!C13</f>
        <v>0</v>
      </c>
      <c r="D14" s="2835">
        <f ca="1">IF('数据-取费表'!B3="万元",IF(A14="估价对象1（结果表）",结果表!H121,'结果表 (1修多)'!H125),IF(A14="估价对象1（结果表）",结果表!H121,'结果表 (1修多)'!H125)/10000)</f>
        <v>458</v>
      </c>
      <c r="E14" s="2835">
        <f ca="1">ROUND(D14*10000/B14,0)</f>
        <v>22998</v>
      </c>
      <c r="F14" s="2835" t="e">
        <f ca="1">ROUND(D14*10000/C14,0)</f>
        <v>#DIV/0!</v>
      </c>
      <c r="G14" s="2835">
        <f ca="1">IF('数据-取费表'!B3="万元",IF(A14="估价对象1（结果表）",结果表!D125,'结果表 (1修多)'!D129),IF(A14="估价对象1（结果表）",结果表!D125,'结果表 (1修多)'!D129)/10000)</f>
        <v>458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80" zoomScaleNormal="100" zoomScaleSheetLayoutView="80" zoomScalePageLayoutView="80" workbookViewId="0">
      <selection activeCell="M23" sqref="M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1" t="str">
        <f>项目基本情况!B1</f>
        <v>北京市房地产抵押价值预评估</v>
      </c>
      <c r="B2" s="3501"/>
      <c r="C2" s="3501"/>
      <c r="D2" s="3501"/>
      <c r="E2" s="3501"/>
      <c r="F2" s="3501"/>
      <c r="G2" s="3501"/>
      <c r="H2" s="3501"/>
      <c r="I2" s="3501"/>
      <c r="J2" s="2762"/>
    </row>
    <row r="3" spans="1:15" ht="12.75">
      <c r="A3" s="3506" t="s">
        <v>1471</v>
      </c>
      <c r="B3" s="3507"/>
      <c r="C3" s="3507"/>
      <c r="D3" s="3507"/>
      <c r="E3" s="3507"/>
      <c r="F3" s="3507"/>
      <c r="G3" s="3507"/>
      <c r="H3" s="3507"/>
      <c r="I3" s="3507"/>
      <c r="J3" s="2763"/>
    </row>
    <row r="4" spans="1:15" ht="14.25">
      <c r="A4" s="2631" t="s">
        <v>1472</v>
      </c>
      <c r="B4" s="2631" t="s">
        <v>1473</v>
      </c>
      <c r="C4" s="2632" t="s">
        <v>3286</v>
      </c>
      <c r="D4" s="2632" t="s">
        <v>3287</v>
      </c>
      <c r="E4" s="3503" t="s">
        <v>1474</v>
      </c>
      <c r="F4" s="3491"/>
      <c r="G4" s="3491"/>
      <c r="H4" s="3491"/>
      <c r="I4" s="349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2" t="s">
        <v>1475</v>
      </c>
      <c r="B5" s="3502">
        <v>25</v>
      </c>
      <c r="C5" s="3508"/>
      <c r="D5" s="3505"/>
      <c r="E5" s="12" t="s">
        <v>1476</v>
      </c>
      <c r="F5" s="2017"/>
      <c r="G5" s="2017"/>
      <c r="H5" s="2017"/>
      <c r="I5" s="2012"/>
      <c r="J5" s="2764"/>
    </row>
    <row r="6" spans="1:15" ht="12.75">
      <c r="A6" s="3502"/>
      <c r="B6" s="3502"/>
      <c r="C6" s="3509"/>
      <c r="D6" s="3505"/>
      <c r="E6" s="12" t="s">
        <v>1477</v>
      </c>
      <c r="F6" s="2017"/>
      <c r="G6" s="2017"/>
      <c r="H6" s="2017"/>
      <c r="I6" s="2012"/>
      <c r="J6" s="2764"/>
    </row>
    <row r="7" spans="1:15" ht="12.75">
      <c r="A7" s="3502"/>
      <c r="B7" s="3502"/>
      <c r="C7" s="3510"/>
      <c r="D7" s="3505"/>
      <c r="E7" s="12" t="s">
        <v>1478</v>
      </c>
      <c r="F7" s="2017"/>
      <c r="G7" s="2017"/>
      <c r="H7" s="2017"/>
      <c r="I7" s="2012"/>
      <c r="J7" s="2764"/>
    </row>
    <row r="8" spans="1:15" ht="12.75">
      <c r="A8" s="3502" t="s">
        <v>1479</v>
      </c>
      <c r="B8" s="3502">
        <v>15</v>
      </c>
      <c r="C8" s="3508"/>
      <c r="D8" s="3505"/>
      <c r="E8" s="12" t="s">
        <v>1480</v>
      </c>
      <c r="F8" s="2017"/>
      <c r="G8" s="2017"/>
      <c r="H8" s="2017"/>
      <c r="I8" s="2012"/>
      <c r="J8" s="2764"/>
    </row>
    <row r="9" spans="1:15" ht="12.75">
      <c r="A9" s="3502"/>
      <c r="B9" s="3502"/>
      <c r="C9" s="3510"/>
      <c r="D9" s="3505"/>
      <c r="E9" s="12" t="s">
        <v>1481</v>
      </c>
      <c r="F9" s="2017"/>
      <c r="G9" s="2017"/>
      <c r="H9" s="2017"/>
      <c r="I9" s="2012"/>
      <c r="J9" s="2764"/>
    </row>
    <row r="10" spans="1:15" ht="12.75">
      <c r="A10" s="3502" t="s">
        <v>1482</v>
      </c>
      <c r="B10" s="3502">
        <v>15</v>
      </c>
      <c r="C10" s="3508"/>
      <c r="D10" s="3505"/>
      <c r="E10" s="12" t="s">
        <v>1483</v>
      </c>
      <c r="F10" s="2017"/>
      <c r="G10" s="2017"/>
      <c r="H10" s="2017"/>
      <c r="I10" s="2012"/>
      <c r="J10" s="2764"/>
    </row>
    <row r="11" spans="1:15" ht="12.75">
      <c r="A11" s="3502"/>
      <c r="B11" s="3502"/>
      <c r="C11" s="3510"/>
      <c r="D11" s="3505"/>
      <c r="E11" s="12" t="s">
        <v>1484</v>
      </c>
      <c r="F11" s="2017"/>
      <c r="G11" s="2017"/>
      <c r="H11" s="2017"/>
      <c r="I11" s="2012"/>
      <c r="J11" s="2764"/>
    </row>
    <row r="12" spans="1:15" ht="12.75">
      <c r="A12" s="3502" t="s">
        <v>1485</v>
      </c>
      <c r="B12" s="3502">
        <v>15</v>
      </c>
      <c r="C12" s="3508"/>
      <c r="D12" s="3505"/>
      <c r="E12" s="12" t="s">
        <v>1486</v>
      </c>
      <c r="F12" s="2017"/>
      <c r="G12" s="2017"/>
      <c r="H12" s="2017"/>
      <c r="I12" s="2012"/>
      <c r="J12" s="2764"/>
    </row>
    <row r="13" spans="1:15" ht="12.75">
      <c r="A13" s="3502"/>
      <c r="B13" s="3502"/>
      <c r="C13" s="3510"/>
      <c r="D13" s="3505"/>
      <c r="E13" s="12" t="s">
        <v>1487</v>
      </c>
      <c r="F13" s="2017"/>
      <c r="G13" s="2017"/>
      <c r="H13" s="2017"/>
      <c r="I13" s="2012"/>
      <c r="J13" s="2764"/>
    </row>
    <row r="14" spans="1:15" ht="12.75">
      <c r="A14" s="3502" t="s">
        <v>1488</v>
      </c>
      <c r="B14" s="3502">
        <v>30</v>
      </c>
      <c r="C14" s="3508">
        <v>4</v>
      </c>
      <c r="D14" s="3505">
        <v>6</v>
      </c>
      <c r="E14" s="12" t="s">
        <v>1489</v>
      </c>
      <c r="F14" s="2017"/>
      <c r="G14" s="2017"/>
      <c r="H14" s="2017"/>
      <c r="I14" s="2012"/>
      <c r="J14" s="2764"/>
    </row>
    <row r="15" spans="1:15" ht="12.75">
      <c r="A15" s="3502"/>
      <c r="B15" s="3502"/>
      <c r="C15" s="3509"/>
      <c r="D15" s="3505"/>
      <c r="E15" s="12" t="s">
        <v>1490</v>
      </c>
      <c r="F15" s="2017"/>
      <c r="G15" s="2017"/>
      <c r="H15" s="2017"/>
      <c r="I15" s="2012"/>
      <c r="J15" s="2764"/>
    </row>
    <row r="16" spans="1:15" ht="12.75">
      <c r="A16" s="3502"/>
      <c r="B16" s="3502"/>
      <c r="C16" s="3510"/>
      <c r="D16" s="3505"/>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522" t="s">
        <v>2576</v>
      </c>
      <c r="F18" s="3523"/>
      <c r="G18" s="3523"/>
      <c r="H18" s="3523"/>
      <c r="I18" s="3523"/>
      <c r="J18" s="2765"/>
    </row>
    <row r="19" spans="1:36" ht="15">
      <c r="A19" s="2638" t="s">
        <v>1494</v>
      </c>
      <c r="B19" s="2639" t="s">
        <v>1495</v>
      </c>
      <c r="C19" s="2640">
        <f ca="1">SUMIF(INDIRECT("'"&amp;C4&amp;"'"&amp;"!A:A"),结果表!B19,INDIRECT("'"&amp;C4&amp;"'"&amp;"!B:B"))</f>
        <v>571</v>
      </c>
      <c r="D19" s="2641">
        <f ca="1">SUMIF(INDIRECT("'"&amp;D4&amp;"'"&amp;"!A:A"),结果表!B19,INDIRECT("'"&amp;D4&amp;"'"&amp;"!B:B"))</f>
        <v>382</v>
      </c>
      <c r="E19" s="2638" t="s">
        <v>1496</v>
      </c>
      <c r="F19" s="2639" t="s">
        <v>1495</v>
      </c>
      <c r="G19" s="2642">
        <f ca="1">ROUND(C19*$C$18+D19*$D$18,0)</f>
        <v>458</v>
      </c>
      <c r="H19" s="2643" t="str">
        <f>'数据-取费表'!B3</f>
        <v>万元</v>
      </c>
      <c r="I19" s="2691"/>
      <c r="J19" s="2766"/>
    </row>
    <row r="20" spans="1:36" ht="15">
      <c r="A20" s="2644"/>
      <c r="B20" s="1622" t="s">
        <v>1497</v>
      </c>
      <c r="C20" s="1847">
        <f ca="1">SUMIF(INDIRECT("'"&amp;C4&amp;"'"&amp;"!A:A"),结果表!B20,INDIRECT("'"&amp;C4&amp;"'"&amp;"!B:B"))</f>
        <v>28675</v>
      </c>
      <c r="D20" s="1850">
        <f ca="1">SUMIF(INDIRECT("'"&amp;D4&amp;"'"&amp;"!A:A"),结果表!B20,INDIRECT("'"&amp;D4&amp;"'"&amp;"!B:B"))</f>
        <v>19181</v>
      </c>
      <c r="E20" s="2644"/>
      <c r="F20" s="1622" t="s">
        <v>1497</v>
      </c>
      <c r="G20" s="2021">
        <f ca="1">ROUND(C20*$C$18+D20*$D$18,0)</f>
        <v>22979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0.49476439790575921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1" t="s">
        <v>1500</v>
      </c>
      <c r="B24" s="2639" t="s">
        <v>1495</v>
      </c>
      <c r="C24" s="2642">
        <f>D30</f>
        <v>0</v>
      </c>
      <c r="D24" s="2594"/>
      <c r="E24" s="905"/>
      <c r="F24" s="905"/>
      <c r="G24" s="905"/>
      <c r="H24" s="905"/>
      <c r="I24" s="905"/>
      <c r="J24" s="2765"/>
    </row>
    <row r="25" spans="1:36" ht="21.75" customHeight="1">
      <c r="A25" s="351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22979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17395</v>
      </c>
      <c r="D34" s="2668">
        <f ca="1">IF(D33="自定义",ROUND(C34/C32,3),1-D35)</f>
        <v>0.75700000000000001</v>
      </c>
      <c r="E34" s="1363" t="s">
        <v>1510</v>
      </c>
      <c r="F34" s="2669">
        <v>2000</v>
      </c>
      <c r="G34" s="905"/>
      <c r="H34" s="905"/>
      <c r="I34" s="905"/>
      <c r="J34" s="2765"/>
    </row>
    <row r="35" spans="1:17" ht="15.75" thickBot="1">
      <c r="A35" s="1395"/>
      <c r="B35" s="2670" t="s">
        <v>1511</v>
      </c>
      <c r="C35" s="2671">
        <f ca="1">IF(D33="自定义",F35,ROUND(C32*D35,0))</f>
        <v>5584</v>
      </c>
      <c r="D35" s="2672">
        <f ca="1">IF(D33="自定义",ROUND(C35/C32,3),IF(D33="成本法成本比率",成本法!C56,IF(D33="收益法收益比率",收益法!J38,收益法!J41)))</f>
        <v>0.24299999999999999</v>
      </c>
      <c r="E35" s="2673" t="s">
        <v>1512</v>
      </c>
      <c r="F35" s="2674">
        <v>4460</v>
      </c>
      <c r="G35" s="905"/>
      <c r="H35" s="905"/>
      <c r="I35" s="905"/>
      <c r="J35" s="2765"/>
    </row>
    <row r="36" spans="1:17" ht="15.75" thickBot="1">
      <c r="A36" s="3511" t="s">
        <v>1513</v>
      </c>
      <c r="B36" s="1396" t="s">
        <v>1514</v>
      </c>
      <c r="C36" s="2675">
        <v>0</v>
      </c>
      <c r="D36" s="2676"/>
      <c r="E36" s="1608"/>
      <c r="F36" s="1608"/>
      <c r="G36" s="905"/>
      <c r="H36" s="905"/>
      <c r="I36" s="905"/>
      <c r="J36" s="2765"/>
    </row>
    <row r="37" spans="1:17" ht="15.75" thickBot="1">
      <c r="A37" s="3516"/>
      <c r="B37" s="2022" t="s">
        <v>1515</v>
      </c>
      <c r="C37" s="2677">
        <v>0</v>
      </c>
      <c r="D37" s="1239"/>
      <c r="E37" s="1239"/>
      <c r="F37" s="1608"/>
      <c r="G37" s="1239"/>
      <c r="H37" s="1239"/>
      <c r="I37" s="1239"/>
      <c r="J37" s="2769"/>
    </row>
    <row r="38" spans="1:17" ht="15.75" thickBot="1">
      <c r="A38" s="351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6" t="s">
        <v>1524</v>
      </c>
      <c r="B45" s="3437"/>
      <c r="C45" s="3447"/>
      <c r="D45" s="246">
        <f ca="1">ROUND(I102*F45,0)</f>
        <v>458</v>
      </c>
      <c r="E45" s="1470" t="s">
        <v>1525</v>
      </c>
      <c r="F45" s="2479">
        <v>1</v>
      </c>
      <c r="G45" s="2480" t="s">
        <v>1526</v>
      </c>
      <c r="H45" s="905"/>
      <c r="I45" s="905"/>
      <c r="J45" s="2765"/>
      <c r="K45" s="3442" t="s">
        <v>2505</v>
      </c>
      <c r="L45" s="3442"/>
      <c r="M45" s="3442"/>
      <c r="N45" s="3442"/>
      <c r="O45" s="3442"/>
      <c r="P45" s="3442"/>
      <c r="Q45" s="1236"/>
    </row>
    <row r="46" spans="1:17" ht="14.25" customHeight="1">
      <c r="A46" s="3513" t="s">
        <v>1528</v>
      </c>
      <c r="B46" s="3514"/>
      <c r="C46" s="3514"/>
      <c r="D46" s="3514"/>
      <c r="E46" s="3514"/>
      <c r="F46" s="3514"/>
      <c r="G46" s="3515"/>
      <c r="H46" s="2897"/>
      <c r="I46" s="905"/>
      <c r="J46" s="2765"/>
      <c r="K46" s="2454">
        <v>1</v>
      </c>
      <c r="L46" s="3443" t="s">
        <v>2506</v>
      </c>
      <c r="M46" s="3443"/>
      <c r="N46" s="3444" t="str">
        <f>项目基本情况!B1</f>
        <v>北京市房地产抵押价值预评估</v>
      </c>
      <c r="O46" s="3444"/>
      <c r="P46" s="3444"/>
      <c r="Q46" s="1236"/>
    </row>
    <row r="47" spans="1:17" ht="12" customHeight="1">
      <c r="A47" s="38" t="s">
        <v>1530</v>
      </c>
      <c r="B47" s="39"/>
      <c r="C47" s="40"/>
      <c r="D47" s="1028" t="s">
        <v>1531</v>
      </c>
      <c r="E47" s="235" t="s">
        <v>1532</v>
      </c>
      <c r="F47" s="41" t="s">
        <v>1533</v>
      </c>
      <c r="G47" s="2482" t="s">
        <v>1534</v>
      </c>
      <c r="H47" s="2897"/>
      <c r="I47" s="905"/>
      <c r="J47" s="2765"/>
      <c r="K47" s="2454">
        <v>2</v>
      </c>
      <c r="L47" s="3443" t="s">
        <v>2507</v>
      </c>
      <c r="M47" s="3443"/>
      <c r="N47" s="3445">
        <f>'数据-取费表'!B2</f>
        <v>44736</v>
      </c>
      <c r="O47" s="3445"/>
      <c r="P47" s="3445"/>
      <c r="Q47" s="1236"/>
    </row>
    <row r="48" spans="1:17" ht="25.5">
      <c r="A48" s="3518" t="s">
        <v>1536</v>
      </c>
      <c r="B48" s="3452"/>
      <c r="C48" s="3452"/>
      <c r="D48" s="12">
        <f ca="1">IF(H48="情况1",0,IF(H48="情况2",D52,IF(H48="情况3",D53,IF(H48="情况4",D54))))</f>
        <v>24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43" t="s">
        <v>2508</v>
      </c>
      <c r="M48" s="3443"/>
      <c r="N48" s="3444">
        <f ca="1">I102</f>
        <v>458</v>
      </c>
      <c r="O48" s="3444"/>
      <c r="P48" s="3444"/>
      <c r="Q48" s="1236"/>
    </row>
    <row r="49" spans="1:17" ht="25.5" customHeight="1">
      <c r="A49" s="2019" t="s">
        <v>1540</v>
      </c>
      <c r="B49" s="3491" t="s">
        <v>1541</v>
      </c>
      <c r="C49" s="3491"/>
      <c r="D49" s="2486">
        <v>0</v>
      </c>
      <c r="E49" s="261" t="s">
        <v>1542</v>
      </c>
      <c r="F49" s="2487" t="s">
        <v>48</v>
      </c>
      <c r="G49" s="3433"/>
      <c r="H49" s="2488" t="s">
        <v>2582</v>
      </c>
      <c r="I49" s="2489"/>
      <c r="J49" s="2773"/>
      <c r="K49" s="2454">
        <v>4</v>
      </c>
      <c r="L49" s="3443" t="str">
        <f>IF(项目基本情况!F5="房地产抵押价值","房地产抵押价值","抵押担保权已注销时的房地产抵押价值")</f>
        <v>抵押担保权已注销时的房地产抵押价值</v>
      </c>
      <c r="M49" s="3443"/>
      <c r="N49" s="3444" t="str">
        <f>IF(项目基本情况!F5="房地产抵押价值",I110,I112)</f>
        <v>——</v>
      </c>
      <c r="O49" s="3444"/>
      <c r="P49" s="3444"/>
      <c r="Q49" s="1236"/>
    </row>
    <row r="50" spans="1:17" ht="25.5" customHeight="1">
      <c r="A50" s="2009"/>
      <c r="B50" s="3491" t="s">
        <v>1543</v>
      </c>
      <c r="C50" s="3491"/>
      <c r="D50" s="2490"/>
      <c r="E50" s="269"/>
      <c r="F50" s="2487"/>
      <c r="G50" s="3434"/>
      <c r="H50" s="2491" t="s">
        <v>2501</v>
      </c>
      <c r="I50" s="2489"/>
      <c r="J50" s="2773"/>
      <c r="K50" s="3443" t="s">
        <v>2509</v>
      </c>
      <c r="L50" s="3443"/>
      <c r="M50" s="3443"/>
      <c r="N50" s="3443"/>
      <c r="O50" s="3443"/>
      <c r="P50" s="3443"/>
      <c r="Q50" s="1236"/>
    </row>
    <row r="51" spans="1:17" ht="20.45" customHeight="1">
      <c r="A51" s="2492"/>
      <c r="B51" s="3491" t="s">
        <v>1545</v>
      </c>
      <c r="C51" s="3491"/>
      <c r="D51" s="1028"/>
      <c r="E51" s="264"/>
      <c r="F51" s="2487"/>
      <c r="G51" s="3435"/>
      <c r="H51" s="2491" t="s">
        <v>2502</v>
      </c>
      <c r="I51" s="2489"/>
      <c r="J51" s="2773"/>
      <c r="K51" s="2455" t="s">
        <v>2510</v>
      </c>
      <c r="L51" s="3443" t="s">
        <v>2511</v>
      </c>
      <c r="M51" s="3443"/>
      <c r="N51" s="2455" t="s">
        <v>2512</v>
      </c>
      <c r="O51" s="2455" t="s">
        <v>2513</v>
      </c>
      <c r="P51" s="2455" t="s">
        <v>2514</v>
      </c>
      <c r="Q51" s="1236"/>
    </row>
    <row r="52" spans="1:17" ht="24" customHeight="1">
      <c r="A52" s="2010" t="s">
        <v>1551</v>
      </c>
      <c r="B52" s="3491" t="s">
        <v>1552</v>
      </c>
      <c r="C52" s="3491"/>
      <c r="D52" s="1028">
        <f ca="1">ROUND(D45*'数据-取费表'!E29/(1+'数据-取费表'!F30),0)</f>
        <v>24</v>
      </c>
      <c r="E52" s="2020" t="s">
        <v>1553</v>
      </c>
      <c r="F52" s="2493">
        <f>'数据-取费表'!E29</f>
        <v>5.6000000000000001E-2</v>
      </c>
      <c r="G52" s="2494"/>
      <c r="H52" s="905"/>
      <c r="I52" s="2898"/>
      <c r="J52" s="2773"/>
      <c r="K52" s="2454">
        <v>1</v>
      </c>
      <c r="L52" s="3432" t="s">
        <v>2515</v>
      </c>
      <c r="M52" s="3432"/>
      <c r="N52" s="2456">
        <f ca="1">D48</f>
        <v>24</v>
      </c>
      <c r="O52" s="2454" t="str">
        <f>E48</f>
        <v>销售额×税（费）率</v>
      </c>
      <c r="P52" s="2457">
        <f>F48</f>
        <v>5.6000000000000001E-2</v>
      </c>
      <c r="Q52" s="1236"/>
    </row>
    <row r="53" spans="1:17" ht="12" customHeight="1">
      <c r="A53" s="2010" t="s">
        <v>1555</v>
      </c>
      <c r="B53" s="3503" t="s">
        <v>2593</v>
      </c>
      <c r="C53" s="3492"/>
      <c r="D53" s="1028">
        <f ca="1">ROUND(D45*'数据-取费表'!E29/(1+'数据-取费表'!F30),0)</f>
        <v>24</v>
      </c>
      <c r="E53" s="2020" t="s">
        <v>1553</v>
      </c>
      <c r="F53" s="2493">
        <f>'数据-取费表'!E29</f>
        <v>5.6000000000000001E-2</v>
      </c>
      <c r="G53" s="2494"/>
      <c r="H53" s="905"/>
      <c r="I53" s="2898"/>
      <c r="J53" s="2773"/>
      <c r="K53" s="2454">
        <v>2</v>
      </c>
      <c r="L53" s="3432" t="s">
        <v>2516</v>
      </c>
      <c r="M53" s="3432"/>
      <c r="N53" s="2456">
        <f t="shared" ref="N53:P54" si="1">D55</f>
        <v>0</v>
      </c>
      <c r="O53" s="2454" t="str">
        <f t="shared" si="1"/>
        <v>销售额×税（费）率</v>
      </c>
      <c r="P53" s="2457" t="str">
        <f t="shared" si="1"/>
        <v>免征</v>
      </c>
      <c r="Q53" s="1236"/>
    </row>
    <row r="54" spans="1:17" ht="12" customHeight="1">
      <c r="A54" s="2010" t="s">
        <v>1557</v>
      </c>
      <c r="B54" s="3503" t="s">
        <v>2594</v>
      </c>
      <c r="C54" s="3492"/>
      <c r="D54" s="1028">
        <f ca="1">C68</f>
        <v>24</v>
      </c>
      <c r="E54" s="264" t="s">
        <v>1558</v>
      </c>
      <c r="F54" s="2493">
        <f>'数据-取费表'!E29</f>
        <v>5.6000000000000001E-2</v>
      </c>
      <c r="G54" s="2494"/>
      <c r="H54" s="2899"/>
      <c r="I54" s="2898"/>
      <c r="J54" s="2773"/>
      <c r="K54" s="2454">
        <v>3</v>
      </c>
      <c r="L54" s="3432" t="s">
        <v>2517</v>
      </c>
      <c r="M54" s="3432"/>
      <c r="N54" s="2456">
        <f t="shared" si="1"/>
        <v>0</v>
      </c>
      <c r="O54" s="2454" t="str">
        <f t="shared" si="1"/>
        <v>增值额×税（费）率</v>
      </c>
      <c r="P54" s="2458" t="str">
        <f t="shared" si="1"/>
        <v>免征</v>
      </c>
      <c r="Q54" s="1236"/>
    </row>
    <row r="55" spans="1:17" ht="24" customHeight="1">
      <c r="A55" s="3456" t="s">
        <v>1560</v>
      </c>
      <c r="B55" s="3452"/>
      <c r="C55" s="345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2" t="str">
        <f>IF(H59="非个人房产","——","个人所得税")</f>
        <v>——</v>
      </c>
      <c r="M55" s="3432"/>
      <c r="N55" s="2459" t="str">
        <f>D59</f>
        <v>——</v>
      </c>
      <c r="O55" s="2460" t="str">
        <f>E59</f>
        <v>——</v>
      </c>
      <c r="P55" s="2461" t="str">
        <f>F59</f>
        <v>——</v>
      </c>
      <c r="Q55" s="1236"/>
    </row>
    <row r="56" spans="1:17" ht="24.75">
      <c r="A56" s="3456" t="s">
        <v>1563</v>
      </c>
      <c r="B56" s="3452"/>
      <c r="C56" s="3452"/>
      <c r="D56" s="12">
        <f>IF(H56="个人住宅",D57,D58)</f>
        <v>0</v>
      </c>
      <c r="E56" s="2020" t="s">
        <v>1564</v>
      </c>
      <c r="F56" s="2493" t="str">
        <f>IF(H56="正常",F58,"免征")</f>
        <v>免征</v>
      </c>
      <c r="G56" s="2495" t="s">
        <v>1565</v>
      </c>
      <c r="H56" s="2496" t="s">
        <v>2498</v>
      </c>
      <c r="I56" s="2900"/>
      <c r="J56" s="2773"/>
      <c r="K56" s="2454" t="str">
        <f>IF(项目基本情况!I6="上海银行",IF(K55="",4,K55+1),"")</f>
        <v/>
      </c>
      <c r="L56" s="3430" t="str">
        <f>IF(项目基本情况!I6="上海银行","其他处置费用","")</f>
        <v/>
      </c>
      <c r="M56" s="3450"/>
      <c r="N56" s="2456" t="str">
        <f>IF(项目基本情况!I6="上海银行",N69,"")</f>
        <v/>
      </c>
      <c r="O56" s="3430" t="str">
        <f>IF(项目基本情况!I6="上海银行","包含处置中涉及的律师、诉讼、拍卖、评估等费用","")</f>
        <v/>
      </c>
      <c r="P56" s="3431"/>
      <c r="Q56" s="1236"/>
    </row>
    <row r="57" spans="1:17" ht="12.75">
      <c r="A57" s="2010" t="s">
        <v>1540</v>
      </c>
      <c r="B57" s="3503" t="s">
        <v>1566</v>
      </c>
      <c r="C57" s="3492"/>
      <c r="D57" s="2486">
        <v>0</v>
      </c>
      <c r="E57" s="261" t="s">
        <v>1542</v>
      </c>
      <c r="F57" s="235"/>
      <c r="G57" s="2494"/>
      <c r="H57" s="2900"/>
      <c r="I57" s="2900"/>
      <c r="J57" s="2773"/>
      <c r="K57" s="3432">
        <f>IF(AND(K55="",K56=""),4,IF(项目基本情况!I6="上海银行",K56+1,K55+1))</f>
        <v>4</v>
      </c>
      <c r="L57" s="3432" t="s">
        <v>2518</v>
      </c>
      <c r="M57" s="2462" t="s">
        <v>2519</v>
      </c>
      <c r="N57" s="2463"/>
      <c r="O57" s="2464">
        <f ca="1">SUMIF(N52:N56,"&lt;9e307")</f>
        <v>24</v>
      </c>
      <c r="P57" s="2465"/>
      <c r="Q57" s="1234" t="e">
        <f ca="1">O57/N49</f>
        <v>#VALUE!</v>
      </c>
    </row>
    <row r="58" spans="1:17" ht="24.75">
      <c r="A58" s="2010" t="s">
        <v>1551</v>
      </c>
      <c r="B58" s="3503" t="s">
        <v>1569</v>
      </c>
      <c r="C58" s="3491"/>
      <c r="D58" s="12">
        <f ca="1">IF(H58="转让取得",C81,C97)</f>
        <v>259</v>
      </c>
      <c r="E58" s="2020" t="s">
        <v>1564</v>
      </c>
      <c r="F58" s="235" t="s">
        <v>48</v>
      </c>
      <c r="G58" s="2494"/>
      <c r="H58" s="2496" t="s">
        <v>1570</v>
      </c>
      <c r="I58" s="2900"/>
      <c r="J58" s="2773"/>
      <c r="K58" s="3432"/>
      <c r="L58" s="3432"/>
      <c r="M58" s="2462" t="s">
        <v>2520</v>
      </c>
      <c r="N58" s="2466"/>
      <c r="O58" s="2467" t="str">
        <f ca="1">IF(H19="元",NUMBERSTRING(INT(O57),2)&amp;"元整",NUMBERSTRING(INT(O57*10000),2)&amp;"元整")</f>
        <v>贰拾肆万元整</v>
      </c>
      <c r="P58" s="2468"/>
      <c r="Q58" s="1236"/>
    </row>
    <row r="59" spans="1:17" ht="24.75" thickBot="1">
      <c r="A59" s="3519" t="s">
        <v>1572</v>
      </c>
      <c r="B59" s="3520"/>
      <c r="C59" s="352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32"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32"/>
      <c r="M60" s="2462" t="s">
        <v>2520</v>
      </c>
      <c r="N60" s="2466"/>
      <c r="O60" s="2467" t="e">
        <f ca="1">IF(H19="元",NUMBERSTRING(INT(O59),2)&amp;"元整",NUMBERSTRING(INT(O59*10000),2)&amp;"元整")</f>
        <v>#VALUE!</v>
      </c>
      <c r="P60" s="2468"/>
      <c r="Q60" s="1236"/>
    </row>
    <row r="61" spans="1:17" ht="13.5" thickBot="1">
      <c r="A61" s="3521" t="s">
        <v>1574</v>
      </c>
      <c r="B61" s="3521"/>
      <c r="C61" s="3521"/>
      <c r="D61" s="3521"/>
      <c r="E61" s="3521"/>
      <c r="F61" s="2901"/>
      <c r="G61" s="2901"/>
      <c r="H61" s="2903"/>
      <c r="I61" s="31"/>
      <c r="K61" s="2454">
        <f>K59+1</f>
        <v>6</v>
      </c>
      <c r="L61" s="3432" t="s">
        <v>2522</v>
      </c>
      <c r="M61" s="3432"/>
      <c r="N61" s="2472"/>
      <c r="O61" s="2473" t="e">
        <f ca="1">IF(H19="元",ROUND(O59/项目基本情况!C12,0),ROUND(O59*10000/项目基本情况!C12,0))</f>
        <v>#VALUE!</v>
      </c>
      <c r="P61" s="2474"/>
      <c r="Q61" s="1236"/>
    </row>
    <row r="62" spans="1:17" ht="12.75">
      <c r="A62" s="3470" t="s">
        <v>1576</v>
      </c>
      <c r="B62" s="347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436</v>
      </c>
      <c r="D63" s="47"/>
      <c r="E63" s="48"/>
      <c r="F63" s="2901"/>
      <c r="G63" s="2901"/>
      <c r="H63" s="2903"/>
      <c r="I63" s="31"/>
      <c r="K63" s="3451"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458</v>
      </c>
      <c r="D64" s="50" t="s">
        <v>41</v>
      </c>
      <c r="E64" s="52"/>
      <c r="F64" s="2901"/>
      <c r="G64" s="2901"/>
      <c r="H64" s="2903"/>
      <c r="I64" s="31"/>
      <c r="K64" s="3451"/>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51"/>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51"/>
      <c r="L66" s="2476" t="s">
        <v>2528</v>
      </c>
      <c r="M66" s="2476" t="e">
        <f>N49*0.5%</f>
        <v>#VALUE!</v>
      </c>
      <c r="N66" s="2477" t="e">
        <f>IF(M66&gt;0.5,0.5,ROUND(M66,0))</f>
        <v>#VALUE!</v>
      </c>
      <c r="O66" s="2475" t="s">
        <v>2529</v>
      </c>
      <c r="P66" s="2475"/>
      <c r="Q66" s="1236"/>
    </row>
    <row r="67" spans="1:36" ht="12.75">
      <c r="A67" s="53" t="s">
        <v>42</v>
      </c>
      <c r="B67" s="54" t="s">
        <v>1591</v>
      </c>
      <c r="C67" s="2708">
        <f ca="1">C63-C66</f>
        <v>436</v>
      </c>
      <c r="D67" s="50" t="s">
        <v>41</v>
      </c>
      <c r="E67" s="52"/>
      <c r="F67" s="2901"/>
      <c r="G67" s="2901"/>
      <c r="H67" s="2903"/>
      <c r="I67" s="31"/>
      <c r="K67" s="3451"/>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24</v>
      </c>
      <c r="D68" s="2170">
        <f>'数据-取费表'!E29</f>
        <v>5.6000000000000001E-2</v>
      </c>
      <c r="E68" s="57"/>
      <c r="F68" s="2901"/>
      <c r="G68" s="2901"/>
      <c r="H68" s="2903"/>
      <c r="I68" s="31"/>
      <c r="K68" s="3451"/>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51"/>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2" t="s">
        <v>1596</v>
      </c>
      <c r="B70" s="3473"/>
      <c r="C70" s="3473"/>
      <c r="D70" s="3473"/>
      <c r="E70" s="3473"/>
      <c r="F70" s="3473"/>
      <c r="G70" s="3473"/>
      <c r="H70" s="347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0" t="s">
        <v>1576</v>
      </c>
      <c r="B71" s="347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436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3" t="s">
        <v>1606</v>
      </c>
      <c r="F76" s="3491"/>
      <c r="G76" s="3491"/>
      <c r="H76" s="350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39" t="s">
        <v>1611</v>
      </c>
      <c r="F78" s="3440"/>
      <c r="G78" s="3440"/>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433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144.33333333333334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259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2" t="s">
        <v>1615</v>
      </c>
      <c r="B83" s="3473"/>
      <c r="C83" s="3473"/>
      <c r="D83" s="3473"/>
      <c r="E83" s="3473"/>
      <c r="F83" s="3473"/>
      <c r="G83" s="3473"/>
      <c r="H83" s="347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0" t="s">
        <v>1576</v>
      </c>
      <c r="B84" s="347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436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9" t="s">
        <v>2493</v>
      </c>
      <c r="H90" s="347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9" t="s">
        <v>1623</v>
      </c>
      <c r="F91" s="3440"/>
      <c r="G91" s="344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9" t="s">
        <v>1626</v>
      </c>
      <c r="F92" s="3440"/>
      <c r="G92" s="3440"/>
      <c r="H92" s="346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39" t="s">
        <v>1611</v>
      </c>
      <c r="F93" s="3440"/>
      <c r="G93" s="3440"/>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9" t="s">
        <v>1628</v>
      </c>
      <c r="F94" s="3440"/>
      <c r="G94" s="3440"/>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433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144.33333333333334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259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7" t="s">
        <v>1630</v>
      </c>
      <c r="B99" s="3458"/>
      <c r="C99" s="3458"/>
      <c r="D99" s="3459"/>
      <c r="E99" s="1389"/>
      <c r="F99" s="3467" t="s">
        <v>1631</v>
      </c>
      <c r="G99" s="3468"/>
      <c r="H99" s="3468"/>
      <c r="I99" s="3469"/>
      <c r="J99" s="2779"/>
    </row>
    <row r="100" spans="1:36" ht="15">
      <c r="A100" s="3474" t="s">
        <v>1632</v>
      </c>
      <c r="B100" s="3475"/>
      <c r="C100" s="1235" t="str">
        <f>C4</f>
        <v>比较法-商业</v>
      </c>
      <c r="D100" s="2727" t="str">
        <f>D4</f>
        <v>收益法</v>
      </c>
      <c r="E100" s="1389"/>
      <c r="F100" s="3476" t="s">
        <v>2537</v>
      </c>
      <c r="G100" s="3478"/>
      <c r="H100" s="3476" t="s">
        <v>2538</v>
      </c>
      <c r="I100" s="3477"/>
      <c r="J100" s="2780"/>
    </row>
    <row r="101" spans="1:36" ht="12.75">
      <c r="A101" s="3493" t="s">
        <v>2570</v>
      </c>
      <c r="B101" s="2235" t="str">
        <f>IF(H19="元","总价（元）","总价（万元）")</f>
        <v>总价（万元）</v>
      </c>
      <c r="C101" s="1235">
        <f ca="1">C19</f>
        <v>571</v>
      </c>
      <c r="D101" s="2727">
        <f ca="1">D19</f>
        <v>382</v>
      </c>
      <c r="E101" s="1389"/>
      <c r="F101" s="3476" t="str">
        <f>项目基本情况!I1</f>
        <v>北京市房地产</v>
      </c>
      <c r="G101" s="3478"/>
      <c r="H101" s="3480">
        <f>项目基本情况!C12</f>
        <v>199.15</v>
      </c>
      <c r="I101" s="3477"/>
      <c r="J101" s="2780"/>
    </row>
    <row r="102" spans="1:36" ht="12.75">
      <c r="A102" s="3493"/>
      <c r="B102" s="2235" t="s">
        <v>2571</v>
      </c>
      <c r="C102" s="2728">
        <f ca="1">C20</f>
        <v>28675</v>
      </c>
      <c r="D102" s="2729">
        <f ca="1">D20</f>
        <v>19181</v>
      </c>
      <c r="E102" s="1389"/>
      <c r="F102" s="3463" t="s">
        <v>2567</v>
      </c>
      <c r="G102" s="3464"/>
      <c r="H102" s="2737" t="str">
        <f>C106</f>
        <v>总价（万元）</v>
      </c>
      <c r="I102" s="2738">
        <f ca="1">H121</f>
        <v>458</v>
      </c>
      <c r="J102" s="2780"/>
    </row>
    <row r="103" spans="1:36" ht="12.75">
      <c r="A103" s="3493" t="s">
        <v>2572</v>
      </c>
      <c r="B103" s="2173" t="str">
        <f>B101</f>
        <v>总价（万元）</v>
      </c>
      <c r="C103" s="2732">
        <f ca="1">H121</f>
        <v>458</v>
      </c>
      <c r="D103" s="2730"/>
      <c r="E103" s="1389"/>
      <c r="F103" s="3463"/>
      <c r="G103" s="3464"/>
      <c r="H103" s="2737" t="s">
        <v>2540</v>
      </c>
      <c r="I103" s="52">
        <f ca="1">I121</f>
        <v>22979</v>
      </c>
      <c r="J103" s="2764"/>
    </row>
    <row r="104" spans="1:36" ht="13.5" thickBot="1">
      <c r="A104" s="3494"/>
      <c r="B104" s="2734" t="s">
        <v>2571</v>
      </c>
      <c r="C104" s="2735">
        <f ca="1">I121</f>
        <v>22979</v>
      </c>
      <c r="D104" s="2736"/>
      <c r="E104" s="1389"/>
      <c r="F104" s="3463"/>
      <c r="G104" s="3464"/>
      <c r="H104" s="3495"/>
      <c r="I104" s="3496"/>
      <c r="J104" s="2781"/>
    </row>
    <row r="105" spans="1:36" ht="15">
      <c r="A105" s="3457" t="s">
        <v>1633</v>
      </c>
      <c r="B105" s="3458"/>
      <c r="C105" s="3458"/>
      <c r="D105" s="3459"/>
      <c r="E105" s="1389"/>
      <c r="F105" s="3499" t="s">
        <v>2541</v>
      </c>
      <c r="G105" s="3500"/>
      <c r="H105" s="2739" t="str">
        <f>C108</f>
        <v>总额（万元）</v>
      </c>
      <c r="I105" s="2738">
        <f>SUMIF(I106:I108,"&lt;9E307")</f>
        <v>0</v>
      </c>
      <c r="J105" s="2780"/>
    </row>
    <row r="106" spans="1:36" ht="14.25">
      <c r="A106" s="3463" t="s">
        <v>2564</v>
      </c>
      <c r="B106" s="3464"/>
      <c r="C106" s="2737" t="str">
        <f>B101</f>
        <v>总价（万元）</v>
      </c>
      <c r="D106" s="2738">
        <f ca="1">H121</f>
        <v>458</v>
      </c>
      <c r="E106" s="1389"/>
      <c r="F106" s="3465" t="s">
        <v>2542</v>
      </c>
      <c r="G106" s="346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3"/>
      <c r="B107" s="3464"/>
      <c r="C107" s="2737" t="s">
        <v>2565</v>
      </c>
      <c r="D107" s="52">
        <f ca="1">I121</f>
        <v>22979</v>
      </c>
      <c r="E107" s="1389"/>
      <c r="F107" s="3465" t="s">
        <v>2543</v>
      </c>
      <c r="G107" s="3466"/>
      <c r="H107" s="2739" t="str">
        <f>C110</f>
        <v>总额（万元）</v>
      </c>
      <c r="I107" s="52">
        <f>C37</f>
        <v>0</v>
      </c>
      <c r="J107" s="2764"/>
    </row>
    <row r="108" spans="1:36" ht="12.75">
      <c r="A108" s="3534" t="s">
        <v>2541</v>
      </c>
      <c r="B108" s="3535"/>
      <c r="C108" s="2739" t="str">
        <f>IF(H19="元","总额（元）","总额（万元）")</f>
        <v>总额（万元）</v>
      </c>
      <c r="D108" s="2738">
        <f>IF(D36="正常操作",I106+I107+I108,I107+I108)</f>
        <v>0</v>
      </c>
      <c r="E108" s="1389"/>
      <c r="F108" s="3465" t="s">
        <v>2568</v>
      </c>
      <c r="G108" s="3466"/>
      <c r="H108" s="2739" t="str">
        <f>C111</f>
        <v>总额（万元）</v>
      </c>
      <c r="I108" s="52">
        <f>C38</f>
        <v>0</v>
      </c>
      <c r="J108" s="2764"/>
    </row>
    <row r="109" spans="1:36" ht="12.75">
      <c r="A109" s="3465" t="s">
        <v>2542</v>
      </c>
      <c r="B109" s="3466"/>
      <c r="C109" s="2739" t="str">
        <f>C108</f>
        <v>总额（万元）</v>
      </c>
      <c r="D109" s="52">
        <f>IF(D36="同一抵押权人同一抵押物续贷",C36&amp;"（未扣减，详见特别提示）",C36)</f>
        <v>0</v>
      </c>
      <c r="E109" s="1389"/>
      <c r="F109" s="3463"/>
      <c r="G109" s="3464"/>
      <c r="H109" s="3497"/>
      <c r="I109" s="3498"/>
      <c r="J109" s="2782"/>
    </row>
    <row r="110" spans="1:36" ht="28.5" customHeight="1">
      <c r="A110" s="3465" t="s">
        <v>2566</v>
      </c>
      <c r="B110" s="3466"/>
      <c r="C110" s="2739" t="str">
        <f>C108</f>
        <v>总额（万元）</v>
      </c>
      <c r="D110" s="52">
        <f>C37</f>
        <v>0</v>
      </c>
      <c r="E110" s="1389"/>
      <c r="F110" s="3446" t="str">
        <f>IF(项目基本情况!F5="已注销","——","3.房地产抵押价值")</f>
        <v>3.房地产抵押价值</v>
      </c>
      <c r="G110" s="3447"/>
      <c r="H110" s="2725" t="str">
        <f>C112</f>
        <v>总价（万元）</v>
      </c>
      <c r="I110" s="2738">
        <f ca="1">IF(F110="——","——",I102-I105)</f>
        <v>458</v>
      </c>
      <c r="J110" s="2780"/>
    </row>
    <row r="111" spans="1:36" ht="12.75">
      <c r="A111" s="3465" t="s">
        <v>2545</v>
      </c>
      <c r="B111" s="3466"/>
      <c r="C111" s="2739" t="str">
        <f>C108</f>
        <v>总额（万元）</v>
      </c>
      <c r="D111" s="52">
        <f>C38</f>
        <v>0</v>
      </c>
      <c r="E111" s="1389"/>
      <c r="F111" s="3448"/>
      <c r="G111" s="3449"/>
      <c r="H111" s="2737" t="s">
        <v>2540</v>
      </c>
      <c r="I111" s="2741">
        <f ca="1">D113</f>
        <v>22979</v>
      </c>
      <c r="J111" s="2783"/>
    </row>
    <row r="112" spans="1:36" ht="26.25" customHeight="1">
      <c r="A112" s="3463" t="str">
        <f>IF(项目基本情况!F5="已注销","——","3.房地产抵押价值")</f>
        <v>3.房地产抵押价值</v>
      </c>
      <c r="B112" s="3464"/>
      <c r="C112" s="2737" t="str">
        <f>B101</f>
        <v>总价（万元）</v>
      </c>
      <c r="D112" s="2738">
        <f ca="1">IF(A112="——","——",D106-D108)</f>
        <v>458</v>
      </c>
      <c r="E112" s="1389"/>
      <c r="F112" s="3446" t="str">
        <f>IF(项目基本情况!F5="已注销及未注销","4.抵押担保权已注销时的房地产抵押价值",IF(项目基本情况!F5="已注销","3.抵押担保权已注销时的房地产抵押价值","——"))</f>
        <v>——</v>
      </c>
      <c r="G112" s="3447"/>
      <c r="H112" s="2725" t="str">
        <f>C114</f>
        <v>总价（万元）</v>
      </c>
      <c r="I112" s="2738" t="str">
        <f>IF(F112="——","——",I102-I107-I108)</f>
        <v>——</v>
      </c>
      <c r="J112" s="2780"/>
    </row>
    <row r="113" spans="1:16" ht="12.75">
      <c r="A113" s="3463"/>
      <c r="B113" s="3464"/>
      <c r="C113" s="2737" t="s">
        <v>2533</v>
      </c>
      <c r="D113" s="52">
        <f ca="1">ROUND(IF(D112=D106,D107,IF(H19="元",D112/项目基本情况!C12,D112*10000/项目基本情况!C12)),0)</f>
        <v>22979</v>
      </c>
      <c r="E113" s="1389"/>
      <c r="F113" s="3448"/>
      <c r="G113" s="3449"/>
      <c r="H113" s="2737" t="s">
        <v>2569</v>
      </c>
      <c r="I113" s="52" t="str">
        <f>D115</f>
        <v>——</v>
      </c>
      <c r="J113" s="2764"/>
    </row>
    <row r="114" spans="1:16" ht="12.75">
      <c r="A114" s="3463" t="str">
        <f>IF(项目基本情况!F5="已注销及未注销","4.抵押担保权已注销时的房地产抵押价值",IF(项目基本情况!F5="已注销","3.抵押担保权已注销时的房地产抵押价值","——"))</f>
        <v>——</v>
      </c>
      <c r="B114" s="3464"/>
      <c r="C114" s="2737" t="str">
        <f>B101</f>
        <v>总价（万元）</v>
      </c>
      <c r="D114" s="2738" t="str">
        <f>IF(A114="——","——",D106-D110-D111)</f>
        <v>——</v>
      </c>
      <c r="E114" s="1389"/>
      <c r="F114" s="3446" t="str">
        <f>IF(项目基本情况!G5="抵押净值",IF(OR(项目基本情况!F5="已注销",项目基本情况!F5="房地产抵押价值"),"4.抵押净值","5.抵押净值"),"——")</f>
        <v>——</v>
      </c>
      <c r="G114" s="3447"/>
      <c r="H114" s="2737" t="str">
        <f>C116</f>
        <v>总价（万元）</v>
      </c>
      <c r="I114" s="2738" t="str">
        <f>IF(F114="——","——",O59)</f>
        <v>——</v>
      </c>
      <c r="J114" s="2780"/>
    </row>
    <row r="115" spans="1:16" ht="13.5" thickBot="1">
      <c r="A115" s="3463"/>
      <c r="B115" s="3464"/>
      <c r="C115" s="2737" t="s">
        <v>2533</v>
      </c>
      <c r="D115" s="52" t="str">
        <f>IF(A114="——","——",ROUND(IF(D114=D106,D107,IF(H19="元",D114/项目基本情况!C12,D114*10000/项目基本情况!C12)),0))</f>
        <v>——</v>
      </c>
      <c r="E115" s="1389"/>
      <c r="F115" s="3526"/>
      <c r="G115" s="3527"/>
      <c r="H115" s="2742" t="s">
        <v>2533</v>
      </c>
      <c r="I115" s="2726" t="str">
        <f ca="1">D117</f>
        <v>——</v>
      </c>
      <c r="J115" s="2764"/>
    </row>
    <row r="116" spans="1:16" ht="15.75">
      <c r="A116" s="3463" t="str">
        <f>IF(项目基本情况!G5="抵押净值",IF(OR(项目基本情况!F5="已注销",项目基本情况!F5="房地产抵押价值"),"4.抵押净值","5.抵押净值"),"——")</f>
        <v>——</v>
      </c>
      <c r="B116" s="3464"/>
      <c r="C116" s="2737" t="str">
        <f>B101</f>
        <v>总价（万元）</v>
      </c>
      <c r="D116" s="2738" t="str">
        <f>IF(A116="——","——",O59)</f>
        <v>——</v>
      </c>
      <c r="E116" s="1389"/>
      <c r="F116" s="3441"/>
      <c r="G116" s="3441"/>
      <c r="H116" s="3482"/>
      <c r="I116" s="3482"/>
      <c r="J116" s="2784"/>
      <c r="O116" s="32"/>
      <c r="P116" s="32"/>
    </row>
    <row r="117" spans="1:16" ht="13.5" thickBot="1">
      <c r="A117" s="3532"/>
      <c r="B117" s="3533"/>
      <c r="C117" s="2742" t="s">
        <v>2533</v>
      </c>
      <c r="D117" s="2726" t="str">
        <f ca="1">IF(D116=D112,D113,IF(A116="——","——",O61))</f>
        <v>——</v>
      </c>
      <c r="E117" s="1389"/>
      <c r="F117" s="3525" t="str">
        <f>IF(B32="总价","（以上估价结果中单价为总价除以建筑面积得出）","（以上估价结果中总价为楼面单价乘以建筑面积得出）")</f>
        <v>（以上估价结果中总价为楼面单价乘以建筑面积得出）</v>
      </c>
      <c r="G117" s="3525"/>
      <c r="H117" s="3525"/>
      <c r="I117" s="3525"/>
      <c r="J117" s="2785"/>
      <c r="O117" s="32"/>
      <c r="P117" s="32"/>
    </row>
    <row r="118" spans="1:16" ht="15">
      <c r="A118" s="3483" t="s">
        <v>1634</v>
      </c>
      <c r="B118" s="3484"/>
      <c r="C118" s="3484"/>
      <c r="D118" s="3484"/>
      <c r="E118" s="3484"/>
      <c r="F118" s="3484"/>
      <c r="G118" s="3484"/>
      <c r="H118" s="3484"/>
      <c r="I118" s="3484"/>
      <c r="J118" s="2786"/>
    </row>
    <row r="119" spans="1:16" ht="12.75">
      <c r="A119" s="3456" t="s">
        <v>2551</v>
      </c>
      <c r="B119" s="3454" t="s">
        <v>2561</v>
      </c>
      <c r="C119" s="3454" t="s">
        <v>2562</v>
      </c>
      <c r="D119" s="3461" t="s">
        <v>2553</v>
      </c>
      <c r="E119" s="3462"/>
      <c r="F119" s="3452" t="s">
        <v>2563</v>
      </c>
      <c r="G119" s="3452"/>
      <c r="H119" s="3452" t="s">
        <v>2554</v>
      </c>
      <c r="I119" s="3453"/>
      <c r="J119" s="2764"/>
    </row>
    <row r="120" spans="1:16" ht="12.75">
      <c r="A120" s="3456"/>
      <c r="B120" s="3455"/>
      <c r="C120" s="3455"/>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199.15</v>
      </c>
      <c r="C121" s="2020">
        <f>项目基本情况!C13</f>
        <v>0</v>
      </c>
      <c r="D121" s="2020">
        <f ca="1">ROUND(IF(B32="总价",C34,IF('数据-取费表'!B3="万元",E121*B121/10000,E121*B121)),0)</f>
        <v>346</v>
      </c>
      <c r="E121" s="2020">
        <f ca="1">ROUND(IF(B32="楼面单价",C34,IF(H19="元",D121/B121,D121*10000/B121)),0)</f>
        <v>17395</v>
      </c>
      <c r="F121" s="2020">
        <f ca="1">ROUND(IF(B32="总价",C35,IF('数据-取费表'!B3="万元",G121*B121/10000,G121*B121)),0)</f>
        <v>111</v>
      </c>
      <c r="G121" s="2020">
        <f ca="1">ROUND(IF(B32="楼面单价",C35,IF(H19="元",F121/B121,F121*10000/B121)),0)</f>
        <v>5584</v>
      </c>
      <c r="H121" s="2020">
        <f ca="1">ROUND(IF(B32="总价",C32,IF('数据-取费表'!B3="万元",I121*B121/10000,I121*B121)),0)</f>
        <v>458</v>
      </c>
      <c r="I121" s="52">
        <f ca="1">ROUND(IF(B32="楼面单价",C32,IF(H19="元",H121/B121,H121*10000/B121)),0)</f>
        <v>22979</v>
      </c>
      <c r="J121" s="2764"/>
    </row>
    <row r="122" spans="1:16" ht="12.75">
      <c r="A122" s="3456" t="s">
        <v>2557</v>
      </c>
      <c r="B122" s="3452"/>
      <c r="C122" s="3452"/>
      <c r="D122" s="3487" t="str">
        <f ca="1">IF(H19="元",NUMBERSTRING(INT(D121),2)&amp;"元整",NUMBERSTRING(INT(D121*10000),2)&amp;"元整")</f>
        <v>叁佰肆拾陆万元整</v>
      </c>
      <c r="E122" s="3488"/>
      <c r="F122" s="3487" t="str">
        <f ca="1">IF(H19="元",NUMBERSTRING(INT(F121),2)&amp;"元整",NUMBERSTRING(INT(F121*10000),2)&amp;"元整")</f>
        <v>壹佰壹拾壹万元整</v>
      </c>
      <c r="G122" s="3488"/>
      <c r="H122" s="3487" t="str">
        <f ca="1">IF(H19="元",NUMBERSTRING(INT(H121),2)&amp;"元整",NUMBERSTRING(INT(H121*10000),2)&amp;"元整")</f>
        <v>肆佰伍拾捌万元整</v>
      </c>
      <c r="I122" s="3536"/>
      <c r="J122" s="2787"/>
    </row>
    <row r="123" spans="1:16" ht="12.75">
      <c r="A123" s="3476" t="str">
        <f>IF(项目基本情况!D5="房地产市场价值","——",MID(A108,3,LEN(A108)-2))</f>
        <v>估价师所知悉的法定优先受偿款</v>
      </c>
      <c r="B123" s="3489"/>
      <c r="C123" s="3478"/>
      <c r="D123" s="3480">
        <f>I105</f>
        <v>0</v>
      </c>
      <c r="E123" s="3489"/>
      <c r="F123" s="3489"/>
      <c r="G123" s="3489"/>
      <c r="H123" s="3489"/>
      <c r="I123" s="3477"/>
      <c r="J123" s="2780"/>
    </row>
    <row r="124" spans="1:16" ht="12.75">
      <c r="A124" s="3490" t="s">
        <v>2557</v>
      </c>
      <c r="B124" s="3491"/>
      <c r="C124" s="3492"/>
      <c r="D124" s="3528">
        <f>H109</f>
        <v>0</v>
      </c>
      <c r="E124" s="3529"/>
      <c r="F124" s="3529"/>
      <c r="G124" s="3529"/>
      <c r="H124" s="3529"/>
      <c r="I124" s="3530"/>
      <c r="J124" s="2788"/>
    </row>
    <row r="125" spans="1:16" ht="12.75">
      <c r="A125" s="3463" t="str">
        <f>IF(项目基本情况!D5="房地产市场价值","——",MID(A112,3,LEN(A112)-2))</f>
        <v>房地产抵押价值</v>
      </c>
      <c r="B125" s="3464"/>
      <c r="C125" s="3464"/>
      <c r="D125" s="3480">
        <f ca="1">I110</f>
        <v>458</v>
      </c>
      <c r="E125" s="3489"/>
      <c r="F125" s="3489"/>
      <c r="G125" s="3489"/>
      <c r="H125" s="3489"/>
      <c r="I125" s="3477"/>
      <c r="J125" s="2780"/>
    </row>
    <row r="126" spans="1:16" ht="12.75">
      <c r="A126" s="3456" t="s">
        <v>2557</v>
      </c>
      <c r="B126" s="3452"/>
      <c r="C126" s="3452"/>
      <c r="D126" s="3528">
        <f ca="1">I111</f>
        <v>22979</v>
      </c>
      <c r="E126" s="3529"/>
      <c r="F126" s="3529"/>
      <c r="G126" s="3529"/>
      <c r="H126" s="3529"/>
      <c r="I126" s="3530"/>
      <c r="J126" s="2788"/>
    </row>
    <row r="127" spans="1:16" ht="13.5" thickBot="1">
      <c r="A127" s="3463" t="str">
        <f>IF(项目基本情况!D5="房地产市场价值","——",MID(A114,3,LEN(A114)-2))</f>
        <v/>
      </c>
      <c r="B127" s="3464"/>
      <c r="C127" s="3464"/>
      <c r="D127" s="3436" t="str">
        <f>I112</f>
        <v>——</v>
      </c>
      <c r="E127" s="3437"/>
      <c r="F127" s="3437"/>
      <c r="G127" s="3437"/>
      <c r="H127" s="3437"/>
      <c r="I127" s="3438"/>
      <c r="J127" s="2780"/>
    </row>
    <row r="128" spans="1:16" ht="14.25" thickTop="1" thickBot="1">
      <c r="A128" s="3456" t="s">
        <v>2557</v>
      </c>
      <c r="B128" s="3452"/>
      <c r="C128" s="3503"/>
      <c r="D128" s="3481" t="str">
        <f>I113</f>
        <v>——</v>
      </c>
      <c r="E128" s="3481"/>
      <c r="F128" s="3481"/>
      <c r="G128" s="3481"/>
      <c r="H128" s="3481"/>
      <c r="I128" s="3481"/>
      <c r="J128" s="2788"/>
    </row>
    <row r="129" spans="1:10" ht="14.25" thickTop="1" thickBot="1">
      <c r="A129" s="3463" t="str">
        <f>IF(项目基本情况!D5="房地产市场价值","——",MID(F114,3,LEN(F114)-2))</f>
        <v/>
      </c>
      <c r="B129" s="3464"/>
      <c r="C129" s="3480"/>
      <c r="D129" s="3531" t="str">
        <f>I114</f>
        <v>——</v>
      </c>
      <c r="E129" s="3531"/>
      <c r="F129" s="3531"/>
      <c r="G129" s="3531"/>
      <c r="H129" s="3531"/>
      <c r="I129" s="3531"/>
      <c r="J129" s="2780"/>
    </row>
    <row r="130" spans="1:10" ht="14.25" thickTop="1" thickBot="1">
      <c r="A130" s="3519" t="s">
        <v>2557</v>
      </c>
      <c r="B130" s="3520"/>
      <c r="C130" s="3520"/>
      <c r="D130" s="3537">
        <f>H116</f>
        <v>0</v>
      </c>
      <c r="E130" s="3538"/>
      <c r="F130" s="3538"/>
      <c r="G130" s="3538"/>
      <c r="H130" s="3538"/>
      <c r="I130" s="353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4" t="str">
        <f>IF(B32="总价","（以上估价结果中楼面单价为总价除以建筑面积得出）","（以上估价结果中总价为楼面单价乘以建筑面积得出）")</f>
        <v>（以上估价结果中总价为楼面单价乘以建筑面积得出）</v>
      </c>
      <c r="B132" s="3524"/>
      <c r="C132" s="3524"/>
      <c r="D132" s="3524"/>
      <c r="E132" s="3524"/>
      <c r="F132" s="3524"/>
      <c r="G132" s="3524"/>
      <c r="H132" s="3524"/>
      <c r="I132" s="352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6" t="s">
        <v>1643</v>
      </c>
      <c r="B2" s="3546"/>
      <c r="C2" s="3546"/>
      <c r="D2" s="3546"/>
      <c r="E2" s="3546"/>
      <c r="F2" s="3546"/>
      <c r="G2" s="3546"/>
      <c r="H2" s="3546"/>
      <c r="I2" s="3546"/>
      <c r="J2" s="2793"/>
    </row>
    <row r="3" spans="1:15" ht="12.75">
      <c r="A3" s="3506" t="s">
        <v>1471</v>
      </c>
      <c r="B3" s="3507"/>
      <c r="C3" s="3507"/>
      <c r="D3" s="3507"/>
      <c r="E3" s="3507"/>
      <c r="F3" s="3507"/>
      <c r="G3" s="3507"/>
      <c r="H3" s="3507"/>
      <c r="I3" s="3507"/>
      <c r="J3" s="2763"/>
    </row>
    <row r="4" spans="1:15" ht="14.25">
      <c r="A4" s="2631" t="s">
        <v>1472</v>
      </c>
      <c r="B4" s="2631" t="s">
        <v>1473</v>
      </c>
      <c r="C4" s="2632"/>
      <c r="D4" s="2632"/>
      <c r="E4" s="3503" t="s">
        <v>1644</v>
      </c>
      <c r="F4" s="3491"/>
      <c r="G4" s="3491"/>
      <c r="H4" s="3491"/>
      <c r="I4" s="349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2" t="s">
        <v>1475</v>
      </c>
      <c r="B5" s="3502">
        <v>25</v>
      </c>
      <c r="C5" s="3508"/>
      <c r="D5" s="3505"/>
      <c r="E5" s="12" t="s">
        <v>1476</v>
      </c>
      <c r="F5" s="2017"/>
      <c r="G5" s="2017"/>
      <c r="H5" s="2017"/>
      <c r="I5" s="2012"/>
      <c r="J5" s="2764"/>
    </row>
    <row r="6" spans="1:15" ht="12.75">
      <c r="A6" s="3502"/>
      <c r="B6" s="3502"/>
      <c r="C6" s="3509"/>
      <c r="D6" s="3505"/>
      <c r="E6" s="12" t="s">
        <v>1477</v>
      </c>
      <c r="F6" s="2017"/>
      <c r="G6" s="2017"/>
      <c r="H6" s="2017"/>
      <c r="I6" s="2012"/>
      <c r="J6" s="2764"/>
    </row>
    <row r="7" spans="1:15" ht="12.75">
      <c r="A7" s="3502"/>
      <c r="B7" s="3502"/>
      <c r="C7" s="3510"/>
      <c r="D7" s="3505"/>
      <c r="E7" s="12" t="s">
        <v>1478</v>
      </c>
      <c r="F7" s="2017"/>
      <c r="G7" s="2017"/>
      <c r="H7" s="2017"/>
      <c r="I7" s="2012"/>
      <c r="J7" s="2764"/>
    </row>
    <row r="8" spans="1:15" ht="12.75">
      <c r="A8" s="3502" t="s">
        <v>1479</v>
      </c>
      <c r="B8" s="3502">
        <v>15</v>
      </c>
      <c r="C8" s="3508"/>
      <c r="D8" s="3505"/>
      <c r="E8" s="12" t="s">
        <v>1480</v>
      </c>
      <c r="F8" s="2017"/>
      <c r="G8" s="2017"/>
      <c r="H8" s="2017"/>
      <c r="I8" s="2012"/>
      <c r="J8" s="2764"/>
    </row>
    <row r="9" spans="1:15" ht="12.75">
      <c r="A9" s="3502"/>
      <c r="B9" s="3502"/>
      <c r="C9" s="3510"/>
      <c r="D9" s="3505"/>
      <c r="E9" s="12" t="s">
        <v>1481</v>
      </c>
      <c r="F9" s="2017"/>
      <c r="G9" s="2017"/>
      <c r="H9" s="2017"/>
      <c r="I9" s="2012"/>
      <c r="J9" s="2764"/>
    </row>
    <row r="10" spans="1:15" ht="12.75">
      <c r="A10" s="3502" t="s">
        <v>1482</v>
      </c>
      <c r="B10" s="3502">
        <v>15</v>
      </c>
      <c r="C10" s="3508"/>
      <c r="D10" s="3505"/>
      <c r="E10" s="12" t="s">
        <v>1483</v>
      </c>
      <c r="F10" s="2017"/>
      <c r="G10" s="2017"/>
      <c r="H10" s="2017"/>
      <c r="I10" s="2012"/>
      <c r="J10" s="2764"/>
    </row>
    <row r="11" spans="1:15" ht="12.75">
      <c r="A11" s="3502"/>
      <c r="B11" s="3502"/>
      <c r="C11" s="3510"/>
      <c r="D11" s="3505"/>
      <c r="E11" s="12" t="s">
        <v>1484</v>
      </c>
      <c r="F11" s="2017"/>
      <c r="G11" s="2017"/>
      <c r="H11" s="2017"/>
      <c r="I11" s="2012"/>
      <c r="J11" s="2764"/>
    </row>
    <row r="12" spans="1:15" ht="12.75">
      <c r="A12" s="3502" t="s">
        <v>1485</v>
      </c>
      <c r="B12" s="3502">
        <v>15</v>
      </c>
      <c r="C12" s="3508"/>
      <c r="D12" s="3505"/>
      <c r="E12" s="12" t="s">
        <v>1486</v>
      </c>
      <c r="F12" s="2017"/>
      <c r="G12" s="2017"/>
      <c r="H12" s="2017"/>
      <c r="I12" s="2012"/>
      <c r="J12" s="2764"/>
    </row>
    <row r="13" spans="1:15" ht="12.75">
      <c r="A13" s="3502"/>
      <c r="B13" s="3502"/>
      <c r="C13" s="3510"/>
      <c r="D13" s="3505"/>
      <c r="E13" s="12" t="s">
        <v>1487</v>
      </c>
      <c r="F13" s="2017"/>
      <c r="G13" s="2017"/>
      <c r="H13" s="2017"/>
      <c r="I13" s="2012"/>
      <c r="J13" s="2764"/>
    </row>
    <row r="14" spans="1:15" ht="12.75">
      <c r="A14" s="3502" t="s">
        <v>1488</v>
      </c>
      <c r="B14" s="3502">
        <v>30</v>
      </c>
      <c r="C14" s="3508"/>
      <c r="D14" s="3505"/>
      <c r="E14" s="12" t="s">
        <v>1489</v>
      </c>
      <c r="F14" s="2017"/>
      <c r="G14" s="2017"/>
      <c r="H14" s="2017"/>
      <c r="I14" s="2012"/>
      <c r="J14" s="2764"/>
    </row>
    <row r="15" spans="1:15" ht="12.75">
      <c r="A15" s="3502"/>
      <c r="B15" s="3502"/>
      <c r="C15" s="3509"/>
      <c r="D15" s="3505"/>
      <c r="E15" s="12" t="s">
        <v>1490</v>
      </c>
      <c r="F15" s="2017"/>
      <c r="G15" s="2017"/>
      <c r="H15" s="2017"/>
      <c r="I15" s="2012"/>
      <c r="J15" s="2764"/>
    </row>
    <row r="16" spans="1:15" ht="12.75">
      <c r="A16" s="3502"/>
      <c r="B16" s="3502"/>
      <c r="C16" s="3510"/>
      <c r="D16" s="350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22" t="s">
        <v>2576</v>
      </c>
      <c r="F18" s="3523"/>
      <c r="G18" s="3523"/>
      <c r="H18" s="3523"/>
      <c r="I18" s="352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1" t="s">
        <v>1500</v>
      </c>
      <c r="B24" s="2639" t="s">
        <v>1495</v>
      </c>
      <c r="C24" s="2642">
        <f>D30</f>
        <v>0</v>
      </c>
      <c r="D24" s="2594"/>
      <c r="E24" s="905"/>
      <c r="F24" s="905"/>
      <c r="G24" s="905"/>
      <c r="H24" s="905"/>
      <c r="I24" s="905"/>
      <c r="J24" s="2765"/>
    </row>
    <row r="25" spans="1:36" ht="21.75" customHeight="1">
      <c r="A25" s="351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8" t="s">
        <v>1647</v>
      </c>
      <c r="B32" s="3568"/>
      <c r="C32" s="3568"/>
      <c r="D32" s="3568"/>
      <c r="E32" s="3568"/>
      <c r="F32" s="3568"/>
      <c r="G32" s="3568"/>
      <c r="H32" s="3568"/>
      <c r="I32" s="356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11" t="s">
        <v>1656</v>
      </c>
      <c r="B38" s="1396" t="s">
        <v>1657</v>
      </c>
      <c r="C38" s="2675"/>
      <c r="D38" s="2676"/>
      <c r="E38" s="1608"/>
      <c r="F38" s="1608"/>
      <c r="G38" s="905"/>
      <c r="H38" s="905"/>
      <c r="I38" s="905"/>
      <c r="J38" s="2765"/>
    </row>
    <row r="39" spans="1:16" ht="15.75" thickBot="1">
      <c r="A39" s="3516"/>
      <c r="B39" s="2022" t="s">
        <v>1658</v>
      </c>
      <c r="C39" s="2677"/>
      <c r="D39" s="1239"/>
      <c r="E39" s="1239"/>
      <c r="F39" s="1608"/>
      <c r="G39" s="1239"/>
      <c r="H39" s="1239"/>
      <c r="I39" s="1239"/>
      <c r="J39" s="2769"/>
    </row>
    <row r="40" spans="1:16" ht="15.75" thickBot="1">
      <c r="A40" s="351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6" t="s">
        <v>1669</v>
      </c>
      <c r="B47" s="3437"/>
      <c r="C47" s="3447"/>
      <c r="D47" s="246">
        <f>ROUND(I104*F47,0)</f>
        <v>0</v>
      </c>
      <c r="E47" s="1470" t="s">
        <v>1670</v>
      </c>
      <c r="F47" s="2479">
        <v>1</v>
      </c>
      <c r="G47" s="2480" t="s">
        <v>1671</v>
      </c>
      <c r="H47" s="905"/>
      <c r="I47" s="905"/>
      <c r="J47" s="2765"/>
      <c r="K47" s="3541" t="s">
        <v>1527</v>
      </c>
      <c r="L47" s="3541"/>
      <c r="M47" s="3541"/>
      <c r="N47" s="3541"/>
      <c r="O47" s="3541"/>
      <c r="P47" s="3541"/>
    </row>
    <row r="48" spans="1:16" ht="14.25" customHeight="1">
      <c r="A48" s="3513" t="s">
        <v>1528</v>
      </c>
      <c r="B48" s="3514"/>
      <c r="C48" s="3514"/>
      <c r="D48" s="3514"/>
      <c r="E48" s="3514"/>
      <c r="F48" s="3514"/>
      <c r="G48" s="3515"/>
      <c r="H48" s="2897"/>
      <c r="I48" s="905"/>
      <c r="J48" s="2765"/>
      <c r="K48" s="2431">
        <v>1</v>
      </c>
      <c r="L48" s="3542" t="s">
        <v>1529</v>
      </c>
      <c r="M48" s="3542"/>
      <c r="N48" s="3543"/>
      <c r="O48" s="3543"/>
      <c r="P48" s="3543"/>
    </row>
    <row r="49" spans="1:17" ht="12" customHeight="1">
      <c r="A49" s="38" t="s">
        <v>1530</v>
      </c>
      <c r="B49" s="39"/>
      <c r="C49" s="40"/>
      <c r="D49" s="1028" t="s">
        <v>1531</v>
      </c>
      <c r="E49" s="235" t="s">
        <v>1532</v>
      </c>
      <c r="F49" s="41" t="s">
        <v>1533</v>
      </c>
      <c r="G49" s="2482" t="s">
        <v>1534</v>
      </c>
      <c r="H49" s="2897"/>
      <c r="I49" s="905"/>
      <c r="J49" s="2765"/>
      <c r="K49" s="2431">
        <v>2</v>
      </c>
      <c r="L49" s="3542" t="s">
        <v>1535</v>
      </c>
      <c r="M49" s="3542"/>
      <c r="N49" s="3545">
        <f>'数据-取费表'!B2</f>
        <v>44736</v>
      </c>
      <c r="O49" s="3545"/>
      <c r="P49" s="3545"/>
    </row>
    <row r="50" spans="1:17" ht="25.5">
      <c r="A50" s="3518" t="s">
        <v>1536</v>
      </c>
      <c r="B50" s="3452"/>
      <c r="C50" s="345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2" t="s">
        <v>1539</v>
      </c>
      <c r="M50" s="3542"/>
      <c r="N50" s="3547">
        <f>I104</f>
        <v>0</v>
      </c>
      <c r="O50" s="3547"/>
      <c r="P50" s="3547"/>
    </row>
    <row r="51" spans="1:17" ht="25.5" customHeight="1">
      <c r="A51" s="2019" t="s">
        <v>1540</v>
      </c>
      <c r="B51" s="3491" t="s">
        <v>1541</v>
      </c>
      <c r="C51" s="3491"/>
      <c r="D51" s="2486">
        <v>0</v>
      </c>
      <c r="E51" s="261" t="s">
        <v>1542</v>
      </c>
      <c r="F51" s="2487" t="s">
        <v>48</v>
      </c>
      <c r="G51" s="3433"/>
      <c r="H51" s="2488" t="s">
        <v>2500</v>
      </c>
      <c r="I51" s="2489"/>
      <c r="J51" s="2773"/>
      <c r="K51" s="2431">
        <v>4</v>
      </c>
      <c r="L51" s="3542" t="str">
        <f>IF(项目基本情况!F5="房地产抵押价值","房地产抵押价值","抵押担保权已注销时的房地产抵押价值")</f>
        <v>抵押担保权已注销时的房地产抵押价值</v>
      </c>
      <c r="M51" s="3542"/>
      <c r="N51" s="3547" t="str">
        <f>IF(项目基本情况!F5="房地产抵押价值",I112,I114)</f>
        <v>——</v>
      </c>
      <c r="O51" s="3547"/>
      <c r="P51" s="3547"/>
    </row>
    <row r="52" spans="1:17" ht="25.5" customHeight="1">
      <c r="A52" s="2009"/>
      <c r="B52" s="3491" t="s">
        <v>1543</v>
      </c>
      <c r="C52" s="3491"/>
      <c r="D52" s="2490"/>
      <c r="E52" s="269"/>
      <c r="F52" s="2487"/>
      <c r="G52" s="3434"/>
      <c r="H52" s="2491" t="s">
        <v>2501</v>
      </c>
      <c r="I52" s="2489"/>
      <c r="J52" s="2773"/>
      <c r="K52" s="3542" t="s">
        <v>1544</v>
      </c>
      <c r="L52" s="3542"/>
      <c r="M52" s="3542"/>
      <c r="N52" s="3542"/>
      <c r="O52" s="3542"/>
      <c r="P52" s="3542"/>
    </row>
    <row r="53" spans="1:17" ht="20.45" customHeight="1">
      <c r="A53" s="2492"/>
      <c r="B53" s="3491" t="s">
        <v>1545</v>
      </c>
      <c r="C53" s="3491"/>
      <c r="D53" s="1028"/>
      <c r="E53" s="264"/>
      <c r="F53" s="2487"/>
      <c r="G53" s="3435"/>
      <c r="H53" s="2491" t="s">
        <v>2502</v>
      </c>
      <c r="I53" s="2489"/>
      <c r="J53" s="2773"/>
      <c r="K53" s="2432" t="s">
        <v>1546</v>
      </c>
      <c r="L53" s="3542" t="s">
        <v>1547</v>
      </c>
      <c r="M53" s="3542"/>
      <c r="N53" s="2432" t="s">
        <v>1548</v>
      </c>
      <c r="O53" s="2432" t="s">
        <v>1549</v>
      </c>
      <c r="P53" s="2432" t="s">
        <v>1550</v>
      </c>
    </row>
    <row r="54" spans="1:17" ht="24" customHeight="1">
      <c r="A54" s="2010" t="s">
        <v>1551</v>
      </c>
      <c r="B54" s="3491" t="s">
        <v>1552</v>
      </c>
      <c r="C54" s="3491"/>
      <c r="D54" s="1028">
        <f>ROUND(D47*'数据-取费表'!E29/(1+'数据-取费表'!F30),0)</f>
        <v>0</v>
      </c>
      <c r="E54" s="2020" t="s">
        <v>1553</v>
      </c>
      <c r="F54" s="2493">
        <f>'数据-取费表'!E29</f>
        <v>5.6000000000000001E-2</v>
      </c>
      <c r="G54" s="2494"/>
      <c r="H54" s="905"/>
      <c r="I54" s="2898"/>
      <c r="J54" s="2773"/>
      <c r="K54" s="2431">
        <v>1</v>
      </c>
      <c r="L54" s="3544" t="s">
        <v>1554</v>
      </c>
      <c r="M54" s="3544"/>
      <c r="N54" s="2433">
        <f>D50</f>
        <v>0</v>
      </c>
      <c r="O54" s="2431" t="str">
        <f>E50</f>
        <v>销售额×税（费）率</v>
      </c>
      <c r="P54" s="2434">
        <f>F50</f>
        <v>5.6000000000000001E-2</v>
      </c>
    </row>
    <row r="55" spans="1:17" ht="12" customHeight="1">
      <c r="A55" s="2010" t="s">
        <v>1555</v>
      </c>
      <c r="B55" s="3503" t="s">
        <v>2593</v>
      </c>
      <c r="C55" s="3492"/>
      <c r="D55" s="1028">
        <f>ROUND(D47*'数据-取费表'!E29/(1+'数据-取费表'!F30),0)</f>
        <v>0</v>
      </c>
      <c r="E55" s="2020" t="s">
        <v>1553</v>
      </c>
      <c r="F55" s="2493">
        <f>'数据-取费表'!E29</f>
        <v>5.6000000000000001E-2</v>
      </c>
      <c r="G55" s="2494"/>
      <c r="H55" s="905"/>
      <c r="I55" s="2898"/>
      <c r="J55" s="2773"/>
      <c r="K55" s="2431">
        <v>2</v>
      </c>
      <c r="L55" s="3544" t="s">
        <v>1556</v>
      </c>
      <c r="M55" s="3544"/>
      <c r="N55" s="2433">
        <f t="shared" ref="N55:P56" si="1">D57</f>
        <v>0</v>
      </c>
      <c r="O55" s="2431" t="str">
        <f t="shared" si="1"/>
        <v>销售额×税（费）率</v>
      </c>
      <c r="P55" s="2434">
        <f t="shared" si="1"/>
        <v>5.0000000000000001E-4</v>
      </c>
    </row>
    <row r="56" spans="1:17" ht="12" customHeight="1">
      <c r="A56" s="2010" t="s">
        <v>1557</v>
      </c>
      <c r="B56" s="3503" t="s">
        <v>2594</v>
      </c>
      <c r="C56" s="3492"/>
      <c r="D56" s="1028">
        <f>C70</f>
        <v>0</v>
      </c>
      <c r="E56" s="264" t="s">
        <v>1558</v>
      </c>
      <c r="F56" s="2493">
        <f>'数据-取费表'!E29</f>
        <v>5.6000000000000001E-2</v>
      </c>
      <c r="G56" s="2494"/>
      <c r="H56" s="2899"/>
      <c r="I56" s="2898"/>
      <c r="J56" s="2773"/>
      <c r="K56" s="2431">
        <v>3</v>
      </c>
      <c r="L56" s="3544" t="s">
        <v>1559</v>
      </c>
      <c r="M56" s="3544"/>
      <c r="N56" s="2433">
        <f t="shared" si="1"/>
        <v>0</v>
      </c>
      <c r="O56" s="2431" t="str">
        <f t="shared" si="1"/>
        <v>增值额×税（费）率</v>
      </c>
      <c r="P56" s="2435" t="str">
        <f t="shared" si="1"/>
        <v>——</v>
      </c>
    </row>
    <row r="57" spans="1:17" ht="24" customHeight="1">
      <c r="A57" s="3456" t="s">
        <v>1560</v>
      </c>
      <c r="B57" s="3452"/>
      <c r="C57" s="345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4" t="str">
        <f>IF(H61="非个人房产","——","个人所得税")</f>
        <v>个人所得税</v>
      </c>
      <c r="M57" s="3544"/>
      <c r="N57" s="2436">
        <f>D61</f>
        <v>0</v>
      </c>
      <c r="O57" s="2437" t="str">
        <f>E61</f>
        <v>销售额×税（费）率</v>
      </c>
      <c r="P57" s="2438">
        <f>F61</f>
        <v>0.01</v>
      </c>
    </row>
    <row r="58" spans="1:17" ht="24.75">
      <c r="A58" s="3456" t="s">
        <v>1563</v>
      </c>
      <c r="B58" s="3452"/>
      <c r="C58" s="3452"/>
      <c r="D58" s="12">
        <f>IF(H58="个人住宅",D59,D60)</f>
        <v>0</v>
      </c>
      <c r="E58" s="2020" t="s">
        <v>1564</v>
      </c>
      <c r="F58" s="2493" t="str">
        <f>IF(H58="正常",F60,"免征")</f>
        <v>——</v>
      </c>
      <c r="G58" s="2495" t="s">
        <v>1565</v>
      </c>
      <c r="H58" s="2496" t="s">
        <v>1562</v>
      </c>
      <c r="I58" s="2900"/>
      <c r="J58" s="2773"/>
      <c r="K58" s="2431" t="str">
        <f>IF(项目基本情况!I6="上海银行",IF(K57="",4,K57+1),"")</f>
        <v/>
      </c>
      <c r="L58" s="3548" t="str">
        <f>IF(项目基本情况!I6="上海银行","其他处置费用","")</f>
        <v/>
      </c>
      <c r="M58" s="3553"/>
      <c r="N58" s="2433" t="str">
        <f>IF(项目基本情况!I6="上海银行",N71,"")</f>
        <v/>
      </c>
      <c r="O58" s="3548" t="str">
        <f>IF(项目基本情况!I6="上海银行","包含处置中涉及的律师、诉讼、拍卖、评估等费用","")</f>
        <v/>
      </c>
      <c r="P58" s="3549"/>
    </row>
    <row r="59" spans="1:17" ht="12.75">
      <c r="A59" s="2010" t="s">
        <v>1540</v>
      </c>
      <c r="B59" s="3503" t="s">
        <v>1566</v>
      </c>
      <c r="C59" s="3492"/>
      <c r="D59" s="2486">
        <v>0</v>
      </c>
      <c r="E59" s="261" t="s">
        <v>1542</v>
      </c>
      <c r="F59" s="235"/>
      <c r="G59" s="2494"/>
      <c r="H59" s="2900"/>
      <c r="I59" s="2900"/>
      <c r="J59" s="2773"/>
      <c r="K59" s="3544">
        <f>IF(AND(K57="",K58=""),4,IF(项目基本情况!I6="上海银行",K58+1,K57+1))</f>
        <v>5</v>
      </c>
      <c r="L59" s="3544" t="s">
        <v>1567</v>
      </c>
      <c r="M59" s="2439" t="s">
        <v>1568</v>
      </c>
      <c r="N59" s="2440"/>
      <c r="O59" s="2441">
        <f>SUMIF(N54:N58,"&lt;9e307")</f>
        <v>0</v>
      </c>
      <c r="P59" s="2442"/>
      <c r="Q59" s="1234" t="e">
        <f>O59/N51</f>
        <v>#VALUE!</v>
      </c>
    </row>
    <row r="60" spans="1:17" ht="24.75">
      <c r="A60" s="2010" t="s">
        <v>1551</v>
      </c>
      <c r="B60" s="3503" t="s">
        <v>1569</v>
      </c>
      <c r="C60" s="3491"/>
      <c r="D60" s="12">
        <f>IF(H60="转让取得",C83,C99)</f>
        <v>0</v>
      </c>
      <c r="E60" s="2020" t="s">
        <v>1564</v>
      </c>
      <c r="F60" s="235" t="s">
        <v>48</v>
      </c>
      <c r="G60" s="2494"/>
      <c r="H60" s="2496" t="s">
        <v>1570</v>
      </c>
      <c r="I60" s="2900"/>
      <c r="J60" s="2773"/>
      <c r="K60" s="3544"/>
      <c r="L60" s="3544"/>
      <c r="M60" s="2439" t="s">
        <v>1571</v>
      </c>
      <c r="N60" s="2443"/>
      <c r="O60" s="2444" t="str">
        <f>IF(H19="元",NUMBERSTRING(INT(O59),2)&amp;"元整",NUMBERSTRING(INT(O59*10000),2)&amp;"元整")</f>
        <v>零元整</v>
      </c>
      <c r="P60" s="2445"/>
    </row>
    <row r="61" spans="1:17" ht="26.25" thickBot="1">
      <c r="A61" s="3519" t="s">
        <v>1572</v>
      </c>
      <c r="B61" s="3520"/>
      <c r="C61" s="352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0">
        <f>K59+1</f>
        <v>6</v>
      </c>
      <c r="L61" s="3544" t="s">
        <v>1573</v>
      </c>
      <c r="M61" s="2431" t="s">
        <v>1568</v>
      </c>
      <c r="N61" s="2446"/>
      <c r="O61" s="2447" t="e">
        <f>N51-O59</f>
        <v>#VALUE!</v>
      </c>
      <c r="P61" s="2448"/>
    </row>
    <row r="62" spans="1:17" ht="12" customHeight="1">
      <c r="A62" s="1385"/>
      <c r="B62" s="2481"/>
      <c r="C62" s="2481"/>
      <c r="D62" s="2481"/>
      <c r="E62" s="1385"/>
      <c r="F62" s="2900"/>
      <c r="G62" s="2900"/>
      <c r="H62" s="2895"/>
      <c r="I62" s="905"/>
      <c r="J62" s="2773"/>
      <c r="K62" s="3551"/>
      <c r="L62" s="3544"/>
      <c r="M62" s="2439" t="s">
        <v>1571</v>
      </c>
      <c r="N62" s="2443"/>
      <c r="O62" s="2444" t="e">
        <f>IF(H19="元",NUMBERSTRING(INT(O61),2)&amp;"元整",NUMBERSTRING(INT(O61*10000),2)&amp;"元整")</f>
        <v>#VALUE!</v>
      </c>
      <c r="P62" s="2445"/>
    </row>
    <row r="63" spans="1:17" ht="13.5" thickBot="1">
      <c r="A63" s="3552" t="s">
        <v>1574</v>
      </c>
      <c r="B63" s="3552"/>
      <c r="C63" s="3552"/>
      <c r="D63" s="3552"/>
      <c r="E63" s="3552"/>
      <c r="F63" s="2900"/>
      <c r="G63" s="2900"/>
      <c r="H63" s="2895"/>
      <c r="I63" s="905"/>
      <c r="J63" s="2765"/>
      <c r="K63" s="2431">
        <f>K61+1</f>
        <v>7</v>
      </c>
      <c r="L63" s="3544" t="s">
        <v>1575</v>
      </c>
      <c r="M63" s="3544"/>
      <c r="N63" s="2449"/>
      <c r="O63" s="2450" t="e">
        <f>IF(H19="元",ROUND(O61/项目基本情况!C12,0),ROUND(O61*10000/项目基本情况!C12,0))</f>
        <v>#VALUE!</v>
      </c>
      <c r="P63" s="2451"/>
    </row>
    <row r="64" spans="1:17" ht="12.75">
      <c r="A64" s="3470" t="s">
        <v>1576</v>
      </c>
      <c r="B64" s="347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4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7" t="s">
        <v>1596</v>
      </c>
      <c r="B72" s="3558"/>
      <c r="C72" s="3558"/>
      <c r="D72" s="3558"/>
      <c r="E72" s="3558"/>
      <c r="F72" s="3558"/>
      <c r="G72" s="3558"/>
      <c r="H72" s="355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0" t="s">
        <v>1576</v>
      </c>
      <c r="B73" s="347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3" t="s">
        <v>1606</v>
      </c>
      <c r="F78" s="3491"/>
      <c r="G78" s="3491"/>
      <c r="H78" s="350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9" t="s">
        <v>1611</v>
      </c>
      <c r="F80" s="3440"/>
      <c r="G80" s="3440"/>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7" t="s">
        <v>1615</v>
      </c>
      <c r="B85" s="3558"/>
      <c r="C85" s="3558"/>
      <c r="D85" s="3558"/>
      <c r="E85" s="3558"/>
      <c r="F85" s="3558"/>
      <c r="G85" s="3558"/>
      <c r="H85" s="355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0" t="s">
        <v>1576</v>
      </c>
      <c r="B86" s="347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9" t="s">
        <v>2494</v>
      </c>
      <c r="H92" s="355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9" t="s">
        <v>1623</v>
      </c>
      <c r="F93" s="3440"/>
      <c r="G93" s="344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9" t="s">
        <v>1626</v>
      </c>
      <c r="F94" s="3440"/>
      <c r="G94" s="3440"/>
      <c r="H94" s="346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9" t="s">
        <v>1611</v>
      </c>
      <c r="F95" s="3440"/>
      <c r="G95" s="3440"/>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9" t="s">
        <v>1628</v>
      </c>
      <c r="F96" s="3440"/>
      <c r="G96" s="3440"/>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7" t="s">
        <v>1630</v>
      </c>
      <c r="B101" s="3458"/>
      <c r="C101" s="3458"/>
      <c r="D101" s="3459"/>
      <c r="E101" s="1389"/>
      <c r="F101" s="3554" t="s">
        <v>2536</v>
      </c>
      <c r="G101" s="3555"/>
      <c r="H101" s="3555"/>
      <c r="I101" s="3556"/>
      <c r="J101" s="2800"/>
    </row>
    <row r="102" spans="1:36" ht="15">
      <c r="A102" s="3474" t="s">
        <v>1632</v>
      </c>
      <c r="B102" s="3475"/>
      <c r="C102" s="2723">
        <f>C4</f>
        <v>0</v>
      </c>
      <c r="D102" s="2724">
        <f>D4</f>
        <v>0</v>
      </c>
      <c r="E102" s="1389"/>
      <c r="F102" s="3476" t="s">
        <v>2537</v>
      </c>
      <c r="G102" s="3478"/>
      <c r="H102" s="3489" t="s">
        <v>2538</v>
      </c>
      <c r="I102" s="3477"/>
      <c r="J102" s="2780"/>
    </row>
    <row r="103" spans="1:36" ht="12.75">
      <c r="A103" s="3560" t="s">
        <v>2532</v>
      </c>
      <c r="B103" s="2235" t="str">
        <f>IF(H19="元","总价（元）","总价（万元）")</f>
        <v>总价（万元）</v>
      </c>
      <c r="C103" s="1235" t="e">
        <f ca="1">C19</f>
        <v>#REF!</v>
      </c>
      <c r="D103" s="2727" t="e">
        <f ca="1">D19</f>
        <v>#REF!</v>
      </c>
      <c r="E103" s="1389"/>
      <c r="F103" s="3561"/>
      <c r="G103" s="3562"/>
      <c r="H103" s="3480">
        <f>典型户型修正!B25</f>
        <v>0</v>
      </c>
      <c r="I103" s="3477"/>
      <c r="J103" s="2780"/>
    </row>
    <row r="104" spans="1:36" ht="12.75">
      <c r="A104" s="3560"/>
      <c r="B104" s="2235" t="s">
        <v>2533</v>
      </c>
      <c r="C104" s="2728" t="e">
        <f ca="1">C20</f>
        <v>#REF!</v>
      </c>
      <c r="D104" s="2729" t="e">
        <f ca="1">D20</f>
        <v>#REF!</v>
      </c>
      <c r="E104" s="1389"/>
      <c r="F104" s="3463" t="s">
        <v>2539</v>
      </c>
      <c r="G104" s="3464"/>
      <c r="H104" s="2737" t="str">
        <f>C110</f>
        <v>总价（万元）</v>
      </c>
      <c r="I104" s="2738">
        <f>H125</f>
        <v>0</v>
      </c>
      <c r="J104" s="2780"/>
    </row>
    <row r="105" spans="1:36" ht="12.75">
      <c r="A105" s="3560" t="s">
        <v>2534</v>
      </c>
      <c r="B105" s="2173" t="str">
        <f>B103</f>
        <v>总价（万元）</v>
      </c>
      <c r="C105" s="12" t="e">
        <f ca="1">ROUND(IF('数据-取费表'!B4="总价",G19,IF(H19="元",G20*'数据-取费表'!E5,G20*'数据-取费表'!E5/10000)),0)</f>
        <v>#REF!</v>
      </c>
      <c r="D105" s="2730"/>
      <c r="E105" s="1389"/>
      <c r="F105" s="3463"/>
      <c r="G105" s="3464"/>
      <c r="H105" s="2737" t="s">
        <v>2540</v>
      </c>
      <c r="I105" s="52" t="e">
        <f>I125</f>
        <v>#DIV/0!</v>
      </c>
      <c r="J105" s="2764"/>
    </row>
    <row r="106" spans="1:36" ht="12.75">
      <c r="A106" s="3560"/>
      <c r="B106" s="2235" t="s">
        <v>2533</v>
      </c>
      <c r="C106" s="1409" t="e">
        <f ca="1">ROUND(IF('数据-取费表'!B4="楼面单价",G20,IF(H19="元",G19/'数据-取费表'!E5,G19*10000/'数据-取费表'!E5)),0)</f>
        <v>#REF!</v>
      </c>
      <c r="D106" s="2730"/>
      <c r="E106" s="1389"/>
      <c r="F106" s="3463"/>
      <c r="G106" s="3464"/>
      <c r="H106" s="3495"/>
      <c r="I106" s="3496"/>
      <c r="J106" s="2781"/>
    </row>
    <row r="107" spans="1:36" ht="12.75">
      <c r="A107" s="3567" t="s">
        <v>2535</v>
      </c>
      <c r="B107" s="2731" t="str">
        <f>B103</f>
        <v>总价（万元）</v>
      </c>
      <c r="C107" s="2732">
        <f>H125</f>
        <v>0</v>
      </c>
      <c r="D107" s="2733"/>
      <c r="E107" s="1389"/>
      <c r="F107" s="3499" t="s">
        <v>2541</v>
      </c>
      <c r="G107" s="3500"/>
      <c r="H107" s="2739" t="str">
        <f>C112</f>
        <v>总额（万元）</v>
      </c>
      <c r="I107" s="2738">
        <f>SUMIF(I108:I110,"&lt;9E307")</f>
        <v>0</v>
      </c>
      <c r="J107" s="2780"/>
    </row>
    <row r="108" spans="1:36" ht="15" thickBot="1">
      <c r="A108" s="3494"/>
      <c r="B108" s="2734" t="s">
        <v>2533</v>
      </c>
      <c r="C108" s="2735" t="e">
        <f>I125</f>
        <v>#DIV/0!</v>
      </c>
      <c r="D108" s="2736"/>
      <c r="E108" s="1389"/>
      <c r="F108" s="3465" t="s">
        <v>2542</v>
      </c>
      <c r="G108" s="346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3" t="s">
        <v>1633</v>
      </c>
      <c r="B109" s="3564"/>
      <c r="C109" s="3564"/>
      <c r="D109" s="3565"/>
      <c r="E109" s="1389"/>
      <c r="F109" s="3465" t="s">
        <v>2543</v>
      </c>
      <c r="G109" s="3466"/>
      <c r="H109" s="2739" t="str">
        <f>C114</f>
        <v>总额（万元）</v>
      </c>
      <c r="I109" s="52">
        <f>C39</f>
        <v>0</v>
      </c>
      <c r="J109" s="2764"/>
    </row>
    <row r="110" spans="1:36" ht="12.75">
      <c r="A110" s="3463" t="s">
        <v>2546</v>
      </c>
      <c r="B110" s="3464"/>
      <c r="C110" s="2737" t="str">
        <f>B103</f>
        <v>总价（万元）</v>
      </c>
      <c r="D110" s="2738">
        <f>H125</f>
        <v>0</v>
      </c>
      <c r="E110" s="1389"/>
      <c r="F110" s="3465" t="s">
        <v>2544</v>
      </c>
      <c r="G110" s="3466"/>
      <c r="H110" s="2739" t="str">
        <f>C115</f>
        <v>总额（万元）</v>
      </c>
      <c r="I110" s="52">
        <f>C40</f>
        <v>0</v>
      </c>
      <c r="J110" s="2764"/>
    </row>
    <row r="111" spans="1:36" ht="12.75">
      <c r="A111" s="3463"/>
      <c r="B111" s="3464"/>
      <c r="C111" s="2737" t="s">
        <v>2547</v>
      </c>
      <c r="D111" s="52" t="e">
        <f>I125</f>
        <v>#DIV/0!</v>
      </c>
      <c r="E111" s="1389"/>
      <c r="F111" s="3463"/>
      <c r="G111" s="3464"/>
      <c r="H111" s="3497"/>
      <c r="I111" s="3498"/>
      <c r="J111" s="2782"/>
    </row>
    <row r="112" spans="1:36" ht="28.5" customHeight="1">
      <c r="A112" s="3534" t="s">
        <v>2541</v>
      </c>
      <c r="B112" s="3535"/>
      <c r="C112" s="2739" t="str">
        <f>IF(H19="元","总额（元）","总额（万元）")</f>
        <v>总额（万元）</v>
      </c>
      <c r="D112" s="2738">
        <f>IF(D38="正常操作",I108+I109+I110,I109+I110)</f>
        <v>0</v>
      </c>
      <c r="E112" s="1389"/>
      <c r="F112" s="3446" t="str">
        <f>IF(项目基本情况!F5="已注销","——","3.房地产抵押价值")</f>
        <v>3.房地产抵押价值</v>
      </c>
      <c r="G112" s="3447"/>
      <c r="H112" s="1409" t="str">
        <f>C116</f>
        <v>总价（万元）</v>
      </c>
      <c r="I112" s="2738">
        <f>IF(F112="——","——",I104-I107)</f>
        <v>0</v>
      </c>
      <c r="J112" s="2780"/>
    </row>
    <row r="113" spans="1:27" ht="12.75">
      <c r="A113" s="3465" t="s">
        <v>2548</v>
      </c>
      <c r="B113" s="3466"/>
      <c r="C113" s="2739" t="str">
        <f>C112</f>
        <v>总额（万元）</v>
      </c>
      <c r="D113" s="52">
        <f>IF(D38="同一抵押权人同一抵押物续贷",C38&amp;"（未扣减，详见特别提示）",C38)</f>
        <v>0</v>
      </c>
      <c r="E113" s="1389"/>
      <c r="F113" s="3448"/>
      <c r="G113" s="3449"/>
      <c r="H113" s="2737" t="s">
        <v>2540</v>
      </c>
      <c r="I113" s="2741" t="e">
        <f>D117</f>
        <v>#DIV/0!</v>
      </c>
      <c r="J113" s="2783"/>
    </row>
    <row r="114" spans="1:27" ht="12.75">
      <c r="A114" s="3465" t="s">
        <v>2549</v>
      </c>
      <c r="B114" s="3466"/>
      <c r="C114" s="2739" t="str">
        <f>C112</f>
        <v>总额（万元）</v>
      </c>
      <c r="D114" s="52">
        <f>C39</f>
        <v>0</v>
      </c>
      <c r="E114" s="1389"/>
      <c r="F114" s="3446" t="str">
        <f>IF(项目基本情况!F5="已注销及未注销","4.抵押担保权已注销时的房地产抵押价值",IF(项目基本情况!F5="已注销","3.抵押担保权已注销时的房地产抵押价值","——"))</f>
        <v>——</v>
      </c>
      <c r="G114" s="3447"/>
      <c r="H114" s="1409" t="str">
        <f>C118</f>
        <v>总价（万元）</v>
      </c>
      <c r="I114" s="2738" t="str">
        <f>IF(F114="——","——",I104-I109-I110)</f>
        <v>——</v>
      </c>
      <c r="J114" s="2780"/>
    </row>
    <row r="115" spans="1:27" ht="12.75">
      <c r="A115" s="3465" t="s">
        <v>2550</v>
      </c>
      <c r="B115" s="3466"/>
      <c r="C115" s="2739" t="str">
        <f>C112</f>
        <v>总额（万元）</v>
      </c>
      <c r="D115" s="52">
        <f>C40</f>
        <v>0</v>
      </c>
      <c r="E115" s="1389"/>
      <c r="F115" s="3448"/>
      <c r="G115" s="3449"/>
      <c r="H115" s="2737" t="s">
        <v>2540</v>
      </c>
      <c r="I115" s="52" t="str">
        <f>D119</f>
        <v>——</v>
      </c>
      <c r="J115" s="2764"/>
    </row>
    <row r="116" spans="1:27" ht="12.75">
      <c r="A116" s="3463" t="str">
        <f>IF(项目基本情况!F5="已注销","——","3.房地产抵押价值")</f>
        <v>3.房地产抵押价值</v>
      </c>
      <c r="B116" s="3464"/>
      <c r="C116" s="2737" t="str">
        <f>B103</f>
        <v>总价（万元）</v>
      </c>
      <c r="D116" s="2738">
        <f>IF(A116="——","——",D110-D112)</f>
        <v>0</v>
      </c>
      <c r="E116" s="1389"/>
      <c r="F116" s="3446" t="str">
        <f>IF(项目基本情况!G5="抵押净值",IF(OR(项目基本情况!F5="已注销",项目基本情况!F5="房地产抵押价值"),"4.抵押净值","5.抵押净值"),"——")</f>
        <v>——</v>
      </c>
      <c r="G116" s="3447"/>
      <c r="H116" s="2737" t="str">
        <f>C120</f>
        <v>总价（万元）</v>
      </c>
      <c r="I116" s="2738" t="str">
        <f>IF(F116="——","——",O61)</f>
        <v>——</v>
      </c>
      <c r="J116" s="2780"/>
    </row>
    <row r="117" spans="1:27" ht="13.5" thickBot="1">
      <c r="A117" s="3463"/>
      <c r="B117" s="3464"/>
      <c r="C117" s="2737" t="s">
        <v>2547</v>
      </c>
      <c r="D117" s="52" t="e">
        <f>ROUND(IF(D116=D110,D111,IF(H19="元",D116/B125,D116*10000/B125)),0)</f>
        <v>#DIV/0!</v>
      </c>
      <c r="E117" s="1389"/>
      <c r="F117" s="3526"/>
      <c r="G117" s="3527"/>
      <c r="H117" s="2742" t="s">
        <v>2540</v>
      </c>
      <c r="I117" s="2726" t="str">
        <f>D121</f>
        <v>——</v>
      </c>
      <c r="J117" s="2764"/>
    </row>
    <row r="118" spans="1:27" ht="15.75">
      <c r="A118" s="3463" t="str">
        <f>IF(项目基本情况!F5="已注销及未注销","4.抵押担保权已注销时的房地产抵押价值",IF(项目基本情况!F5="已注销","3.抵押担保权已注销时的房地产抵押价值","——"))</f>
        <v>——</v>
      </c>
      <c r="B118" s="3464"/>
      <c r="C118" s="2737" t="str">
        <f>B103</f>
        <v>总价（万元）</v>
      </c>
      <c r="D118" s="2738" t="str">
        <f>IF(A118="——","——",D110-D114-D115)</f>
        <v>——</v>
      </c>
      <c r="E118" s="1389"/>
      <c r="F118" s="3441"/>
      <c r="G118" s="3441"/>
      <c r="H118" s="3482"/>
      <c r="I118" s="3482"/>
      <c r="J118" s="2784"/>
      <c r="O118" s="32"/>
      <c r="P118" s="32"/>
    </row>
    <row r="119" spans="1:27" s="1236" customFormat="1" ht="12.75">
      <c r="A119" s="3463"/>
      <c r="B119" s="3464"/>
      <c r="C119" s="2737" t="s">
        <v>2547</v>
      </c>
      <c r="D119" s="52" t="str">
        <f>IF(A118="——","——",IF(H19="元",ROUND(D118/B125,0),ROUND(D118*10000/B125,0)))</f>
        <v>——</v>
      </c>
      <c r="E119" s="1389"/>
      <c r="F119" s="3566" t="str">
        <f>IF(B33="总价","（以上估价结果中楼面单价为总价除以建筑面积得出）","（以上估价结果中总价为楼面单价乘以建筑面积得出）")</f>
        <v>（以上估价结果中总价为楼面单价乘以建筑面积得出）</v>
      </c>
      <c r="G119" s="3566"/>
      <c r="H119" s="3566"/>
      <c r="I119" s="356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3" t="str">
        <f>IF(项目基本情况!G5="抵押净值",IF(OR(项目基本情况!F5="已注销",项目基本情况!F5="房地产抵押价值"),"4.抵押净值","5.抵押净值"),"——")</f>
        <v>——</v>
      </c>
      <c r="B120" s="346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2"/>
      <c r="B121" s="3533"/>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6" t="s">
        <v>2551</v>
      </c>
      <c r="B123" s="3454" t="s">
        <v>2552</v>
      </c>
      <c r="C123" s="3454" t="s">
        <v>2558</v>
      </c>
      <c r="D123" s="3461" t="s">
        <v>2553</v>
      </c>
      <c r="E123" s="3462"/>
      <c r="F123" s="3452" t="s">
        <v>2559</v>
      </c>
      <c r="G123" s="3452"/>
      <c r="H123" s="3452" t="s">
        <v>2554</v>
      </c>
      <c r="I123" s="345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6"/>
      <c r="B124" s="3455"/>
      <c r="C124" s="345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6" t="s">
        <v>2557</v>
      </c>
      <c r="B126" s="3452"/>
      <c r="C126" s="3452"/>
      <c r="D126" s="3487" t="str">
        <f>IF(H19="元",NUMBERSTRING(INT(D125),2)&amp;"元整",NUMBERSTRING(INT(D125*10000),2)&amp;"元整")</f>
        <v>零元整</v>
      </c>
      <c r="E126" s="3488"/>
      <c r="F126" s="3487" t="str">
        <f>IF(H19="元",NUMBERSTRING(INT(F125),2)&amp;"元整",NUMBERSTRING(INT(F125*10000),2)&amp;"元整")</f>
        <v>零元整</v>
      </c>
      <c r="G126" s="3488"/>
      <c r="H126" s="3487" t="str">
        <f>IF(H19="元",NUMBERSTRING(INT(H125),2)&amp;"元整",NUMBERSTRING(INT(H125*10000),2)&amp;"元整")</f>
        <v>零元整</v>
      </c>
      <c r="I126" s="353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6" t="str">
        <f>IF(项目基本情况!D5="房地产市场价值","——",MID(A112,3,LEN(A112)-2))</f>
        <v>估价师所知悉的法定优先受偿款</v>
      </c>
      <c r="B127" s="3489"/>
      <c r="C127" s="3478"/>
      <c r="D127" s="3480">
        <f>I107</f>
        <v>0</v>
      </c>
      <c r="E127" s="3489"/>
      <c r="F127" s="3489"/>
      <c r="G127" s="3489"/>
      <c r="H127" s="3489"/>
      <c r="I127" s="347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0" t="s">
        <v>2557</v>
      </c>
      <c r="B128" s="3491"/>
      <c r="C128" s="3492"/>
      <c r="D128" s="3528">
        <f>H111</f>
        <v>0</v>
      </c>
      <c r="E128" s="3529"/>
      <c r="F128" s="3529"/>
      <c r="G128" s="3529"/>
      <c r="H128" s="3529"/>
      <c r="I128" s="353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3" t="str">
        <f>IF(项目基本情况!D5="房地产市场价值","——",MID(A116,3,LEN(A116)-2))</f>
        <v>房地产抵押价值</v>
      </c>
      <c r="B129" s="3464"/>
      <c r="C129" s="3464"/>
      <c r="D129" s="3480">
        <f>I112</f>
        <v>0</v>
      </c>
      <c r="E129" s="3489"/>
      <c r="F129" s="3489"/>
      <c r="G129" s="3489"/>
      <c r="H129" s="3489"/>
      <c r="I129" s="347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6" t="s">
        <v>2557</v>
      </c>
      <c r="B130" s="3452"/>
      <c r="C130" s="3452"/>
      <c r="D130" s="3528" t="e">
        <f>I113</f>
        <v>#DIV/0!</v>
      </c>
      <c r="E130" s="3529"/>
      <c r="F130" s="3529"/>
      <c r="G130" s="3529"/>
      <c r="H130" s="3529"/>
      <c r="I130" s="353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3" t="str">
        <f>IF(项目基本情况!D5="房地产市场价值","——",MID(A118,3,LEN(A118)-2))</f>
        <v/>
      </c>
      <c r="B131" s="3464"/>
      <c r="C131" s="3464"/>
      <c r="D131" s="3436" t="str">
        <f>I114</f>
        <v>——</v>
      </c>
      <c r="E131" s="3437"/>
      <c r="F131" s="3437"/>
      <c r="G131" s="3437"/>
      <c r="H131" s="3437"/>
      <c r="I131" s="343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6" t="s">
        <v>2557</v>
      </c>
      <c r="B132" s="3452"/>
      <c r="C132" s="3503"/>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3" t="str">
        <f>IF(项目基本情况!D5="房地产市场价值","——",MID(F116,3,LEN(F116)-2))</f>
        <v/>
      </c>
      <c r="B133" s="3464"/>
      <c r="C133" s="3480"/>
      <c r="D133" s="3531" t="str">
        <f>I116</f>
        <v>——</v>
      </c>
      <c r="E133" s="3531"/>
      <c r="F133" s="3531"/>
      <c r="G133" s="3531"/>
      <c r="H133" s="3531"/>
      <c r="I133" s="353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9" t="s">
        <v>2557</v>
      </c>
      <c r="B134" s="3520"/>
      <c r="C134" s="3520"/>
      <c r="D134" s="3537">
        <f>H118</f>
        <v>0</v>
      </c>
      <c r="E134" s="3538"/>
      <c r="F134" s="3538"/>
      <c r="G134" s="3538"/>
      <c r="H134" s="3538"/>
      <c r="I134" s="353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4" t="str">
        <f>IF(B33="总价","（以上估价结果中楼面单价为总价除以建筑面积得出）","（以上估价结果中总价为楼面单价乘以建筑面积得出）")</f>
        <v>（以上估价结果中总价为楼面单价乘以建筑面积得出）</v>
      </c>
      <c r="B136" s="3524"/>
      <c r="C136" s="3524"/>
      <c r="D136" s="3524"/>
      <c r="E136" s="3524"/>
      <c r="F136" s="3524"/>
      <c r="G136" s="3524"/>
      <c r="H136" s="3524"/>
      <c r="I136" s="352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12537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1070330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39830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39830</v>
      </c>
      <c r="D10" s="1101">
        <f>IF('数据-取费表'!B10&lt;&gt;"住宅",IF(B1="仅计算典型户型",'数据-取费表'!E5,'数据-取费表'!B5),0)</f>
        <v>199.15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39830</v>
      </c>
      <c r="D19" s="1104">
        <f>IF(B1="仅计算典型户型",'数据-取费表'!E5,'数据-取费表'!B5)</f>
        <v>199.15</v>
      </c>
      <c r="E19" s="111">
        <f>'数据-取费表'!E15</f>
        <v>200</v>
      </c>
      <c r="F19" s="112"/>
      <c r="G19" s="1446"/>
    </row>
    <row r="20" spans="1:123" s="91" customFormat="1" ht="13.5" customHeight="1">
      <c r="A20" s="120" t="s">
        <v>1702</v>
      </c>
      <c r="B20" s="89" t="s">
        <v>1703</v>
      </c>
      <c r="C20" s="99">
        <f>ROUND((C5+C19)*F20,0)</f>
        <v>22203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96145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3416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226473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226473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1578242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768221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697025</v>
      </c>
      <c r="D34" s="1096"/>
      <c r="E34" s="115"/>
      <c r="F34" s="1107" t="str">
        <f>IF('数据-取费表'!B26=0,"",'数据-取费表'!E20)</f>
        <v/>
      </c>
      <c r="G34" s="95"/>
    </row>
    <row r="35" spans="1:123" ht="13.5" customHeight="1">
      <c r="A35" s="92" t="s">
        <v>1685</v>
      </c>
      <c r="B35" s="93" t="s">
        <v>1734</v>
      </c>
      <c r="C35" s="115">
        <f>ROUND(C34*F35,0)</f>
        <v>20911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39830</v>
      </c>
      <c r="D37" s="1096">
        <f>IF(B1="仅计算典型户型",'数据-取费表'!E5,'数据-取费表'!B5)</f>
        <v>199.15</v>
      </c>
      <c r="E37" s="115">
        <f>'数据-取费表'!E23</f>
        <v>200</v>
      </c>
      <c r="F37" s="1108"/>
      <c r="G37" s="124" t="s">
        <v>1739</v>
      </c>
    </row>
    <row r="38" spans="1:123" ht="13.5" customHeight="1">
      <c r="A38" s="92" t="s">
        <v>1740</v>
      </c>
      <c r="B38" s="93" t="s">
        <v>1741</v>
      </c>
      <c r="C38" s="115">
        <f>ROUND(C34*F38,0)</f>
        <v>10455</v>
      </c>
      <c r="D38" s="115"/>
      <c r="E38" s="115"/>
      <c r="F38" s="1108">
        <f>'数据-取费表'!E24</f>
        <v>1.4999999999999999E-2</v>
      </c>
      <c r="G38" s="95" t="s">
        <v>1735</v>
      </c>
    </row>
    <row r="39" spans="1:123" s="91" customFormat="1" ht="13.5" customHeight="1">
      <c r="A39" s="120" t="s">
        <v>1700</v>
      </c>
      <c r="B39" s="89" t="s">
        <v>1703</v>
      </c>
      <c r="C39" s="99">
        <f>ROUND(C33*F20,0)</f>
        <v>15364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32910</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32265</v>
      </c>
      <c r="D42" s="104"/>
      <c r="E42" s="104"/>
      <c r="F42" s="105"/>
      <c r="G42" s="3569" t="s">
        <v>1745</v>
      </c>
    </row>
    <row r="43" spans="1:123" ht="13.5" customHeight="1">
      <c r="A43" s="92" t="s">
        <v>1685</v>
      </c>
      <c r="B43" s="93" t="s">
        <v>1714</v>
      </c>
      <c r="C43" s="104">
        <f ca="1">ROUND(IF('数据-取费表'!B24&lt;=1,C39*F22*'数据-取费表'!B23/2,C39*(POWER((1+F22),'数据-取费表'!B23/2)-1)),0)</f>
        <v>645</v>
      </c>
      <c r="D43" s="104"/>
      <c r="E43" s="104"/>
      <c r="F43" s="105"/>
      <c r="G43" s="3570"/>
    </row>
    <row r="44" spans="1:123" ht="13.5" customHeight="1">
      <c r="A44" s="92" t="s">
        <v>1687</v>
      </c>
      <c r="B44" s="93" t="s">
        <v>1716</v>
      </c>
      <c r="C44" s="104">
        <f ca="1">ROUND(IF('数据-取费表'!B24&lt;=1,C40*F22*'数据-取费表'!B23/2,C40*(POWER((1+F22),'数据-取费表'!B23/2)-1)),4)</f>
        <v>8.0000000000000004E-4</v>
      </c>
      <c r="D44" s="104"/>
      <c r="E44" s="104"/>
      <c r="F44" s="105"/>
      <c r="G44" s="3571"/>
    </row>
    <row r="45" spans="1:123" s="91" customFormat="1" ht="13.5" customHeight="1">
      <c r="A45" s="120" t="s">
        <v>1709</v>
      </c>
      <c r="B45" s="110" t="s">
        <v>1721</v>
      </c>
      <c r="C45" s="111">
        <f>C46</f>
        <v>156717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156717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1055659</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918423</v>
      </c>
      <c r="D51" s="99"/>
      <c r="E51" s="99"/>
      <c r="F51" s="126"/>
      <c r="G51" s="100" t="s">
        <v>1759</v>
      </c>
    </row>
    <row r="52" spans="1:123" s="88" customFormat="1" ht="16.5" thickBot="1">
      <c r="A52" s="127" t="s">
        <v>1760</v>
      </c>
      <c r="B52" s="128"/>
      <c r="C52" s="129">
        <f ca="1">C31+C51</f>
        <v>2496665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0.36799999999999999</v>
      </c>
    </row>
    <row r="57" spans="1:123">
      <c r="B57" s="135" t="s">
        <v>1763</v>
      </c>
      <c r="C57" s="137">
        <f ca="1">1-C56</f>
        <v>0.63200000000000001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-39830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-39830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-8125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-8125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39482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M28" sqref="M2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571</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28675</v>
      </c>
      <c r="C3" s="1588" t="s">
        <v>2005</v>
      </c>
      <c r="D3" s="1588">
        <f>IF(C1="仅计算典型户型",'数据-取费表'!E5,'数据-取费表'!B5)</f>
        <v>199.15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2003"/>
      <c r="Y4" s="3594" t="s">
        <v>2012</v>
      </c>
      <c r="Z4" s="3595"/>
      <c r="AA4" s="3581" t="s">
        <v>2008</v>
      </c>
      <c r="AB4" s="3600" t="s">
        <v>2009</v>
      </c>
      <c r="AC4" s="3581" t="s">
        <v>2010</v>
      </c>
    </row>
    <row r="5" spans="1:29" ht="15">
      <c r="A5" s="1596"/>
      <c r="B5" s="1597"/>
      <c r="C5" s="3577" t="s">
        <v>2013</v>
      </c>
      <c r="D5" s="3578"/>
      <c r="E5" s="3601" t="s">
        <v>2014</v>
      </c>
      <c r="F5" s="3602"/>
      <c r="G5" s="3577" t="s">
        <v>2015</v>
      </c>
      <c r="H5" s="3578"/>
      <c r="I5" s="3577" t="s">
        <v>2016</v>
      </c>
      <c r="J5" s="3578"/>
      <c r="K5" s="1894"/>
      <c r="L5" s="2915"/>
      <c r="M5" s="2916"/>
      <c r="N5" s="2916"/>
      <c r="O5" s="2916"/>
      <c r="P5" s="3590"/>
      <c r="Q5" s="3591"/>
      <c r="R5" s="3596"/>
      <c r="S5" s="3597"/>
      <c r="T5" s="3596"/>
      <c r="U5" s="3597"/>
      <c r="V5" s="3600"/>
      <c r="W5" s="3600"/>
      <c r="X5" s="2003"/>
      <c r="Y5" s="3596"/>
      <c r="Z5" s="3597"/>
      <c r="AA5" s="3582"/>
      <c r="AB5" s="3600"/>
      <c r="AC5" s="3582"/>
    </row>
    <row r="6" spans="1:29"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2003"/>
      <c r="Y6" s="3598"/>
      <c r="Z6" s="3599"/>
      <c r="AA6" s="3583"/>
      <c r="AB6" s="3600"/>
      <c r="AC6" s="3583"/>
    </row>
    <row r="7" spans="1:29" s="1613" customFormat="1" ht="15.75" thickBot="1">
      <c r="A7" s="1601" t="s">
        <v>2019</v>
      </c>
      <c r="B7" s="1602"/>
      <c r="C7" s="1603">
        <f>'数据-取费表'!B2</f>
        <v>44736</v>
      </c>
      <c r="D7" s="1604">
        <v>100</v>
      </c>
      <c r="E7" s="1605" t="str">
        <f>Sheet1!A14</f>
        <v>2021-08-10</v>
      </c>
      <c r="F7" s="1606">
        <f>SUMIF(58:58,YEAR(E7)&amp;"-"&amp;MONTH(E7),59:59)</f>
        <v>100</v>
      </c>
      <c r="G7" s="1605" t="str">
        <f>Sheet1!A15</f>
        <v>2021-08-10</v>
      </c>
      <c r="H7" s="1604">
        <f>SUMIF(58:58,YEAR(G7)&amp;"-"&amp;MONTH(G7),59:59)</f>
        <v>100</v>
      </c>
      <c r="I7" s="1605">
        <f>C7</f>
        <v>44736</v>
      </c>
      <c r="J7" s="1604">
        <f>SUMIF(58:58,YEAR(I7)&amp;"-"&amp;MONTH(I7),59:59)</f>
        <v>100</v>
      </c>
      <c r="K7" s="1896"/>
      <c r="L7" s="2915"/>
      <c r="M7" s="2888"/>
      <c r="N7" s="2888"/>
      <c r="O7" s="2888"/>
      <c r="P7" s="3579" t="s">
        <v>2020</v>
      </c>
      <c r="Q7" s="3603"/>
      <c r="R7" s="1609" t="s">
        <v>25</v>
      </c>
      <c r="S7" s="1610">
        <f t="shared" ref="S7:S15" si="0">F7</f>
        <v>100</v>
      </c>
      <c r="T7" s="1609" t="s">
        <v>25</v>
      </c>
      <c r="U7" s="1610">
        <f t="shared" ref="U7:U15" si="1">H7</f>
        <v>100</v>
      </c>
      <c r="V7" s="1609" t="s">
        <v>25</v>
      </c>
      <c r="W7" s="1610">
        <f t="shared" ref="W7:W15" si="2">J7</f>
        <v>100</v>
      </c>
      <c r="X7" s="1611"/>
      <c r="Y7" s="3579" t="s">
        <v>2020</v>
      </c>
      <c r="Z7" s="3580"/>
      <c r="AA7" s="1612">
        <f>D7/F7</f>
        <v>1</v>
      </c>
      <c r="AB7" s="1612">
        <f>D7/H7</f>
        <v>1</v>
      </c>
      <c r="AC7" s="1612">
        <f>D7/J7</f>
        <v>1</v>
      </c>
    </row>
    <row r="8" spans="1:29" s="1613" customFormat="1" ht="15.75" thickBot="1">
      <c r="A8" s="1601" t="s">
        <v>2021</v>
      </c>
      <c r="B8" s="1602"/>
      <c r="C8" s="1614" t="s">
        <v>2022</v>
      </c>
      <c r="D8" s="1604">
        <v>100</v>
      </c>
      <c r="E8" s="3330" t="s">
        <v>3274</v>
      </c>
      <c r="F8" s="1606">
        <f>SUMIF(61:61,E8,62:62)-SUMIF(61:61,C8,62:62)+100</f>
        <v>100</v>
      </c>
      <c r="G8" s="3330" t="s">
        <v>3274</v>
      </c>
      <c r="H8" s="1604">
        <f>SUMIF(61:61,G8,62:62)-SUMIF(61:61,C8,62:62)+100</f>
        <v>100</v>
      </c>
      <c r="I8" s="3330" t="s">
        <v>3275</v>
      </c>
      <c r="J8" s="1604">
        <f>SUMIF(61:61,I8,62:62)-SUMIF(61:61,C8,62:62)+100</f>
        <v>100</v>
      </c>
      <c r="K8" s="1896"/>
      <c r="L8" s="2915"/>
      <c r="M8" s="2888"/>
      <c r="N8" s="2888"/>
      <c r="O8" s="2888"/>
      <c r="P8" s="3579" t="s">
        <v>2023</v>
      </c>
      <c r="Q8" s="3580"/>
      <c r="R8" s="1609" t="s">
        <v>25</v>
      </c>
      <c r="S8" s="1610">
        <f t="shared" si="0"/>
        <v>100</v>
      </c>
      <c r="T8" s="1609" t="s">
        <v>25</v>
      </c>
      <c r="U8" s="1610">
        <f t="shared" si="1"/>
        <v>100</v>
      </c>
      <c r="V8" s="1609" t="s">
        <v>25</v>
      </c>
      <c r="W8" s="1610">
        <f t="shared" si="2"/>
        <v>100</v>
      </c>
      <c r="X8" s="1611"/>
      <c r="Y8" s="3579" t="s">
        <v>2023</v>
      </c>
      <c r="Z8" s="3580"/>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76" t="s">
        <v>2026</v>
      </c>
      <c r="Q9" s="1994"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76"/>
      <c r="Q10" s="1994"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76"/>
      <c r="Q11" s="1994" t="str">
        <f t="shared" si="6"/>
        <v>容积率</v>
      </c>
      <c r="R11" s="1609" t="s">
        <v>25</v>
      </c>
      <c r="S11" s="1610">
        <f t="shared" si="0"/>
        <v>100</v>
      </c>
      <c r="T11" s="1609" t="s">
        <v>25</v>
      </c>
      <c r="U11" s="1610">
        <f t="shared" si="1"/>
        <v>100</v>
      </c>
      <c r="V11" s="1609" t="s">
        <v>25</v>
      </c>
      <c r="W11" s="1610">
        <f t="shared" si="2"/>
        <v>100</v>
      </c>
      <c r="X11" s="1611"/>
      <c r="Y11" s="3502"/>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76"/>
      <c r="Q12" s="1994">
        <f t="shared" si="6"/>
        <v>111</v>
      </c>
      <c r="R12" s="1609" t="s">
        <v>25</v>
      </c>
      <c r="S12" s="1610">
        <f t="shared" si="0"/>
        <v>100</v>
      </c>
      <c r="T12" s="1609" t="s">
        <v>25</v>
      </c>
      <c r="U12" s="1610">
        <f t="shared" si="1"/>
        <v>100</v>
      </c>
      <c r="V12" s="1609" t="s">
        <v>25</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76"/>
      <c r="Q13" s="1994">
        <f t="shared" si="6"/>
        <v>111</v>
      </c>
      <c r="R13" s="1609" t="s">
        <v>25</v>
      </c>
      <c r="S13" s="1610">
        <f t="shared" si="0"/>
        <v>100</v>
      </c>
      <c r="T13" s="1609" t="s">
        <v>25</v>
      </c>
      <c r="U13" s="1610">
        <f t="shared" si="1"/>
        <v>100</v>
      </c>
      <c r="V13" s="1609" t="s">
        <v>25</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76"/>
      <c r="Q14" s="1994">
        <f t="shared" si="6"/>
        <v>111</v>
      </c>
      <c r="R14" s="1609" t="s">
        <v>25</v>
      </c>
      <c r="S14" s="1610">
        <f t="shared" si="0"/>
        <v>100</v>
      </c>
      <c r="T14" s="1609" t="s">
        <v>25</v>
      </c>
      <c r="U14" s="1610">
        <f t="shared" si="1"/>
        <v>100</v>
      </c>
      <c r="V14" s="1609" t="s">
        <v>25</v>
      </c>
      <c r="W14" s="1610">
        <f t="shared" si="2"/>
        <v>100</v>
      </c>
      <c r="X14" s="1611"/>
      <c r="Y14" s="350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604" t="s">
        <v>2031</v>
      </c>
      <c r="Q15" s="2000" t="str">
        <f t="shared" si="6"/>
        <v>商业繁华度</v>
      </c>
      <c r="R15" s="1654" t="s">
        <v>25</v>
      </c>
      <c r="S15" s="1655">
        <f t="shared" si="0"/>
        <v>100</v>
      </c>
      <c r="T15" s="1654" t="s">
        <v>25</v>
      </c>
      <c r="U15" s="1655">
        <f t="shared" si="1"/>
        <v>100</v>
      </c>
      <c r="V15" s="1654" t="s">
        <v>25</v>
      </c>
      <c r="W15" s="1655">
        <f t="shared" si="2"/>
        <v>100</v>
      </c>
      <c r="X15" s="2003"/>
      <c r="Y15" s="3606" t="s">
        <v>2031</v>
      </c>
      <c r="Z15" s="2007" t="str">
        <f t="shared" si="7"/>
        <v>商业繁华度</v>
      </c>
      <c r="AA15" s="1998">
        <f t="shared" si="3"/>
        <v>1</v>
      </c>
      <c r="AB15" s="1998">
        <f t="shared" si="4"/>
        <v>1</v>
      </c>
      <c r="AC15" s="1998">
        <f t="shared" si="5"/>
        <v>1</v>
      </c>
    </row>
    <row r="16" spans="1:29" ht="15">
      <c r="A16" s="1631"/>
      <c r="B16" s="1658"/>
      <c r="C16" s="3334" t="s">
        <v>3276</v>
      </c>
      <c r="D16" s="1660"/>
      <c r="E16" s="3334" t="s">
        <v>3276</v>
      </c>
      <c r="F16" s="1662"/>
      <c r="G16" s="3334" t="s">
        <v>3276</v>
      </c>
      <c r="H16" s="1664"/>
      <c r="I16" s="3334" t="s">
        <v>3276</v>
      </c>
      <c r="J16" s="1660"/>
      <c r="K16" s="2392"/>
      <c r="L16" s="2920"/>
      <c r="M16" s="2916"/>
      <c r="N16" s="2916"/>
      <c r="O16" s="2916"/>
      <c r="P16" s="3605"/>
      <c r="Q16" s="2000"/>
      <c r="R16" s="1654"/>
      <c r="S16" s="1655"/>
      <c r="T16" s="1654"/>
      <c r="U16" s="1655"/>
      <c r="V16" s="1654"/>
      <c r="W16" s="1655"/>
      <c r="X16" s="2003"/>
      <c r="Y16" s="360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605"/>
      <c r="Q17" s="200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1672"/>
      <c r="C18" s="3335" t="s">
        <v>3276</v>
      </c>
      <c r="D18" s="1664"/>
      <c r="E18" s="3336" t="s">
        <v>3276</v>
      </c>
      <c r="F18" s="1669"/>
      <c r="G18" s="3337" t="s">
        <v>3288</v>
      </c>
      <c r="H18" s="1660"/>
      <c r="I18" s="3336" t="s">
        <v>3276</v>
      </c>
      <c r="J18" s="1660"/>
      <c r="K18" s="2392"/>
      <c r="L18" s="2920"/>
      <c r="M18" s="2916"/>
      <c r="N18" s="2916"/>
      <c r="O18" s="2916"/>
      <c r="P18" s="3605"/>
      <c r="Q18" s="2000"/>
      <c r="R18" s="1654"/>
      <c r="S18" s="1655"/>
      <c r="T18" s="1654"/>
      <c r="U18" s="1655"/>
      <c r="V18" s="1654"/>
      <c r="W18" s="1655"/>
      <c r="X18" s="2003"/>
      <c r="Y18" s="360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605"/>
      <c r="Q19" s="200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1672"/>
      <c r="C20" s="3334" t="s">
        <v>3276</v>
      </c>
      <c r="D20" s="1660"/>
      <c r="E20" s="3338" t="s">
        <v>3276</v>
      </c>
      <c r="F20" s="1662"/>
      <c r="G20" s="3339" t="s">
        <v>3276</v>
      </c>
      <c r="H20" s="1660"/>
      <c r="I20" s="3338" t="s">
        <v>3276</v>
      </c>
      <c r="J20" s="1660"/>
      <c r="K20" s="2392"/>
      <c r="L20" s="2920"/>
      <c r="M20" s="2916"/>
      <c r="N20" s="2916"/>
      <c r="O20" s="2916"/>
      <c r="P20" s="3605"/>
      <c r="Q20" s="2000"/>
      <c r="R20" s="1654"/>
      <c r="S20" s="1655"/>
      <c r="T20" s="1654"/>
      <c r="U20" s="1655"/>
      <c r="V20" s="1654"/>
      <c r="W20" s="1655"/>
      <c r="X20" s="2003"/>
      <c r="Y20" s="360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605"/>
      <c r="Q21" s="200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1679"/>
      <c r="C22" s="3335" t="s">
        <v>3289</v>
      </c>
      <c r="D22" s="1660"/>
      <c r="E22" s="3334" t="s">
        <v>3290</v>
      </c>
      <c r="F22" s="1662"/>
      <c r="G22" s="3334" t="s">
        <v>3290</v>
      </c>
      <c r="H22" s="1660"/>
      <c r="I22" s="3334" t="s">
        <v>3291</v>
      </c>
      <c r="J22" s="1660"/>
      <c r="K22" s="2393"/>
      <c r="L22" s="2920"/>
      <c r="M22" s="2916"/>
      <c r="N22" s="2916"/>
      <c r="O22" s="2916"/>
      <c r="P22" s="3605"/>
      <c r="Q22" s="2000"/>
      <c r="R22" s="1654"/>
      <c r="S22" s="1655"/>
      <c r="T22" s="1654"/>
      <c r="U22" s="1655"/>
      <c r="V22" s="1654"/>
      <c r="W22" s="1655"/>
      <c r="X22" s="2003"/>
      <c r="Y22" s="360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605"/>
      <c r="Q23" s="2000" t="str">
        <f>B23</f>
        <v>自然及人文环境</v>
      </c>
      <c r="R23" s="1654" t="s">
        <v>25</v>
      </c>
      <c r="S23" s="1655">
        <f>F23</f>
        <v>100</v>
      </c>
      <c r="T23" s="1654" t="s">
        <v>25</v>
      </c>
      <c r="U23" s="1655">
        <f>H23</f>
        <v>100</v>
      </c>
      <c r="V23" s="1654" t="s">
        <v>25</v>
      </c>
      <c r="W23" s="1655">
        <f>J23</f>
        <v>100</v>
      </c>
      <c r="X23" s="2003"/>
      <c r="Y23" s="3607"/>
      <c r="Z23" s="2007" t="str">
        <f>Q23</f>
        <v>自然及人文环境</v>
      </c>
      <c r="AA23" s="1998">
        <f t="shared" si="3"/>
        <v>1</v>
      </c>
      <c r="AB23" s="1998">
        <f t="shared" si="4"/>
        <v>1</v>
      </c>
      <c r="AC23" s="1998">
        <f t="shared" si="5"/>
        <v>1</v>
      </c>
    </row>
    <row r="24" spans="1:29" ht="15">
      <c r="A24" s="1631"/>
      <c r="B24" s="1672"/>
      <c r="C24" s="3334" t="s">
        <v>3276</v>
      </c>
      <c r="D24" s="1660"/>
      <c r="E24" s="3338" t="s">
        <v>3276</v>
      </c>
      <c r="F24" s="1662"/>
      <c r="G24" s="3339" t="s">
        <v>3276</v>
      </c>
      <c r="H24" s="1660"/>
      <c r="I24" s="3338" t="s">
        <v>3276</v>
      </c>
      <c r="J24" s="1660"/>
      <c r="K24" s="2392"/>
      <c r="L24" s="2920"/>
      <c r="M24" s="2916"/>
      <c r="N24" s="2916"/>
      <c r="O24" s="2916"/>
      <c r="P24" s="3605"/>
      <c r="Q24" s="2000"/>
      <c r="R24" s="1654"/>
      <c r="S24" s="1655"/>
      <c r="T24" s="1654"/>
      <c r="U24" s="1655"/>
      <c r="V24" s="1654"/>
      <c r="W24" s="1655"/>
      <c r="X24" s="2003"/>
      <c r="Y24" s="360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5"/>
      <c r="Q25" s="2000" t="str">
        <f t="shared" ref="Q25:Q46" si="11">B25</f>
        <v>临街状况</v>
      </c>
      <c r="R25" s="1654" t="s">
        <v>25</v>
      </c>
      <c r="S25" s="1655">
        <f>F25</f>
        <v>100</v>
      </c>
      <c r="T25" s="1654" t="s">
        <v>25</v>
      </c>
      <c r="U25" s="1655">
        <f>H25</f>
        <v>100</v>
      </c>
      <c r="V25" s="1654" t="s">
        <v>25</v>
      </c>
      <c r="W25" s="1655">
        <f>J25</f>
        <v>100</v>
      </c>
      <c r="X25" s="2003"/>
      <c r="Y25" s="3607"/>
      <c r="Z25" s="2007" t="str">
        <f>Q25</f>
        <v>临街状况</v>
      </c>
      <c r="AA25" s="1998">
        <f t="shared" si="3"/>
        <v>1</v>
      </c>
      <c r="AB25" s="1998">
        <f t="shared" si="4"/>
        <v>1</v>
      </c>
      <c r="AC25" s="1998">
        <f t="shared" si="5"/>
        <v>1</v>
      </c>
    </row>
    <row r="26" spans="1:29" ht="15">
      <c r="A26" s="1631"/>
      <c r="B26" s="1689" t="s">
        <v>2120</v>
      </c>
      <c r="C26" s="3331" t="s">
        <v>3276</v>
      </c>
      <c r="D26" s="1640">
        <v>100</v>
      </c>
      <c r="E26" s="3331" t="s">
        <v>3277</v>
      </c>
      <c r="F26" s="1683">
        <f>SUMIF(88:88,E26,89:89)-SUMIF(88:88,C26,89:89)+100</f>
        <v>105</v>
      </c>
      <c r="G26" s="3331" t="s">
        <v>3277</v>
      </c>
      <c r="H26" s="1640">
        <f>SUMIF(88:88,G26,89:89)-SUMIF(88:88,C26,89:89)+100</f>
        <v>105</v>
      </c>
      <c r="I26" s="3331" t="s">
        <v>3277</v>
      </c>
      <c r="J26" s="1640">
        <f>SUMIF(88:88,I26,89:89)-SUMIF(88:88,C26,89:89)+100</f>
        <v>105</v>
      </c>
      <c r="K26" s="1918"/>
      <c r="L26" s="2920"/>
      <c r="M26" s="2916"/>
      <c r="N26" s="2916"/>
      <c r="O26" s="2916"/>
      <c r="P26" s="3605"/>
      <c r="Q26" s="2000" t="str">
        <f t="shared" si="11"/>
        <v>平面位置/可视性</v>
      </c>
      <c r="R26" s="1654" t="s">
        <v>25</v>
      </c>
      <c r="S26" s="1655">
        <f>F26</f>
        <v>105</v>
      </c>
      <c r="T26" s="1654" t="s">
        <v>25</v>
      </c>
      <c r="U26" s="1655">
        <f>H26</f>
        <v>105</v>
      </c>
      <c r="V26" s="1654" t="s">
        <v>25</v>
      </c>
      <c r="W26" s="1655">
        <f>J26</f>
        <v>105</v>
      </c>
      <c r="X26" s="2003"/>
      <c r="Y26" s="3607"/>
      <c r="Z26" s="2007" t="str">
        <f>Q26</f>
        <v>平面位置/可视性</v>
      </c>
      <c r="AA26" s="1998">
        <f t="shared" si="3"/>
        <v>0.95238095238095233</v>
      </c>
      <c r="AB26" s="1998">
        <f t="shared" si="4"/>
        <v>0.95238095238095233</v>
      </c>
      <c r="AC26" s="1998">
        <f t="shared" si="5"/>
        <v>0.95238095238095233</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5"/>
      <c r="Q27" s="1994" t="str">
        <f t="shared" si="11"/>
        <v>人流量</v>
      </c>
      <c r="R27" s="1609" t="s">
        <v>25</v>
      </c>
      <c r="S27" s="1610">
        <f>F27</f>
        <v>100</v>
      </c>
      <c r="T27" s="1609" t="s">
        <v>25</v>
      </c>
      <c r="U27" s="1610">
        <f>H27</f>
        <v>100</v>
      </c>
      <c r="V27" s="1609" t="s">
        <v>25</v>
      </c>
      <c r="W27" s="1610">
        <f>J27</f>
        <v>100</v>
      </c>
      <c r="X27" s="1611"/>
      <c r="Y27" s="3607"/>
      <c r="Z27" s="1622" t="str">
        <f>Q27</f>
        <v>人流量</v>
      </c>
      <c r="AA27" s="1998">
        <f>D27/F27</f>
        <v>1</v>
      </c>
      <c r="AB27" s="1998">
        <f>D27/H27</f>
        <v>1</v>
      </c>
      <c r="AC27" s="1998">
        <f>D27/J27</f>
        <v>1</v>
      </c>
    </row>
    <row r="28" spans="1:29" ht="15">
      <c r="A28" s="1631"/>
      <c r="B28" s="1624" t="s">
        <v>2122</v>
      </c>
      <c r="C28" s="3333" t="s">
        <v>3279</v>
      </c>
      <c r="D28" s="1640">
        <v>100</v>
      </c>
      <c r="E28" s="1920" t="s">
        <v>3280</v>
      </c>
      <c r="F28" s="1683">
        <f>SUMIF(92:92,E28,93:93)-SUMIF(92:92,C28,93:93)+100</f>
        <v>100</v>
      </c>
      <c r="G28" s="1920" t="s">
        <v>3280</v>
      </c>
      <c r="H28" s="1640">
        <f>SUMIF(92:92,G28,93:93)-SUMIF(92:92,C28,93:93)+100</f>
        <v>100</v>
      </c>
      <c r="I28" s="1920" t="s">
        <v>3281</v>
      </c>
      <c r="J28" s="1640">
        <f>SUMIF(92:92,I28,93:93)-SUMIF(92:92,C28,93:93)+100</f>
        <v>120</v>
      </c>
      <c r="K28" s="1918"/>
      <c r="L28" s="2920"/>
      <c r="M28" s="2916"/>
      <c r="N28" s="2916"/>
      <c r="O28" s="2916"/>
      <c r="P28" s="3605"/>
      <c r="Q28" s="2000" t="str">
        <f t="shared" si="11"/>
        <v>楼层</v>
      </c>
      <c r="R28" s="1654" t="s">
        <v>25</v>
      </c>
      <c r="S28" s="1655">
        <f t="shared" ref="S28:S46" si="12">F28</f>
        <v>100</v>
      </c>
      <c r="T28" s="1654" t="s">
        <v>25</v>
      </c>
      <c r="U28" s="1655">
        <f t="shared" ref="U28:U46" si="13">H28</f>
        <v>100</v>
      </c>
      <c r="V28" s="1654" t="s">
        <v>25</v>
      </c>
      <c r="W28" s="1655">
        <f t="shared" ref="W28:W46" si="14">J28</f>
        <v>120</v>
      </c>
      <c r="X28" s="2003"/>
      <c r="Y28" s="3607"/>
      <c r="Z28" s="2007" t="str">
        <f t="shared" ref="Z28:Z46" si="15">Q28</f>
        <v>楼层</v>
      </c>
      <c r="AA28" s="1998">
        <f t="shared" si="3"/>
        <v>1</v>
      </c>
      <c r="AB28" s="1998">
        <f t="shared" si="4"/>
        <v>1</v>
      </c>
      <c r="AC28" s="1998">
        <f t="shared" si="5"/>
        <v>0.83333333333333337</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5"/>
      <c r="Q29" s="2000">
        <f t="shared" si="11"/>
        <v>111</v>
      </c>
      <c r="R29" s="1654" t="s">
        <v>25</v>
      </c>
      <c r="S29" s="1655">
        <f t="shared" si="12"/>
        <v>100</v>
      </c>
      <c r="T29" s="1654" t="s">
        <v>25</v>
      </c>
      <c r="U29" s="1655">
        <f t="shared" si="13"/>
        <v>100</v>
      </c>
      <c r="V29" s="1654" t="s">
        <v>25</v>
      </c>
      <c r="W29" s="1655">
        <f t="shared" si="14"/>
        <v>100</v>
      </c>
      <c r="X29" s="2003"/>
      <c r="Y29" s="360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5"/>
      <c r="Q30" s="200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5"/>
      <c r="Q31" s="200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08" t="s">
        <v>2037</v>
      </c>
      <c r="Q32" s="2000" t="str">
        <f t="shared" si="11"/>
        <v>商业类型</v>
      </c>
      <c r="R32" s="1654" t="s">
        <v>25</v>
      </c>
      <c r="S32" s="1655">
        <f t="shared" si="12"/>
        <v>100</v>
      </c>
      <c r="T32" s="1654" t="s">
        <v>25</v>
      </c>
      <c r="U32" s="1655">
        <f t="shared" si="13"/>
        <v>100</v>
      </c>
      <c r="V32" s="1654" t="s">
        <v>25</v>
      </c>
      <c r="W32" s="1655">
        <f t="shared" si="14"/>
        <v>100</v>
      </c>
      <c r="X32" s="2003"/>
      <c r="Y32" s="3611" t="s">
        <v>2037</v>
      </c>
      <c r="Z32" s="2007" t="str">
        <f t="shared" si="15"/>
        <v>商业类型</v>
      </c>
      <c r="AA32" s="1998">
        <f t="shared" si="3"/>
        <v>1</v>
      </c>
      <c r="AB32" s="1998">
        <f t="shared" si="4"/>
        <v>1</v>
      </c>
      <c r="AC32" s="1998">
        <f t="shared" si="5"/>
        <v>1</v>
      </c>
    </row>
    <row r="33" spans="1:29" s="1700" customFormat="1" ht="15">
      <c r="A33" s="1693"/>
      <c r="B33" s="1624" t="s">
        <v>2038</v>
      </c>
      <c r="C33" s="1694">
        <f>D3</f>
        <v>199.15</v>
      </c>
      <c r="D33" s="1626">
        <v>100</v>
      </c>
      <c r="E33" s="1633">
        <v>171</v>
      </c>
      <c r="F33" s="1628">
        <f>LOOKUP(E33,103:103,104:104)-LOOKUP(C33,103:103,104:104)+100</f>
        <v>100</v>
      </c>
      <c r="G33" s="1632">
        <v>169</v>
      </c>
      <c r="H33" s="1626">
        <f>LOOKUP(G33,103:103,104:104)-LOOKUP(C33,103:103,104:104)+100</f>
        <v>100</v>
      </c>
      <c r="I33" s="1632">
        <v>168</v>
      </c>
      <c r="J33" s="1626">
        <f>LOOKUP(I33,103:103,104:104)-LOOKUP(C33,103:103,104:104)+100</f>
        <v>100</v>
      </c>
      <c r="K33" s="1918"/>
      <c r="L33" s="2919"/>
      <c r="M33" s="1988"/>
      <c r="N33" s="1988"/>
      <c r="O33" s="1988"/>
      <c r="P33" s="3609"/>
      <c r="Q33" s="1695" t="str">
        <f t="shared" si="11"/>
        <v>项目建筑规模</v>
      </c>
      <c r="R33" s="1696" t="s">
        <v>25</v>
      </c>
      <c r="S33" s="1697">
        <f t="shared" si="12"/>
        <v>100</v>
      </c>
      <c r="T33" s="1696" t="s">
        <v>25</v>
      </c>
      <c r="U33" s="1697">
        <f t="shared" si="13"/>
        <v>100</v>
      </c>
      <c r="V33" s="1696" t="s">
        <v>25</v>
      </c>
      <c r="W33" s="1697">
        <f t="shared" si="14"/>
        <v>100</v>
      </c>
      <c r="X33" s="1698"/>
      <c r="Y33" s="3611"/>
      <c r="Z33" s="1699" t="str">
        <f t="shared" si="15"/>
        <v>项目建筑规模</v>
      </c>
      <c r="AA33" s="1998">
        <f t="shared" si="3"/>
        <v>1</v>
      </c>
      <c r="AB33" s="1998">
        <f t="shared" si="4"/>
        <v>1</v>
      </c>
      <c r="AC33" s="1998">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9"/>
      <c r="Q34" s="2000" t="str">
        <f t="shared" si="11"/>
        <v>建筑结构</v>
      </c>
      <c r="R34" s="1654" t="s">
        <v>25</v>
      </c>
      <c r="S34" s="1655">
        <f t="shared" si="12"/>
        <v>100</v>
      </c>
      <c r="T34" s="1654" t="s">
        <v>25</v>
      </c>
      <c r="U34" s="1655">
        <f t="shared" si="13"/>
        <v>100</v>
      </c>
      <c r="V34" s="1654" t="s">
        <v>25</v>
      </c>
      <c r="W34" s="1655">
        <f t="shared" si="14"/>
        <v>100</v>
      </c>
      <c r="X34" s="2003"/>
      <c r="Y34" s="3611"/>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9"/>
      <c r="Q35" s="2000" t="str">
        <f t="shared" si="11"/>
        <v>公共部分装修</v>
      </c>
      <c r="R35" s="1654" t="s">
        <v>25</v>
      </c>
      <c r="S35" s="1655">
        <f t="shared" si="12"/>
        <v>100</v>
      </c>
      <c r="T35" s="1654" t="s">
        <v>25</v>
      </c>
      <c r="U35" s="1655">
        <f t="shared" si="13"/>
        <v>100</v>
      </c>
      <c r="V35" s="1654" t="s">
        <v>25</v>
      </c>
      <c r="W35" s="1655">
        <f t="shared" si="14"/>
        <v>100</v>
      </c>
      <c r="X35" s="2003"/>
      <c r="Y35" s="3611"/>
      <c r="Z35" s="2007" t="str">
        <f t="shared" si="15"/>
        <v>公共部分装修</v>
      </c>
      <c r="AA35" s="1998">
        <f t="shared" si="3"/>
        <v>1</v>
      </c>
      <c r="AB35" s="1998">
        <f t="shared" si="4"/>
        <v>1</v>
      </c>
      <c r="AC35" s="1998">
        <f t="shared" si="5"/>
        <v>1</v>
      </c>
    </row>
    <row r="36" spans="1:29" ht="15">
      <c r="A36" s="1701"/>
      <c r="B36" s="1624" t="s">
        <v>2125</v>
      </c>
      <c r="C36" s="1705">
        <v>0.87</v>
      </c>
      <c r="D36" s="1640">
        <v>100</v>
      </c>
      <c r="E36" s="1705">
        <v>0.87</v>
      </c>
      <c r="F36" s="1683">
        <f>LOOKUP(E36,110:110,111:111)-LOOKUP(C36,110:110,111:111)+100</f>
        <v>100</v>
      </c>
      <c r="G36" s="1705">
        <v>0.87</v>
      </c>
      <c r="H36" s="1683">
        <f>LOOKUP(G36,110:110,111:111)-LOOKUP(C36,110:110,111:111)+100</f>
        <v>100</v>
      </c>
      <c r="I36" s="1705">
        <v>0.87</v>
      </c>
      <c r="J36" s="1640">
        <f>LOOKUP(I36,110:110,111:111)-LOOKUP(C36,110:110,111:111)+100</f>
        <v>100</v>
      </c>
      <c r="K36" s="1921"/>
      <c r="L36" s="2920"/>
      <c r="M36" s="2916"/>
      <c r="N36" s="2916"/>
      <c r="O36" s="2916"/>
      <c r="P36" s="3609"/>
      <c r="Q36" s="2000" t="str">
        <f t="shared" si="11"/>
        <v>成新度</v>
      </c>
      <c r="R36" s="1654" t="s">
        <v>25</v>
      </c>
      <c r="S36" s="1655">
        <f t="shared" si="12"/>
        <v>100</v>
      </c>
      <c r="T36" s="1654" t="s">
        <v>25</v>
      </c>
      <c r="U36" s="1655">
        <f t="shared" si="13"/>
        <v>100</v>
      </c>
      <c r="V36" s="1654" t="s">
        <v>25</v>
      </c>
      <c r="W36" s="1655">
        <f t="shared" si="14"/>
        <v>100</v>
      </c>
      <c r="X36" s="2003"/>
      <c r="Y36" s="3611"/>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9"/>
      <c r="Q37" s="1994" t="str">
        <f t="shared" si="11"/>
        <v>市政基础设施</v>
      </c>
      <c r="R37" s="1609" t="s">
        <v>25</v>
      </c>
      <c r="S37" s="1610">
        <f t="shared" si="12"/>
        <v>100</v>
      </c>
      <c r="T37" s="1609" t="s">
        <v>25</v>
      </c>
      <c r="U37" s="1610">
        <f t="shared" si="13"/>
        <v>100</v>
      </c>
      <c r="V37" s="1609" t="s">
        <v>25</v>
      </c>
      <c r="W37" s="1610">
        <f t="shared" si="14"/>
        <v>100</v>
      </c>
      <c r="X37" s="1611"/>
      <c r="Y37" s="3611"/>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9" t="s">
        <v>2037</v>
      </c>
      <c r="Q38" s="2000" t="str">
        <f t="shared" si="11"/>
        <v>业态</v>
      </c>
      <c r="R38" s="1654" t="s">
        <v>25</v>
      </c>
      <c r="S38" s="1655">
        <f t="shared" si="12"/>
        <v>100</v>
      </c>
      <c r="T38" s="1654" t="s">
        <v>25</v>
      </c>
      <c r="U38" s="1655">
        <f t="shared" si="13"/>
        <v>100</v>
      </c>
      <c r="V38" s="1654" t="s">
        <v>25</v>
      </c>
      <c r="W38" s="1655">
        <f t="shared" si="14"/>
        <v>100</v>
      </c>
      <c r="X38" s="2003"/>
      <c r="Y38" s="3611"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9"/>
      <c r="Q39" s="2000" t="str">
        <f t="shared" si="11"/>
        <v>层高</v>
      </c>
      <c r="R39" s="1654" t="s">
        <v>25</v>
      </c>
      <c r="S39" s="1655">
        <f t="shared" si="12"/>
        <v>100</v>
      </c>
      <c r="T39" s="1654" t="s">
        <v>25</v>
      </c>
      <c r="U39" s="1655">
        <f t="shared" si="13"/>
        <v>100</v>
      </c>
      <c r="V39" s="1654" t="s">
        <v>25</v>
      </c>
      <c r="W39" s="1655">
        <f t="shared" si="14"/>
        <v>100</v>
      </c>
      <c r="X39" s="2003"/>
      <c r="Y39" s="3611"/>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9"/>
      <c r="Q40" s="2000" t="str">
        <f t="shared" si="11"/>
        <v>单套建筑面积</v>
      </c>
      <c r="R40" s="1654" t="s">
        <v>25</v>
      </c>
      <c r="S40" s="1655">
        <f t="shared" si="12"/>
        <v>100</v>
      </c>
      <c r="T40" s="1654" t="s">
        <v>25</v>
      </c>
      <c r="U40" s="1655">
        <f t="shared" si="13"/>
        <v>100</v>
      </c>
      <c r="V40" s="1654" t="s">
        <v>25</v>
      </c>
      <c r="W40" s="1655">
        <f t="shared" si="14"/>
        <v>100</v>
      </c>
      <c r="X40" s="2003"/>
      <c r="Y40" s="3611"/>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9"/>
      <c r="Q41" s="1695" t="str">
        <f t="shared" si="11"/>
        <v>进深比</v>
      </c>
      <c r="R41" s="1696" t="s">
        <v>25</v>
      </c>
      <c r="S41" s="1697">
        <f t="shared" si="12"/>
        <v>100</v>
      </c>
      <c r="T41" s="1696" t="s">
        <v>25</v>
      </c>
      <c r="U41" s="1697">
        <f t="shared" si="13"/>
        <v>100</v>
      </c>
      <c r="V41" s="1696" t="s">
        <v>25</v>
      </c>
      <c r="W41" s="1697">
        <f t="shared" si="14"/>
        <v>100</v>
      </c>
      <c r="X41" s="1698"/>
      <c r="Y41" s="3611"/>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9"/>
      <c r="Q42" s="2000" t="str">
        <f t="shared" si="11"/>
        <v>内部装修</v>
      </c>
      <c r="R42" s="1654" t="s">
        <v>25</v>
      </c>
      <c r="S42" s="1655">
        <f t="shared" si="12"/>
        <v>100</v>
      </c>
      <c r="T42" s="1654" t="s">
        <v>25</v>
      </c>
      <c r="U42" s="1655">
        <f t="shared" si="13"/>
        <v>100</v>
      </c>
      <c r="V42" s="1654" t="s">
        <v>25</v>
      </c>
      <c r="W42" s="1655">
        <f t="shared" si="14"/>
        <v>100</v>
      </c>
      <c r="X42" s="2003"/>
      <c r="Y42" s="3611"/>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9"/>
      <c r="Q43" s="2000" t="str">
        <f t="shared" si="11"/>
        <v>内部装修维护情况</v>
      </c>
      <c r="R43" s="1654" t="s">
        <v>25</v>
      </c>
      <c r="S43" s="1655">
        <f t="shared" si="12"/>
        <v>100</v>
      </c>
      <c r="T43" s="1654" t="s">
        <v>25</v>
      </c>
      <c r="U43" s="1655">
        <f t="shared" si="13"/>
        <v>100</v>
      </c>
      <c r="V43" s="1654" t="s">
        <v>25</v>
      </c>
      <c r="W43" s="1655">
        <f t="shared" si="14"/>
        <v>100</v>
      </c>
      <c r="X43" s="2003"/>
      <c r="Y43" s="361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9"/>
      <c r="Q44" s="1994">
        <f t="shared" si="11"/>
        <v>111</v>
      </c>
      <c r="R44" s="1609" t="s">
        <v>25</v>
      </c>
      <c r="S44" s="1610">
        <f t="shared" si="12"/>
        <v>100</v>
      </c>
      <c r="T44" s="1609" t="s">
        <v>25</v>
      </c>
      <c r="U44" s="1610">
        <f t="shared" si="13"/>
        <v>100</v>
      </c>
      <c r="V44" s="1609" t="s">
        <v>25</v>
      </c>
      <c r="W44" s="1610">
        <f t="shared" si="14"/>
        <v>100</v>
      </c>
      <c r="X44" s="1611"/>
      <c r="Y44" s="361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9"/>
      <c r="Q45" s="2000">
        <f t="shared" si="11"/>
        <v>111</v>
      </c>
      <c r="R45" s="1654" t="s">
        <v>25</v>
      </c>
      <c r="S45" s="1655">
        <f t="shared" si="12"/>
        <v>100</v>
      </c>
      <c r="T45" s="1654" t="s">
        <v>25</v>
      </c>
      <c r="U45" s="1655">
        <f t="shared" si="13"/>
        <v>100</v>
      </c>
      <c r="V45" s="1654" t="s">
        <v>25</v>
      </c>
      <c r="W45" s="1655">
        <f t="shared" si="14"/>
        <v>100</v>
      </c>
      <c r="X45" s="2003"/>
      <c r="Y45" s="361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0"/>
      <c r="Q46" s="2000">
        <f t="shared" si="11"/>
        <v>111</v>
      </c>
      <c r="R46" s="1654" t="s">
        <v>25</v>
      </c>
      <c r="S46" s="1655">
        <f t="shared" si="12"/>
        <v>100</v>
      </c>
      <c r="T46" s="1654" t="s">
        <v>25</v>
      </c>
      <c r="U46" s="1655">
        <f t="shared" si="13"/>
        <v>100</v>
      </c>
      <c r="V46" s="1654" t="s">
        <v>25</v>
      </c>
      <c r="W46" s="1655">
        <f t="shared" si="14"/>
        <v>100</v>
      </c>
      <c r="X46" s="2003"/>
      <c r="Y46" s="3612"/>
      <c r="Z46" s="2007">
        <f t="shared" si="15"/>
        <v>111</v>
      </c>
      <c r="AA46" s="1998">
        <f t="shared" si="3"/>
        <v>1</v>
      </c>
      <c r="AB46" s="1998">
        <f t="shared" si="4"/>
        <v>1</v>
      </c>
      <c r="AC46" s="1998">
        <f t="shared" si="5"/>
        <v>1</v>
      </c>
    </row>
    <row r="47" spans="1:29" ht="15">
      <c r="A47" s="1710" t="s">
        <v>2049</v>
      </c>
      <c r="B47" s="1711"/>
      <c r="C47" s="1712" t="s">
        <v>1</v>
      </c>
      <c r="D47" s="1713"/>
      <c r="E47" s="1714">
        <v>30300</v>
      </c>
      <c r="F47" s="1715"/>
      <c r="G47" s="1716">
        <v>30277</v>
      </c>
      <c r="H47" s="1717"/>
      <c r="I47" s="1714">
        <v>35700</v>
      </c>
      <c r="J47" s="1717"/>
      <c r="K47" s="1942"/>
      <c r="L47" s="2921"/>
      <c r="N47" s="2916"/>
      <c r="P47" s="3613" t="str">
        <f>A47</f>
        <v>成交单价（元/平方米）</v>
      </c>
      <c r="Q47" s="3613"/>
      <c r="R47" s="3614">
        <f>E47</f>
        <v>30300</v>
      </c>
      <c r="S47" s="3614"/>
      <c r="T47" s="3614">
        <f>G47</f>
        <v>30277</v>
      </c>
      <c r="U47" s="3614"/>
      <c r="V47" s="3614">
        <f>I47</f>
        <v>35700</v>
      </c>
      <c r="W47" s="3614"/>
      <c r="X47" s="1720"/>
      <c r="Y47" s="2002"/>
      <c r="Z47" s="1720"/>
      <c r="AA47" s="1720"/>
      <c r="AB47" s="1720"/>
      <c r="AC47" s="1720"/>
    </row>
    <row r="48" spans="1:29" ht="15.75" thickBot="1">
      <c r="A48" s="1722" t="s">
        <v>2132</v>
      </c>
      <c r="B48" s="1723"/>
      <c r="C48" s="1724">
        <f>R49</f>
        <v>28675</v>
      </c>
      <c r="D48" s="1725" t="s">
        <v>2503</v>
      </c>
      <c r="E48" s="1726">
        <f>R48</f>
        <v>28857</v>
      </c>
      <c r="F48" s="1727"/>
      <c r="G48" s="1724">
        <f>T48</f>
        <v>28835</v>
      </c>
      <c r="H48" s="1727"/>
      <c r="I48" s="1726">
        <f>V48</f>
        <v>28333</v>
      </c>
      <c r="J48" s="1727"/>
      <c r="K48" s="2429">
        <f>F48+H48+J48</f>
        <v>0</v>
      </c>
      <c r="L48" s="2921"/>
      <c r="N48" s="2916"/>
      <c r="P48" s="3613" t="str">
        <f>A48</f>
        <v>比较价值（元/平方米）</v>
      </c>
      <c r="Q48" s="3613"/>
      <c r="R48" s="3614">
        <f>IF(E1="售价",ROUND(PRODUCT(R47,AA7:AA46),0),ROUND(PRODUCT(R47,AA7:AA46),1))</f>
        <v>28857</v>
      </c>
      <c r="S48" s="3614"/>
      <c r="T48" s="3614">
        <f>IF(E1="售价",ROUND(PRODUCT(T47,AB7:AB46),0),ROUND(PRODUCT(T47,AB7:AB46),1))</f>
        <v>28835</v>
      </c>
      <c r="U48" s="3614"/>
      <c r="V48" s="3614">
        <f>IF(E1="售价",ROUND(PRODUCT(V47,AC7:AC46),0),ROUND(PRODUCT(V47,AC7:AC46),1))</f>
        <v>28333</v>
      </c>
      <c r="W48" s="3614"/>
      <c r="X48" s="1720"/>
      <c r="Y48" s="1720"/>
      <c r="Z48" s="1720"/>
      <c r="AA48" s="1720"/>
      <c r="AB48" s="1720"/>
      <c r="AC48" s="1720"/>
    </row>
    <row r="49" spans="1:29" ht="15.75" thickBot="1">
      <c r="A49" s="1728" t="s">
        <v>2133</v>
      </c>
      <c r="B49" s="1729"/>
      <c r="C49" s="1731">
        <f>R49</f>
        <v>28675</v>
      </c>
      <c r="D49" s="1731"/>
      <c r="E49" s="1731"/>
      <c r="F49" s="1731"/>
      <c r="G49" s="1731"/>
      <c r="H49" s="1731"/>
      <c r="I49" s="1731"/>
      <c r="J49" s="1731"/>
      <c r="K49" s="1947"/>
      <c r="L49" s="2921"/>
      <c r="N49" s="2916"/>
      <c r="P49" s="3615" t="str">
        <f>A49</f>
        <v>估价对象XX用房的比较价值（楼面单价，元/平方米）</v>
      </c>
      <c r="Q49" s="3616"/>
      <c r="R49" s="3617">
        <f>IF(E1="售价",ROUND(IF(D48="简单平均",AVERAGE(R48:V48),R48*F48+T48*H48+V48*J48),0),ROUND(IF(D48="简单平均",AVERAGE(R48:V48),R48*F48+T48*H48+V48*J48),1))</f>
        <v>28675</v>
      </c>
      <c r="S49" s="3617"/>
      <c r="T49" s="3617"/>
      <c r="U49" s="3617"/>
      <c r="V49" s="3617"/>
      <c r="W49" s="3617"/>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5.0005198045534938E-2</v>
      </c>
      <c r="F52" s="1738" t="str">
        <f>IF(OR(E52&gt;=0.3,E52&lt;=-0.3),"超过30%","")</f>
        <v/>
      </c>
      <c r="G52" s="1737">
        <f>IF(G47&lt;G48,G48/G47-1,G47/G48-1)</f>
        <v>5.0008670019074053E-2</v>
      </c>
      <c r="H52" s="1738" t="str">
        <f>IF(OR(G52&gt;=0.3,G52&lt;=-0.3),"超过30%","")</f>
        <v/>
      </c>
      <c r="I52" s="1737">
        <f>IF(I47&lt;I48,I48/I47-1,I47/I48-1)</f>
        <v>0.26001482370380824</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7.6296167851563901E-4</v>
      </c>
      <c r="F53" s="1738" t="str">
        <f>IF(OR(E53&gt;=0.2,E53&lt;=-0.2),"超过20%","")</f>
        <v/>
      </c>
      <c r="G53" s="1737">
        <f>IF(G48&lt;I48,I48/G48-1,G48/I48-1)</f>
        <v>1.7717855504182367E-2</v>
      </c>
      <c r="H53" s="1738" t="str">
        <f>IF(OR(G53&gt;=0.2,G53&lt;=-0.2),"超过20%","")</f>
        <v/>
      </c>
      <c r="I53" s="1737">
        <f>IF(I48&lt;E48,E48/I48-1,I48/E48-1)</f>
        <v>1.8494335227473346E-2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7.5965254153320672E-4</v>
      </c>
      <c r="F54" s="1738" t="str">
        <f>IF(OR(E54&gt;=0.3,E54&lt;=-0.3),"超过30%","")</f>
        <v/>
      </c>
      <c r="G54" s="1737">
        <f>IF(G47&lt;I47,I47/G47-1,G47/I47-1)</f>
        <v>0.17911285794497478</v>
      </c>
      <c r="H54" s="1738" t="str">
        <f>IF(OR(G54&gt;=0.3,G54&lt;=-0.3),"超过30%","")</f>
        <v/>
      </c>
      <c r="I54" s="1737">
        <f>IF(I47&lt;E47,E47/I47-1,I47/E47-1)</f>
        <v>0.17821782178217815</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v>100</v>
      </c>
      <c r="E59" s="1760">
        <v>100</v>
      </c>
      <c r="F59" s="1760">
        <v>100</v>
      </c>
      <c r="G59" s="1760">
        <v>100</v>
      </c>
      <c r="H59" s="1760">
        <v>100</v>
      </c>
      <c r="I59" s="1760">
        <v>100</v>
      </c>
      <c r="J59" s="1760">
        <v>100</v>
      </c>
      <c r="K59" s="1760">
        <v>100</v>
      </c>
      <c r="L59" s="1760">
        <v>100</v>
      </c>
      <c r="M59" s="1760">
        <v>100</v>
      </c>
      <c r="N59" s="1760">
        <v>100</v>
      </c>
      <c r="O59" s="1760">
        <v>100</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32" t="s">
        <v>3278</v>
      </c>
      <c r="D88" s="3332" t="s">
        <v>3276</v>
      </c>
      <c r="E88" s="468"/>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t="s">
        <v>3282</v>
      </c>
      <c r="D92" s="468" t="s">
        <v>3283</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150</v>
      </c>
      <c r="G103" s="1830">
        <v>200</v>
      </c>
      <c r="H103" s="1830">
        <v>250</v>
      </c>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4" sqref="G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382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19181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262010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261683</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199.15</v>
      </c>
      <c r="G7" s="909"/>
      <c r="H7" s="237"/>
      <c r="I7" s="238"/>
      <c r="J7" s="239"/>
      <c r="K7" s="240"/>
      <c r="L7" s="235" t="s">
        <v>1777</v>
      </c>
      <c r="M7" s="236">
        <f>IF('数据-取费表'!B42="",IF(D1="仅计算典型户型",'数据-取费表'!E5,'数据-取费表'!B5),'数据-取费表'!B42)</f>
        <v>199.15</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327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918423</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697025</v>
      </c>
      <c r="D14" s="1256" t="s">
        <v>1795</v>
      </c>
      <c r="E14" s="1257"/>
      <c r="F14" s="757"/>
      <c r="G14" s="910"/>
      <c r="H14" s="253" t="s">
        <v>1774</v>
      </c>
      <c r="I14" s="235" t="s">
        <v>1796</v>
      </c>
      <c r="J14" s="13">
        <f ca="1">C29</f>
        <v>1055659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20911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19425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39830</v>
      </c>
      <c r="D17" s="235" t="s">
        <v>1809</v>
      </c>
      <c r="E17" s="235" t="s">
        <v>1810</v>
      </c>
      <c r="F17" s="15">
        <f>'数据-取费表'!E23</f>
        <v>200</v>
      </c>
      <c r="G17" s="910"/>
      <c r="H17" s="253" t="s">
        <v>1811</v>
      </c>
      <c r="I17" s="235" t="s">
        <v>1812</v>
      </c>
      <c r="J17" s="2745">
        <f ca="1">ROUND(IF(AND(项目基本情况!B7="自然人",项目基本情况!B6="北京市"),J6*M17/(1+'数据-取费表'!F30),J18+J19+J20),0)</f>
        <v>8868</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10455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768221</v>
      </c>
      <c r="D19" s="33" t="s">
        <v>1820</v>
      </c>
      <c r="E19" s="1261"/>
      <c r="F19" s="15"/>
      <c r="G19" s="910"/>
      <c r="H19" s="253" t="s">
        <v>1797</v>
      </c>
      <c r="I19" s="235" t="s">
        <v>1821</v>
      </c>
      <c r="J19" s="13">
        <f ca="1">IF(项目基本情况!B7="自然人","——",IF(K19="按租金收入计税",ROUND(J6*M19/(1+'数据-取费表'!F30),0),ROUND(C29*M19*0.7,0)))</f>
        <v>8868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15364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10557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32910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-19425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156717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1055659</v>
      </c>
      <c r="D29" s="1034"/>
      <c r="E29" s="1032"/>
      <c r="F29" s="1035"/>
      <c r="G29" s="652"/>
      <c r="H29" s="271" t="s">
        <v>24</v>
      </c>
      <c r="I29" s="272" t="s">
        <v>1869</v>
      </c>
      <c r="J29" s="273">
        <f ca="1">ROUND(J26/(1+F40)^F41,0)</f>
        <v>0</v>
      </c>
      <c r="K29" s="274" t="s">
        <v>1870</v>
      </c>
      <c r="L29" s="275"/>
      <c r="M29" s="276">
        <f>IF(D1="仅计算典型户型",'数据-取费表'!E5,'数据-取费表'!B5)</f>
        <v>199.15</v>
      </c>
    </row>
    <row r="30" spans="1:37" ht="18" customHeight="1" thickTop="1">
      <c r="A30" s="1021" t="s">
        <v>14</v>
      </c>
      <c r="B30" s="1022" t="s">
        <v>1871</v>
      </c>
      <c r="C30" s="243">
        <f ca="1">ROUND(C31+C36+C37+C38,0)</f>
        <v>57958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43863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13956</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29907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68882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10557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918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2620</v>
      </c>
      <c r="D38" s="1034" t="s">
        <v>1846</v>
      </c>
      <c r="E38" s="1032" t="s">
        <v>1842</v>
      </c>
      <c r="F38" s="1027">
        <f>'数据-取费表'!B47</f>
        <v>0.01</v>
      </c>
      <c r="G38" s="652"/>
      <c r="H38" s="901"/>
      <c r="I38" s="280" t="s">
        <v>1884</v>
      </c>
      <c r="J38" s="136">
        <f ca="1">ROUND(J34/C39,3)</f>
        <v>0.33800000000000002</v>
      </c>
      <c r="K38" s="906"/>
      <c r="L38" s="901"/>
      <c r="M38" s="901"/>
    </row>
    <row r="39" spans="1:18" ht="18" customHeight="1" thickTop="1">
      <c r="A39" s="1021" t="s">
        <v>22</v>
      </c>
      <c r="B39" s="1036" t="s">
        <v>1885</v>
      </c>
      <c r="C39" s="243">
        <f ca="1">C5-C30</f>
        <v>204052</v>
      </c>
      <c r="D39" s="1037" t="s">
        <v>1886</v>
      </c>
      <c r="E39" s="1038"/>
      <c r="F39" s="1039"/>
      <c r="G39" s="652"/>
      <c r="H39" s="901"/>
      <c r="I39" s="280" t="s">
        <v>1887</v>
      </c>
      <c r="J39" s="136">
        <f ca="1">1-J38</f>
        <v>0.66199999999999992</v>
      </c>
      <c r="K39" s="906"/>
      <c r="L39" s="901"/>
      <c r="M39" s="901"/>
    </row>
    <row r="40" spans="1:18" s="652" customFormat="1" ht="18" customHeight="1">
      <c r="A40" s="232" t="s">
        <v>23</v>
      </c>
      <c r="B40" s="233" t="s">
        <v>1888</v>
      </c>
      <c r="C40" s="234">
        <f ca="1">ROUND(C39*(1-((1+F42)/(1+F40))^F41)/(F40-F42),0)</f>
        <v>3781522</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31.15</v>
      </c>
      <c r="H41" s="908"/>
      <c r="I41" s="135" t="s">
        <v>1762</v>
      </c>
      <c r="J41" s="136">
        <f ca="1">ROUND(C13/C40,3)</f>
        <v>0.24299999999999999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0.75700000000000001</v>
      </c>
      <c r="K42" s="905"/>
      <c r="L42" s="908"/>
      <c r="M42" s="908"/>
      <c r="Q42" s="656"/>
    </row>
    <row r="43" spans="1:18" s="652" customFormat="1" ht="18" customHeight="1" thickBot="1">
      <c r="A43" s="271" t="s">
        <v>24</v>
      </c>
      <c r="B43" s="272" t="s">
        <v>1891</v>
      </c>
      <c r="C43" s="273">
        <f ca="1">ROUND(C40/F43,0)</f>
        <v>18988</v>
      </c>
      <c r="D43" s="274" t="s">
        <v>1892</v>
      </c>
      <c r="E43" s="275" t="s">
        <v>1893</v>
      </c>
      <c r="F43" s="276">
        <f>IF(D1="仅计算典型户型",'数据-取费表'!E5,'数据-取费表'!B5)</f>
        <v>199.15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3781522</v>
      </c>
      <c r="R45" s="1008" t="s">
        <v>1900</v>
      </c>
    </row>
    <row r="46" spans="1:18" s="652" customFormat="1" ht="18" customHeight="1" thickBot="1">
      <c r="A46" s="649"/>
      <c r="D46" s="649"/>
      <c r="E46" s="649"/>
      <c r="F46" s="649"/>
      <c r="K46" s="653"/>
      <c r="O46" s="1005" t="s">
        <v>768</v>
      </c>
      <c r="P46" s="1006" t="s">
        <v>1901</v>
      </c>
      <c r="Q46" s="1007">
        <f ca="1">J61</f>
        <v>38409</v>
      </c>
      <c r="R46" s="1008" t="s">
        <v>1902</v>
      </c>
    </row>
    <row r="47" spans="1:18" s="652" customFormat="1" ht="21.75" thickBot="1">
      <c r="A47" s="1455" t="s">
        <v>1903</v>
      </c>
      <c r="C47" s="950">
        <f ca="1">IF(C2="元",C69-C40,ROUND((C69-C40)/10000,0))</f>
        <v>-518</v>
      </c>
      <c r="D47" s="1456" t="str">
        <f>C2</f>
        <v>万元</v>
      </c>
      <c r="E47" s="649"/>
      <c r="F47" s="649"/>
      <c r="I47" s="1457" t="s">
        <v>1904</v>
      </c>
      <c r="J47" s="981"/>
      <c r="K47" s="982"/>
      <c r="L47" s="995">
        <f ca="1">IF(M48="住宅",0,IF(L49&gt;J52,L61,J61))</f>
        <v>38409</v>
      </c>
      <c r="O47" s="1009" t="s">
        <v>769</v>
      </c>
      <c r="P47" s="1006" t="s">
        <v>1905</v>
      </c>
      <c r="Q47" s="1007">
        <f ca="1">C29</f>
        <v>1055659</v>
      </c>
      <c r="R47" s="1008" t="s">
        <v>1900</v>
      </c>
    </row>
    <row r="48" spans="1:18" s="652" customFormat="1" ht="15.75" thickBot="1">
      <c r="A48" s="228" t="s">
        <v>1906</v>
      </c>
      <c r="B48" s="229" t="s">
        <v>1907</v>
      </c>
      <c r="C48" s="229" t="s">
        <v>1908</v>
      </c>
      <c r="D48" s="229" t="s">
        <v>1909</v>
      </c>
      <c r="E48" s="944" t="s">
        <v>1910</v>
      </c>
      <c r="F48" s="945"/>
      <c r="I48" s="1458" t="s">
        <v>1911</v>
      </c>
      <c r="J48" s="1459" t="s">
        <v>3284</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3285</v>
      </c>
      <c r="K49" s="1463" t="s">
        <v>1916</v>
      </c>
      <c r="L49" s="821">
        <f>'数据-取费表'!B13</f>
        <v>31.15</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31.15</v>
      </c>
      <c r="R50" s="1008" t="s">
        <v>1923</v>
      </c>
    </row>
    <row r="51" spans="1:18" s="652" customFormat="1" ht="15.75" thickBot="1">
      <c r="A51" s="237"/>
      <c r="B51" s="238"/>
      <c r="C51" s="239"/>
      <c r="D51" s="240"/>
      <c r="E51" s="255" t="s">
        <v>1777</v>
      </c>
      <c r="F51" s="943">
        <f>F7</f>
        <v>199.15</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382</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63332011</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31.15</v>
      </c>
      <c r="K54" s="3618" t="s">
        <v>2460</v>
      </c>
      <c r="L54" s="3619"/>
      <c r="O54" s="1005" t="s">
        <v>767</v>
      </c>
      <c r="P54" s="1006" t="s">
        <v>1899</v>
      </c>
      <c r="Q54" s="1007">
        <f ca="1">C40+J29</f>
        <v>3781522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0.34799999999999998</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918423</v>
      </c>
      <c r="D57" s="941"/>
      <c r="E57" s="942"/>
      <c r="F57" s="949"/>
      <c r="I57" s="1475" t="s">
        <v>1936</v>
      </c>
      <c r="J57" s="993" t="s">
        <v>3272</v>
      </c>
      <c r="K57" s="1461" t="s">
        <v>1937</v>
      </c>
      <c r="L57" s="821" t="str">
        <f>IF(L49&lt;J52,"——",L49-J52)</f>
        <v>——</v>
      </c>
      <c r="O57" s="1009" t="s">
        <v>770</v>
      </c>
      <c r="P57" s="1006" t="s">
        <v>1938</v>
      </c>
      <c r="Q57" s="1010">
        <f>L53</f>
        <v>0</v>
      </c>
      <c r="R57" s="1008"/>
    </row>
    <row r="58" spans="1:18" s="652" customFormat="1" ht="29.25" thickBot="1">
      <c r="A58" s="948"/>
      <c r="B58" s="235" t="s">
        <v>1868</v>
      </c>
      <c r="C58" s="104">
        <f ca="1">C29</f>
        <v>1055659</v>
      </c>
      <c r="D58" s="941"/>
      <c r="E58" s="942"/>
      <c r="F58" s="949"/>
      <c r="I58" s="1476" t="s">
        <v>1939</v>
      </c>
      <c r="J58" s="992">
        <f>IF(OR(M48="住宅",J52&lt;L49,J57="是"),"——",J52-L49)</f>
        <v>20.85</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100150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88675</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422264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378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38409</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88675</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3781522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10557</v>
      </c>
      <c r="D65" s="1259" t="s">
        <v>1881</v>
      </c>
      <c r="E65" s="235" t="s">
        <v>1825</v>
      </c>
      <c r="F65" s="265">
        <f t="shared" si="0"/>
        <v>0.01</v>
      </c>
      <c r="I65" s="1479" t="s">
        <v>1961</v>
      </c>
      <c r="J65" s="1251">
        <v>50</v>
      </c>
      <c r="K65" s="1251">
        <v>35</v>
      </c>
      <c r="L65" s="1251">
        <v>60</v>
      </c>
      <c r="M65" s="1250">
        <v>0</v>
      </c>
      <c r="O65" s="1009" t="s">
        <v>769</v>
      </c>
      <c r="P65" s="1006" t="s">
        <v>1935</v>
      </c>
      <c r="Q65" s="1011">
        <f ca="1">L52</f>
        <v>63332011</v>
      </c>
      <c r="R65" s="1012" t="s">
        <v>1962</v>
      </c>
    </row>
    <row r="66" spans="1:18" s="652" customFormat="1" ht="20.25" thickBot="1">
      <c r="A66" s="253" t="s">
        <v>20</v>
      </c>
      <c r="B66" s="235" t="s">
        <v>1840</v>
      </c>
      <c r="C66" s="13">
        <f ca="1">ROUND(C57*F66,0)</f>
        <v>918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135170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204052</v>
      </c>
      <c r="R67" s="1008" t="s">
        <v>1900</v>
      </c>
    </row>
    <row r="68" spans="1:18" ht="15.75" thickBot="1">
      <c r="A68" s="248" t="s">
        <v>22</v>
      </c>
      <c r="B68" s="41" t="s">
        <v>1850</v>
      </c>
      <c r="C68" s="250">
        <f ca="1">C49-C59</f>
        <v>-100150</v>
      </c>
      <c r="D68" s="1256" t="s">
        <v>1851</v>
      </c>
      <c r="E68" s="1258"/>
      <c r="F68" s="268"/>
      <c r="H68" s="652"/>
      <c r="I68" s="652"/>
      <c r="J68" s="652"/>
      <c r="K68" s="652"/>
      <c r="L68" s="652"/>
      <c r="M68" s="652"/>
      <c r="O68" s="1009" t="s">
        <v>776</v>
      </c>
      <c r="P68" s="1013" t="s">
        <v>1966</v>
      </c>
      <c r="Q68" s="1007">
        <f ca="1">C13</f>
        <v>918423</v>
      </c>
      <c r="R68" s="1008" t="s">
        <v>1900</v>
      </c>
    </row>
    <row r="69" spans="1:18" ht="15.75" thickBot="1">
      <c r="A69" s="232" t="s">
        <v>23</v>
      </c>
      <c r="B69" s="233" t="s">
        <v>1888</v>
      </c>
      <c r="C69" s="234">
        <f ca="1">ROUND(C68*(1-((1+F71)/(1+F69))^F70)/(F69-F71),0)</f>
        <v>-1397384</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31.15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-7017</v>
      </c>
      <c r="D72" s="274" t="s">
        <v>1892</v>
      </c>
      <c r="E72" s="275" t="s">
        <v>1893</v>
      </c>
      <c r="F72" s="276">
        <f>F43</f>
        <v>199.15</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378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6" t="s">
        <v>2653</v>
      </c>
      <c r="K2" s="3627"/>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8" t="s">
        <v>2663</v>
      </c>
      <c r="K3" s="3629"/>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8" t="s">
        <v>2665</v>
      </c>
      <c r="K4" s="3629"/>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34" t="s">
        <v>2669</v>
      </c>
      <c r="B6" s="3635"/>
      <c r="C6" s="3636"/>
      <c r="D6" s="3154"/>
      <c r="E6" s="3098"/>
      <c r="F6" s="3099"/>
      <c r="G6" s="3199"/>
      <c r="H6" s="3185"/>
      <c r="I6" s="3186"/>
      <c r="J6" s="3620">
        <v>1</v>
      </c>
      <c r="K6" s="3621"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0"/>
      <c r="K7" s="3622"/>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7" t="s">
        <v>2682</v>
      </c>
      <c r="C8" s="3638"/>
      <c r="D8" s="3108" t="s">
        <v>2683</v>
      </c>
      <c r="E8" s="3109" t="s">
        <v>2684</v>
      </c>
      <c r="F8" s="3092" t="s">
        <v>2685</v>
      </c>
      <c r="G8" s="3262" t="s">
        <v>2793</v>
      </c>
      <c r="H8" s="3185"/>
      <c r="I8" s="3186"/>
      <c r="J8" s="3620"/>
      <c r="K8" s="3622"/>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7" t="s">
        <v>2687</v>
      </c>
      <c r="C9" s="3638"/>
      <c r="D9" s="3108">
        <f>ROUND(D6*E9,0)</f>
        <v>0</v>
      </c>
      <c r="E9" s="3155"/>
      <c r="F9" s="3110" t="s">
        <v>2688</v>
      </c>
      <c r="G9" s="3208" t="s">
        <v>2791</v>
      </c>
      <c r="H9" s="3185"/>
      <c r="I9" s="3186"/>
      <c r="J9" s="3620"/>
      <c r="K9" s="3622"/>
      <c r="L9" s="3203" t="s">
        <v>2781</v>
      </c>
      <c r="M9" s="3204"/>
      <c r="N9" s="3204"/>
      <c r="O9" s="3205"/>
      <c r="P9" s="3205"/>
      <c r="Q9" s="3206">
        <v>365</v>
      </c>
      <c r="R9" s="3207">
        <f t="shared" si="0"/>
        <v>0</v>
      </c>
      <c r="S9" s="3183"/>
      <c r="T9" s="3183"/>
      <c r="U9" s="3183"/>
      <c r="V9" s="3186"/>
      <c r="W9" s="3185"/>
    </row>
    <row r="10" spans="1:23" s="3091" customFormat="1" ht="13.15" customHeight="1">
      <c r="A10" s="3107">
        <v>2</v>
      </c>
      <c r="B10" s="3637" t="s">
        <v>2689</v>
      </c>
      <c r="C10" s="3638"/>
      <c r="D10" s="3108">
        <f>ROUND(D6*E10,0)</f>
        <v>0</v>
      </c>
      <c r="E10" s="3155"/>
      <c r="F10" s="3110" t="s">
        <v>2690</v>
      </c>
      <c r="G10" s="3208" t="s">
        <v>2792</v>
      </c>
      <c r="H10" s="3185"/>
      <c r="I10" s="3186"/>
      <c r="J10" s="3620"/>
      <c r="K10" s="3622"/>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7" t="s">
        <v>2691</v>
      </c>
      <c r="C11" s="3638"/>
      <c r="D11" s="3108">
        <f>D12+D14+D15+D16</f>
        <v>0</v>
      </c>
      <c r="E11" s="3111" t="e">
        <f>D11/D6</f>
        <v>#DIV/0!</v>
      </c>
      <c r="F11" s="3092"/>
      <c r="G11" s="3208"/>
      <c r="H11" s="3185"/>
      <c r="I11" s="3186"/>
      <c r="J11" s="3620"/>
      <c r="K11" s="3622"/>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0" t="s">
        <v>2693</v>
      </c>
      <c r="C12" s="3631"/>
      <c r="D12" s="3113">
        <f>ROUND(D13*1.2%*(1-30%),0)</f>
        <v>0</v>
      </c>
      <c r="E12" s="3114">
        <v>1.2E-2</v>
      </c>
      <c r="F12" s="3092" t="s">
        <v>2694</v>
      </c>
      <c r="G12" s="3208"/>
      <c r="H12" s="3185"/>
      <c r="I12" s="3186"/>
      <c r="J12" s="3620"/>
      <c r="K12" s="3622"/>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0"/>
      <c r="K13" s="3622"/>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0" t="s">
        <v>2697</v>
      </c>
      <c r="C14" s="3631"/>
      <c r="D14" s="3113">
        <f>ROUND(E14*B5/10000,0)</f>
        <v>0</v>
      </c>
      <c r="E14" s="3157"/>
      <c r="F14" s="3092" t="s">
        <v>2698</v>
      </c>
      <c r="G14" s="3208"/>
      <c r="H14" s="3185"/>
      <c r="I14" s="3186"/>
      <c r="J14" s="3620"/>
      <c r="K14" s="3623"/>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0" t="s">
        <v>2701</v>
      </c>
      <c r="C15" s="3631"/>
      <c r="D15" s="3113">
        <f>ROUND(D6*E15,0)</f>
        <v>0</v>
      </c>
      <c r="E15" s="3114">
        <v>5.5E-2</v>
      </c>
      <c r="F15" s="3092" t="s">
        <v>2702</v>
      </c>
      <c r="G15" s="3208"/>
      <c r="H15" s="3185"/>
      <c r="I15" s="3186"/>
      <c r="J15" s="3620">
        <v>2</v>
      </c>
      <c r="K15" s="3621"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0" t="s">
        <v>2712</v>
      </c>
      <c r="C16" s="3631"/>
      <c r="D16" s="3158">
        <f>D6*E16</f>
        <v>0</v>
      </c>
      <c r="E16" s="3159"/>
      <c r="F16" s="3110" t="s">
        <v>2713</v>
      </c>
      <c r="G16" s="3208"/>
      <c r="H16" s="3185"/>
      <c r="I16" s="3186"/>
      <c r="J16" s="3620"/>
      <c r="K16" s="3622"/>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2" t="s">
        <v>2714</v>
      </c>
      <c r="C17" s="3633"/>
      <c r="D17" s="3119">
        <f>ROUND(D6*E17,0)</f>
        <v>0</v>
      </c>
      <c r="E17" s="3160"/>
      <c r="F17" s="3120" t="s">
        <v>2715</v>
      </c>
      <c r="G17" s="3261">
        <v>0.1</v>
      </c>
      <c r="H17" s="3185"/>
      <c r="I17" s="3186"/>
      <c r="J17" s="3620"/>
      <c r="K17" s="3622"/>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0"/>
      <c r="K18" s="3622"/>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0"/>
      <c r="K19" s="3623"/>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0">
        <v>3</v>
      </c>
      <c r="K20" s="3621"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0"/>
      <c r="K21" s="3622"/>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0"/>
      <c r="K22" s="3622"/>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0"/>
      <c r="K23" s="3622"/>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0"/>
      <c r="K24" s="3623"/>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4">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6" t="s">
        <v>2751</v>
      </c>
      <c r="K32" s="3627"/>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8" t="s">
        <v>2755</v>
      </c>
      <c r="K33" s="3629"/>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8" t="s">
        <v>2757</v>
      </c>
      <c r="K34" s="362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0">
        <v>1</v>
      </c>
      <c r="K36" s="3621"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0"/>
      <c r="K37" s="3622"/>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0"/>
      <c r="K38" s="3622"/>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0"/>
      <c r="K39" s="3622"/>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0"/>
      <c r="K40" s="3623"/>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4">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2" t="s">
        <v>1973</v>
      </c>
      <c r="D4" s="3643"/>
      <c r="E4" s="3643"/>
      <c r="F4" s="3643"/>
      <c r="G4" s="3643"/>
      <c r="H4" s="3643"/>
      <c r="I4" s="3643"/>
      <c r="J4" s="3643"/>
      <c r="K4" s="3643"/>
      <c r="L4" s="3643"/>
      <c r="M4" s="3643"/>
      <c r="N4" s="3643"/>
      <c r="O4" s="3643"/>
      <c r="P4" s="3643"/>
      <c r="Q4" s="3643"/>
      <c r="R4" s="3643"/>
      <c r="S4" s="364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9" t="s">
        <v>45</v>
      </c>
      <c r="D25" s="3640"/>
      <c r="E25" s="3640"/>
      <c r="F25" s="3640"/>
      <c r="G25" s="3640"/>
      <c r="H25" s="3640"/>
      <c r="I25" s="3640"/>
      <c r="J25" s="3640"/>
      <c r="K25" s="3640"/>
      <c r="L25" s="3640"/>
      <c r="M25" s="3640"/>
      <c r="N25" s="3640"/>
      <c r="O25" s="3640"/>
      <c r="P25" s="3640"/>
      <c r="Q25" s="364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199.15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4" t="s">
        <v>2007</v>
      </c>
      <c r="D4" s="3585"/>
      <c r="E4" s="3586" t="s">
        <v>2008</v>
      </c>
      <c r="F4" s="3587"/>
      <c r="G4" s="3584" t="s">
        <v>2009</v>
      </c>
      <c r="H4" s="3585"/>
      <c r="I4" s="3584" t="s">
        <v>2010</v>
      </c>
      <c r="J4" s="3585"/>
      <c r="K4" s="1593" t="s">
        <v>2011</v>
      </c>
      <c r="L4" s="2915"/>
      <c r="M4" s="2916"/>
      <c r="N4" s="2916"/>
      <c r="O4" s="2916"/>
      <c r="P4" s="3588" t="s">
        <v>2012</v>
      </c>
      <c r="Q4" s="3589"/>
      <c r="R4" s="3594" t="s">
        <v>2008</v>
      </c>
      <c r="S4" s="3595"/>
      <c r="T4" s="3594" t="s">
        <v>2009</v>
      </c>
      <c r="U4" s="3595"/>
      <c r="V4" s="3600" t="s">
        <v>2010</v>
      </c>
      <c r="W4" s="3600"/>
      <c r="X4" s="1594"/>
      <c r="Y4" s="3594" t="s">
        <v>2012</v>
      </c>
      <c r="Z4" s="3595"/>
      <c r="AA4" s="3581" t="s">
        <v>2008</v>
      </c>
      <c r="AB4" s="3581" t="s">
        <v>2009</v>
      </c>
      <c r="AC4" s="3581" t="s">
        <v>2010</v>
      </c>
    </row>
    <row r="5" spans="1:29" ht="15">
      <c r="A5" s="1596"/>
      <c r="B5" s="1597"/>
      <c r="C5" s="3577" t="s">
        <v>2013</v>
      </c>
      <c r="D5" s="3578"/>
      <c r="E5" s="3601" t="s">
        <v>2014</v>
      </c>
      <c r="F5" s="3602"/>
      <c r="G5" s="3577" t="s">
        <v>2015</v>
      </c>
      <c r="H5" s="3578"/>
      <c r="I5" s="3577" t="s">
        <v>2016</v>
      </c>
      <c r="J5" s="3578"/>
      <c r="K5" s="1598"/>
      <c r="L5" s="2915"/>
      <c r="M5" s="2916"/>
      <c r="N5" s="2916"/>
      <c r="O5" s="2916"/>
      <c r="P5" s="3590"/>
      <c r="Q5" s="3591"/>
      <c r="R5" s="3596"/>
      <c r="S5" s="3597"/>
      <c r="T5" s="3596"/>
      <c r="U5" s="3597"/>
      <c r="V5" s="3600"/>
      <c r="W5" s="3600"/>
      <c r="X5" s="1594"/>
      <c r="Y5" s="3596"/>
      <c r="Z5" s="3597"/>
      <c r="AA5" s="3582"/>
      <c r="AB5" s="3582"/>
      <c r="AC5" s="3582"/>
    </row>
    <row r="6" spans="1:29" ht="15.75" thickBot="1">
      <c r="A6" s="1599"/>
      <c r="B6" s="1600"/>
      <c r="C6" s="3574" t="s">
        <v>2017</v>
      </c>
      <c r="D6" s="3575"/>
      <c r="E6" s="3572" t="s">
        <v>2017</v>
      </c>
      <c r="F6" s="3573"/>
      <c r="G6" s="3574" t="s">
        <v>2017</v>
      </c>
      <c r="H6" s="3575"/>
      <c r="I6" s="3574" t="s">
        <v>2017</v>
      </c>
      <c r="J6" s="3575"/>
      <c r="K6" s="1598" t="s">
        <v>2018</v>
      </c>
      <c r="L6" s="2915"/>
      <c r="M6" s="2916"/>
      <c r="N6" s="2916"/>
      <c r="O6" s="2916"/>
      <c r="P6" s="3592"/>
      <c r="Q6" s="3593"/>
      <c r="R6" s="3596"/>
      <c r="S6" s="3597"/>
      <c r="T6" s="3598"/>
      <c r="U6" s="3599"/>
      <c r="V6" s="3600"/>
      <c r="W6" s="3600"/>
      <c r="X6" s="1594"/>
      <c r="Y6" s="3598"/>
      <c r="Z6" s="3599"/>
      <c r="AA6" s="3583"/>
      <c r="AB6" s="3583"/>
      <c r="AC6" s="3583"/>
    </row>
    <row r="7" spans="1:29" s="1613" customFormat="1" ht="15.75" thickBot="1">
      <c r="A7" s="1601" t="s">
        <v>2019</v>
      </c>
      <c r="B7" s="1602"/>
      <c r="C7" s="1603">
        <f>'数据-取费表'!B2</f>
        <v>44736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9" t="s">
        <v>2020</v>
      </c>
      <c r="Q7" s="3603"/>
      <c r="R7" s="1609" t="s">
        <v>34</v>
      </c>
      <c r="S7" s="1610">
        <f t="shared" ref="S7:S15" si="0">F7</f>
        <v>0</v>
      </c>
      <c r="T7" s="1609" t="s">
        <v>34</v>
      </c>
      <c r="U7" s="1610">
        <f t="shared" ref="U7:U15" si="1">H7</f>
        <v>0</v>
      </c>
      <c r="V7" s="1609" t="s">
        <v>34</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9" t="s">
        <v>2023</v>
      </c>
      <c r="Q8" s="3580"/>
      <c r="R8" s="1609" t="s">
        <v>34</v>
      </c>
      <c r="S8" s="1610">
        <f t="shared" si="0"/>
        <v>0</v>
      </c>
      <c r="T8" s="1609" t="s">
        <v>34</v>
      </c>
      <c r="U8" s="1610">
        <f t="shared" si="1"/>
        <v>0</v>
      </c>
      <c r="V8" s="1609" t="s">
        <v>34</v>
      </c>
      <c r="W8" s="1610">
        <f t="shared" si="2"/>
        <v>0</v>
      </c>
      <c r="X8" s="1611"/>
      <c r="Y8" s="3579" t="s">
        <v>2023</v>
      </c>
      <c r="Z8" s="358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76" t="s">
        <v>2026</v>
      </c>
      <c r="Q9" s="156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76"/>
      <c r="Q10" s="1563"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76"/>
      <c r="Q11" s="1563" t="str">
        <f t="shared" si="6"/>
        <v>容积率</v>
      </c>
      <c r="R11" s="1609" t="s">
        <v>28</v>
      </c>
      <c r="S11" s="1610" t="e">
        <f t="shared" si="0"/>
        <v>#N/A</v>
      </c>
      <c r="T11" s="1609" t="s">
        <v>28</v>
      </c>
      <c r="U11" s="1610" t="e">
        <f t="shared" si="1"/>
        <v>#N/A</v>
      </c>
      <c r="V11" s="1609" t="s">
        <v>28</v>
      </c>
      <c r="W11" s="1610" t="e">
        <f t="shared" si="2"/>
        <v>#N/A</v>
      </c>
      <c r="X11" s="1611"/>
      <c r="Y11" s="350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76"/>
      <c r="Q12" s="1563">
        <f t="shared" si="6"/>
        <v>111</v>
      </c>
      <c r="R12" s="1609" t="s">
        <v>28</v>
      </c>
      <c r="S12" s="1610">
        <f t="shared" si="0"/>
        <v>100</v>
      </c>
      <c r="T12" s="1609" t="s">
        <v>28</v>
      </c>
      <c r="U12" s="1610">
        <f t="shared" si="1"/>
        <v>100</v>
      </c>
      <c r="V12" s="1609" t="s">
        <v>28</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76"/>
      <c r="Q13" s="1563">
        <f t="shared" si="6"/>
        <v>111</v>
      </c>
      <c r="R13" s="1609" t="s">
        <v>28</v>
      </c>
      <c r="S13" s="1610">
        <f t="shared" si="0"/>
        <v>100</v>
      </c>
      <c r="T13" s="1609" t="s">
        <v>28</v>
      </c>
      <c r="U13" s="1610">
        <f t="shared" si="1"/>
        <v>100</v>
      </c>
      <c r="V13" s="1609" t="s">
        <v>28</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76"/>
      <c r="Q14" s="1563">
        <f t="shared" si="6"/>
        <v>111</v>
      </c>
      <c r="R14" s="1609" t="s">
        <v>28</v>
      </c>
      <c r="S14" s="1610">
        <f t="shared" si="0"/>
        <v>100</v>
      </c>
      <c r="T14" s="1609" t="s">
        <v>28</v>
      </c>
      <c r="U14" s="1610">
        <f t="shared" si="1"/>
        <v>100</v>
      </c>
      <c r="V14" s="1609" t="s">
        <v>28</v>
      </c>
      <c r="W14" s="1610">
        <f t="shared" si="2"/>
        <v>100</v>
      </c>
      <c r="X14" s="1611"/>
      <c r="Y14" s="350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4" t="s">
        <v>2031</v>
      </c>
      <c r="Q15" s="1544" t="str">
        <f t="shared" si="6"/>
        <v>居住社区成熟度</v>
      </c>
      <c r="R15" s="1654" t="s">
        <v>28</v>
      </c>
      <c r="S15" s="1655">
        <f t="shared" si="0"/>
        <v>100</v>
      </c>
      <c r="T15" s="1654" t="s">
        <v>28</v>
      </c>
      <c r="U15" s="1655">
        <f t="shared" si="1"/>
        <v>100</v>
      </c>
      <c r="V15" s="1654" t="s">
        <v>28</v>
      </c>
      <c r="W15" s="1655">
        <f t="shared" si="2"/>
        <v>100</v>
      </c>
      <c r="X15" s="1594"/>
      <c r="Y15" s="360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5"/>
      <c r="Q16" s="1544"/>
      <c r="R16" s="1654"/>
      <c r="S16" s="1655"/>
      <c r="T16" s="1654"/>
      <c r="U16" s="1655"/>
      <c r="V16" s="1654"/>
      <c r="W16" s="1655"/>
      <c r="X16" s="1594"/>
      <c r="Y16" s="360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5"/>
      <c r="Q17" s="1544" t="str">
        <f>B17</f>
        <v>交通便捷度</v>
      </c>
      <c r="R17" s="1654" t="s">
        <v>28</v>
      </c>
      <c r="S17" s="1655">
        <f>F17</f>
        <v>100</v>
      </c>
      <c r="T17" s="1654" t="s">
        <v>28</v>
      </c>
      <c r="U17" s="1655">
        <f>H17</f>
        <v>100</v>
      </c>
      <c r="V17" s="1654" t="s">
        <v>28</v>
      </c>
      <c r="W17" s="1655">
        <f>J17</f>
        <v>100</v>
      </c>
      <c r="X17" s="1594"/>
      <c r="Y17" s="360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5"/>
      <c r="Q18" s="1544"/>
      <c r="R18" s="1654"/>
      <c r="S18" s="1655"/>
      <c r="T18" s="1654"/>
      <c r="U18" s="1655"/>
      <c r="V18" s="1654"/>
      <c r="W18" s="1655"/>
      <c r="X18" s="1594"/>
      <c r="Y18" s="360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5"/>
      <c r="Q19" s="1544" t="str">
        <f>B19</f>
        <v>公共配套设施</v>
      </c>
      <c r="R19" s="1654" t="s">
        <v>28</v>
      </c>
      <c r="S19" s="1655">
        <f>F19</f>
        <v>100</v>
      </c>
      <c r="T19" s="1654" t="s">
        <v>28</v>
      </c>
      <c r="U19" s="1655">
        <f>H19</f>
        <v>100</v>
      </c>
      <c r="V19" s="1654" t="s">
        <v>28</v>
      </c>
      <c r="W19" s="1655">
        <f>J19</f>
        <v>100</v>
      </c>
      <c r="X19" s="1594"/>
      <c r="Y19" s="360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5"/>
      <c r="Q20" s="1544"/>
      <c r="R20" s="1654"/>
      <c r="S20" s="1655"/>
      <c r="T20" s="1654"/>
      <c r="U20" s="1655"/>
      <c r="V20" s="1654"/>
      <c r="W20" s="1655"/>
      <c r="X20" s="1594"/>
      <c r="Y20" s="360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5"/>
      <c r="Q21" s="1544" t="str">
        <f>B21</f>
        <v>基础设施水平</v>
      </c>
      <c r="R21" s="1654" t="s">
        <v>28</v>
      </c>
      <c r="S21" s="1655">
        <f>F21</f>
        <v>100</v>
      </c>
      <c r="T21" s="1654" t="s">
        <v>28</v>
      </c>
      <c r="U21" s="1655">
        <f>H21</f>
        <v>100</v>
      </c>
      <c r="V21" s="1654" t="s">
        <v>28</v>
      </c>
      <c r="W21" s="1655">
        <f>J21</f>
        <v>100</v>
      </c>
      <c r="X21" s="1594"/>
      <c r="Y21" s="360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5"/>
      <c r="Q22" s="1544"/>
      <c r="R22" s="1654"/>
      <c r="S22" s="1655"/>
      <c r="T22" s="1654"/>
      <c r="U22" s="1655"/>
      <c r="V22" s="1654"/>
      <c r="W22" s="1655"/>
      <c r="X22" s="1594"/>
      <c r="Y22" s="360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5"/>
      <c r="Q23" s="1544" t="str">
        <f>B23</f>
        <v>自然及人文环境</v>
      </c>
      <c r="R23" s="1654" t="s">
        <v>28</v>
      </c>
      <c r="S23" s="1655">
        <f>F23</f>
        <v>100</v>
      </c>
      <c r="T23" s="1654" t="s">
        <v>28</v>
      </c>
      <c r="U23" s="1655">
        <f>H23</f>
        <v>100</v>
      </c>
      <c r="V23" s="1654" t="s">
        <v>28</v>
      </c>
      <c r="W23" s="1655">
        <f>J23</f>
        <v>100</v>
      </c>
      <c r="X23" s="1594"/>
      <c r="Y23" s="360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5"/>
      <c r="Q24" s="1544"/>
      <c r="R24" s="1654"/>
      <c r="S24" s="1655"/>
      <c r="T24" s="1654"/>
      <c r="U24" s="1655"/>
      <c r="V24" s="1654"/>
      <c r="W24" s="1655"/>
      <c r="X24" s="1594"/>
      <c r="Y24" s="360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5"/>
      <c r="Q25" s="1544" t="str">
        <f t="shared" ref="Q25:Q46" si="11">B25</f>
        <v>楼层-1</v>
      </c>
      <c r="R25" s="1654" t="s">
        <v>28</v>
      </c>
      <c r="S25" s="1655">
        <f>F25</f>
        <v>100</v>
      </c>
      <c r="T25" s="1654" t="s">
        <v>28</v>
      </c>
      <c r="U25" s="1655">
        <f>H25</f>
        <v>100</v>
      </c>
      <c r="V25" s="1654" t="s">
        <v>28</v>
      </c>
      <c r="W25" s="1655">
        <f>J25</f>
        <v>100</v>
      </c>
      <c r="X25" s="1594"/>
      <c r="Y25" s="360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5"/>
      <c r="Q26" s="1544" t="str">
        <f t="shared" si="11"/>
        <v>朝向</v>
      </c>
      <c r="R26" s="1654" t="s">
        <v>28</v>
      </c>
      <c r="S26" s="1655">
        <f>F26</f>
        <v>100</v>
      </c>
      <c r="T26" s="1654" t="s">
        <v>28</v>
      </c>
      <c r="U26" s="1655">
        <f>H26</f>
        <v>100</v>
      </c>
      <c r="V26" s="1654" t="s">
        <v>28</v>
      </c>
      <c r="W26" s="1655">
        <f>J26</f>
        <v>100</v>
      </c>
      <c r="X26" s="1594"/>
      <c r="Y26" s="360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5"/>
      <c r="Q27" s="1563" t="str">
        <f t="shared" si="11"/>
        <v>道路级别</v>
      </c>
      <c r="R27" s="1609" t="s">
        <v>28</v>
      </c>
      <c r="S27" s="1610">
        <f>F27</f>
        <v>100</v>
      </c>
      <c r="T27" s="1609" t="s">
        <v>28</v>
      </c>
      <c r="U27" s="1610">
        <f>H27</f>
        <v>100</v>
      </c>
      <c r="V27" s="1609" t="s">
        <v>28</v>
      </c>
      <c r="W27" s="1610">
        <f>J27</f>
        <v>100</v>
      </c>
      <c r="X27" s="1611"/>
      <c r="Y27" s="360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5"/>
      <c r="Q29" s="1544">
        <f t="shared" si="11"/>
        <v>111</v>
      </c>
      <c r="R29" s="1654" t="s">
        <v>28</v>
      </c>
      <c r="S29" s="1655">
        <f t="shared" si="12"/>
        <v>100</v>
      </c>
      <c r="T29" s="1654" t="s">
        <v>28</v>
      </c>
      <c r="U29" s="1655">
        <f t="shared" si="13"/>
        <v>100</v>
      </c>
      <c r="V29" s="1654" t="s">
        <v>28</v>
      </c>
      <c r="W29" s="1655">
        <f t="shared" si="14"/>
        <v>100</v>
      </c>
      <c r="X29" s="1594"/>
      <c r="Y29" s="360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5"/>
      <c r="Q30" s="1544">
        <f t="shared" si="11"/>
        <v>111</v>
      </c>
      <c r="R30" s="1654" t="s">
        <v>28</v>
      </c>
      <c r="S30" s="1655">
        <f t="shared" si="12"/>
        <v>100</v>
      </c>
      <c r="T30" s="1654" t="s">
        <v>28</v>
      </c>
      <c r="U30" s="1655">
        <f t="shared" si="13"/>
        <v>100</v>
      </c>
      <c r="V30" s="1654" t="s">
        <v>28</v>
      </c>
      <c r="W30" s="1655">
        <f t="shared" si="14"/>
        <v>100</v>
      </c>
      <c r="X30" s="1594"/>
      <c r="Y30" s="360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5"/>
      <c r="Q31" s="1544">
        <f t="shared" si="11"/>
        <v>111</v>
      </c>
      <c r="R31" s="1654" t="s">
        <v>28</v>
      </c>
      <c r="S31" s="1655">
        <f t="shared" si="12"/>
        <v>100</v>
      </c>
      <c r="T31" s="1654" t="s">
        <v>28</v>
      </c>
      <c r="U31" s="1655">
        <f t="shared" si="13"/>
        <v>100</v>
      </c>
      <c r="V31" s="1654" t="s">
        <v>28</v>
      </c>
      <c r="W31" s="1655">
        <f t="shared" si="14"/>
        <v>100</v>
      </c>
      <c r="X31" s="1594"/>
      <c r="Y31" s="360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08" t="s">
        <v>2037</v>
      </c>
      <c r="Q32" s="1544" t="str">
        <f t="shared" si="11"/>
        <v>建筑类型</v>
      </c>
      <c r="R32" s="1654" t="s">
        <v>28</v>
      </c>
      <c r="S32" s="1655">
        <f t="shared" si="12"/>
        <v>100</v>
      </c>
      <c r="T32" s="1654" t="s">
        <v>28</v>
      </c>
      <c r="U32" s="1655">
        <f t="shared" si="13"/>
        <v>100</v>
      </c>
      <c r="V32" s="1654" t="s">
        <v>28</v>
      </c>
      <c r="W32" s="1655">
        <f t="shared" si="14"/>
        <v>100</v>
      </c>
      <c r="X32" s="1594"/>
      <c r="Y32" s="3611"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9"/>
      <c r="Q33" s="1695" t="str">
        <f t="shared" si="11"/>
        <v>项目建筑规模</v>
      </c>
      <c r="R33" s="1696" t="s">
        <v>28</v>
      </c>
      <c r="S33" s="1697" t="e">
        <f t="shared" si="12"/>
        <v>#N/A</v>
      </c>
      <c r="T33" s="1696" t="s">
        <v>28</v>
      </c>
      <c r="U33" s="1697" t="e">
        <f t="shared" si="13"/>
        <v>#N/A</v>
      </c>
      <c r="V33" s="1696" t="s">
        <v>28</v>
      </c>
      <c r="W33" s="1697" t="e">
        <f t="shared" si="14"/>
        <v>#N/A</v>
      </c>
      <c r="X33" s="1698"/>
      <c r="Y33" s="3611"/>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9"/>
      <c r="Q34" s="1544" t="str">
        <f t="shared" si="11"/>
        <v>建筑结构</v>
      </c>
      <c r="R34" s="1654" t="s">
        <v>28</v>
      </c>
      <c r="S34" s="1655">
        <f t="shared" si="12"/>
        <v>100</v>
      </c>
      <c r="T34" s="1654" t="s">
        <v>28</v>
      </c>
      <c r="U34" s="1655">
        <f t="shared" si="13"/>
        <v>100</v>
      </c>
      <c r="V34" s="1654" t="s">
        <v>28</v>
      </c>
      <c r="W34" s="1655">
        <f t="shared" si="14"/>
        <v>100</v>
      </c>
      <c r="X34" s="1594"/>
      <c r="Y34" s="3611"/>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9"/>
      <c r="Q35" s="1544" t="str">
        <f t="shared" si="11"/>
        <v>建筑品质</v>
      </c>
      <c r="R35" s="1654" t="s">
        <v>28</v>
      </c>
      <c r="S35" s="1655">
        <f t="shared" si="12"/>
        <v>100</v>
      </c>
      <c r="T35" s="1654" t="s">
        <v>28</v>
      </c>
      <c r="U35" s="1655">
        <f t="shared" si="13"/>
        <v>100</v>
      </c>
      <c r="V35" s="1654" t="s">
        <v>28</v>
      </c>
      <c r="W35" s="1655">
        <f t="shared" si="14"/>
        <v>100</v>
      </c>
      <c r="X35" s="1594"/>
      <c r="Y35" s="3611"/>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9"/>
      <c r="Q36" s="1544" t="str">
        <f t="shared" si="11"/>
        <v>公共部分装修</v>
      </c>
      <c r="R36" s="1654" t="s">
        <v>28</v>
      </c>
      <c r="S36" s="1655">
        <f t="shared" si="12"/>
        <v>100</v>
      </c>
      <c r="T36" s="1654" t="s">
        <v>28</v>
      </c>
      <c r="U36" s="1655">
        <f t="shared" si="13"/>
        <v>100</v>
      </c>
      <c r="V36" s="1654" t="s">
        <v>28</v>
      </c>
      <c r="W36" s="1655">
        <f t="shared" si="14"/>
        <v>100</v>
      </c>
      <c r="X36" s="1594"/>
      <c r="Y36" s="3611"/>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9"/>
      <c r="Q37" s="1563" t="str">
        <f t="shared" si="11"/>
        <v>成新度</v>
      </c>
      <c r="R37" s="1609" t="s">
        <v>28</v>
      </c>
      <c r="S37" s="1610" t="e">
        <f t="shared" si="12"/>
        <v>#N/A</v>
      </c>
      <c r="T37" s="1609" t="s">
        <v>28</v>
      </c>
      <c r="U37" s="1610" t="e">
        <f t="shared" si="13"/>
        <v>#N/A</v>
      </c>
      <c r="V37" s="1609" t="s">
        <v>28</v>
      </c>
      <c r="W37" s="1610" t="e">
        <f t="shared" si="14"/>
        <v>#N/A</v>
      </c>
      <c r="X37" s="1611"/>
      <c r="Y37" s="3611"/>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9" t="s">
        <v>2037</v>
      </c>
      <c r="Q38" s="1544" t="str">
        <f t="shared" si="11"/>
        <v>物业管理</v>
      </c>
      <c r="R38" s="1654" t="s">
        <v>28</v>
      </c>
      <c r="S38" s="1655">
        <f t="shared" si="12"/>
        <v>100</v>
      </c>
      <c r="T38" s="1654" t="s">
        <v>28</v>
      </c>
      <c r="U38" s="1655">
        <f t="shared" si="13"/>
        <v>100</v>
      </c>
      <c r="V38" s="1654" t="s">
        <v>28</v>
      </c>
      <c r="W38" s="1655">
        <f t="shared" si="14"/>
        <v>100</v>
      </c>
      <c r="X38" s="1594"/>
      <c r="Y38" s="3611"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9"/>
      <c r="Q39" s="1544" t="str">
        <f t="shared" si="11"/>
        <v>市政基础设施</v>
      </c>
      <c r="R39" s="1654" t="s">
        <v>28</v>
      </c>
      <c r="S39" s="1655">
        <f t="shared" si="12"/>
        <v>100</v>
      </c>
      <c r="T39" s="1654" t="s">
        <v>28</v>
      </c>
      <c r="U39" s="1655">
        <f t="shared" si="13"/>
        <v>100</v>
      </c>
      <c r="V39" s="1654" t="s">
        <v>28</v>
      </c>
      <c r="W39" s="1655">
        <f t="shared" si="14"/>
        <v>100</v>
      </c>
      <c r="X39" s="1594"/>
      <c r="Y39" s="3611"/>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9"/>
      <c r="Q40" s="1544" t="str">
        <f t="shared" si="11"/>
        <v>房型</v>
      </c>
      <c r="R40" s="1654" t="s">
        <v>28</v>
      </c>
      <c r="S40" s="1655">
        <f t="shared" si="12"/>
        <v>100</v>
      </c>
      <c r="T40" s="1654" t="s">
        <v>28</v>
      </c>
      <c r="U40" s="1655">
        <f t="shared" si="13"/>
        <v>100</v>
      </c>
      <c r="V40" s="1654" t="s">
        <v>28</v>
      </c>
      <c r="W40" s="1655">
        <f t="shared" si="14"/>
        <v>100</v>
      </c>
      <c r="X40" s="1594"/>
      <c r="Y40" s="3611"/>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9"/>
      <c r="Q41" s="1695" t="str">
        <f t="shared" si="11"/>
        <v>单套/主力户型建筑面积</v>
      </c>
      <c r="R41" s="1696" t="s">
        <v>28</v>
      </c>
      <c r="S41" s="1697">
        <f t="shared" si="12"/>
        <v>100</v>
      </c>
      <c r="T41" s="1696" t="s">
        <v>28</v>
      </c>
      <c r="U41" s="1697">
        <f t="shared" si="13"/>
        <v>100</v>
      </c>
      <c r="V41" s="1696" t="s">
        <v>28</v>
      </c>
      <c r="W41" s="1697">
        <f t="shared" si="14"/>
        <v>100</v>
      </c>
      <c r="X41" s="1698"/>
      <c r="Y41" s="3611"/>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9"/>
      <c r="Q42" s="1544" t="str">
        <f t="shared" si="11"/>
        <v>内部装修</v>
      </c>
      <c r="R42" s="1654" t="s">
        <v>28</v>
      </c>
      <c r="S42" s="1655">
        <f t="shared" si="12"/>
        <v>100</v>
      </c>
      <c r="T42" s="1654" t="s">
        <v>28</v>
      </c>
      <c r="U42" s="1655">
        <f t="shared" si="13"/>
        <v>100</v>
      </c>
      <c r="V42" s="1654" t="s">
        <v>28</v>
      </c>
      <c r="W42" s="1655">
        <f t="shared" si="14"/>
        <v>100</v>
      </c>
      <c r="X42" s="1594"/>
      <c r="Y42" s="3611"/>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9"/>
      <c r="Q43" s="1544" t="str">
        <f t="shared" si="11"/>
        <v>内部装修维护情况</v>
      </c>
      <c r="R43" s="1654" t="s">
        <v>28</v>
      </c>
      <c r="S43" s="1655">
        <f t="shared" si="12"/>
        <v>100</v>
      </c>
      <c r="T43" s="1654" t="s">
        <v>28</v>
      </c>
      <c r="U43" s="1655">
        <f t="shared" si="13"/>
        <v>100</v>
      </c>
      <c r="V43" s="1654" t="s">
        <v>28</v>
      </c>
      <c r="W43" s="1655">
        <f t="shared" si="14"/>
        <v>100</v>
      </c>
      <c r="X43" s="1594"/>
      <c r="Y43" s="361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9"/>
      <c r="Q44" s="1563">
        <f t="shared" si="11"/>
        <v>111</v>
      </c>
      <c r="R44" s="1609" t="s">
        <v>28</v>
      </c>
      <c r="S44" s="1610">
        <f t="shared" si="12"/>
        <v>100</v>
      </c>
      <c r="T44" s="1609" t="s">
        <v>28</v>
      </c>
      <c r="U44" s="1610">
        <f t="shared" si="13"/>
        <v>100</v>
      </c>
      <c r="V44" s="1609" t="s">
        <v>28</v>
      </c>
      <c r="W44" s="1610">
        <f t="shared" si="14"/>
        <v>100</v>
      </c>
      <c r="X44" s="1611"/>
      <c r="Y44" s="361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9"/>
      <c r="Q45" s="1544">
        <f t="shared" si="11"/>
        <v>111</v>
      </c>
      <c r="R45" s="1654" t="s">
        <v>28</v>
      </c>
      <c r="S45" s="1655">
        <f t="shared" si="12"/>
        <v>100</v>
      </c>
      <c r="T45" s="1654" t="s">
        <v>28</v>
      </c>
      <c r="U45" s="1655">
        <f t="shared" si="13"/>
        <v>100</v>
      </c>
      <c r="V45" s="1654" t="s">
        <v>28</v>
      </c>
      <c r="W45" s="1655">
        <f t="shared" si="14"/>
        <v>100</v>
      </c>
      <c r="X45" s="1594"/>
      <c r="Y45" s="361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0"/>
      <c r="Q46" s="1544">
        <f t="shared" si="11"/>
        <v>111</v>
      </c>
      <c r="R46" s="1654" t="s">
        <v>27</v>
      </c>
      <c r="S46" s="1655">
        <f t="shared" si="12"/>
        <v>100</v>
      </c>
      <c r="T46" s="1654" t="s">
        <v>27</v>
      </c>
      <c r="U46" s="1655">
        <f t="shared" si="13"/>
        <v>100</v>
      </c>
      <c r="V46" s="1654" t="s">
        <v>27</v>
      </c>
      <c r="W46" s="1655">
        <f t="shared" si="14"/>
        <v>100</v>
      </c>
      <c r="X46" s="1594"/>
      <c r="Y46" s="3612"/>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13" t="str">
        <f>A47</f>
        <v>成交单价（元/平方米）</v>
      </c>
      <c r="Q47" s="3613"/>
      <c r="R47" s="3614">
        <f>E47</f>
        <v>0</v>
      </c>
      <c r="S47" s="3614"/>
      <c r="T47" s="3614">
        <f>G47</f>
        <v>0</v>
      </c>
      <c r="U47" s="3614"/>
      <c r="V47" s="3614">
        <f>I47</f>
        <v>0</v>
      </c>
      <c r="W47" s="361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13" t="str">
        <f>A48</f>
        <v>比较价值（元/平方米）</v>
      </c>
      <c r="Q48" s="3613"/>
      <c r="R48" s="3614" t="e">
        <f>IF(E1="售价",ROUND(PRODUCT(R47,AA7:AA46),0),ROUND(PRODUCT(R47,AA7:AA46),1))</f>
        <v>#DIV/0!</v>
      </c>
      <c r="S48" s="3614"/>
      <c r="T48" s="3645" t="e">
        <f>IF(E1="售价",ROUND(PRODUCT(T47,AB7:AB46),0),ROUND(PRODUCT(T47,AB7:AB46),1))</f>
        <v>#DIV/0!</v>
      </c>
      <c r="U48" s="3646"/>
      <c r="V48" s="3614" t="e">
        <f>IF(E1="售价",ROUND(PRODUCT(V47,AC7:AC46),0),ROUND(PRODUCT(V47,AC7:AC46),1))</f>
        <v>#DIV/0!</v>
      </c>
      <c r="W48" s="361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15" t="str">
        <f>A49</f>
        <v>估价对象XX用房的比较价值（楼面单价，元/平方米）</v>
      </c>
      <c r="Q49" s="3616"/>
      <c r="R49" s="3617" t="e">
        <f>IF(E1="售价",ROUND(IF(D48="简单平均",AVERAGE(R48:V48),R48*F48+T48*H48+V48*J48),0),ROUND(IF(D48="简单平均",AVERAGE(R48:V48),R48*F48+T48*H48+V48*J48),1))</f>
        <v>#DIV/0!</v>
      </c>
      <c r="S49" s="3617"/>
      <c r="T49" s="3617"/>
      <c r="U49" s="3617"/>
      <c r="V49" s="3617"/>
      <c r="W49" s="3617"/>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199.15</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2003"/>
      <c r="Y4" s="3594" t="s">
        <v>2012</v>
      </c>
      <c r="Z4" s="3595"/>
      <c r="AA4" s="3581" t="s">
        <v>2008</v>
      </c>
      <c r="AB4" s="3581" t="s">
        <v>2009</v>
      </c>
      <c r="AC4" s="3581" t="s">
        <v>2010</v>
      </c>
    </row>
    <row r="5" spans="1:29" ht="15">
      <c r="A5" s="1596"/>
      <c r="B5" s="1597"/>
      <c r="C5" s="3577" t="s">
        <v>2013</v>
      </c>
      <c r="D5" s="3578"/>
      <c r="E5" s="3601" t="s">
        <v>2014</v>
      </c>
      <c r="F5" s="3602"/>
      <c r="G5" s="3577" t="s">
        <v>2015</v>
      </c>
      <c r="H5" s="3578"/>
      <c r="I5" s="3577" t="s">
        <v>2016</v>
      </c>
      <c r="J5" s="3578"/>
      <c r="K5" s="1894"/>
      <c r="L5" s="2915"/>
      <c r="M5" s="2916"/>
      <c r="N5" s="2916"/>
      <c r="O5" s="2916"/>
      <c r="P5" s="3590"/>
      <c r="Q5" s="3591"/>
      <c r="R5" s="3596"/>
      <c r="S5" s="3597"/>
      <c r="T5" s="3596"/>
      <c r="U5" s="3597"/>
      <c r="V5" s="3600"/>
      <c r="W5" s="3600"/>
      <c r="X5" s="2003"/>
      <c r="Y5" s="3596"/>
      <c r="Z5" s="3597"/>
      <c r="AA5" s="3582"/>
      <c r="AB5" s="3582"/>
      <c r="AC5" s="3582"/>
    </row>
    <row r="6" spans="1:29"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2003"/>
      <c r="Y6" s="3598"/>
      <c r="Z6" s="3599"/>
      <c r="AA6" s="3583"/>
      <c r="AB6" s="3583"/>
      <c r="AC6" s="3583"/>
    </row>
    <row r="7" spans="1:29" s="1613" customFormat="1" ht="15.75" thickBot="1">
      <c r="A7" s="1601" t="s">
        <v>2019</v>
      </c>
      <c r="B7" s="1602"/>
      <c r="C7" s="1603">
        <f>'数据-取费表'!B2</f>
        <v>44736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9" t="s">
        <v>2020</v>
      </c>
      <c r="Q7" s="3603"/>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13" t="s">
        <v>2026</v>
      </c>
      <c r="Q9" s="283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13"/>
      <c r="Q10" s="2833" t="str">
        <f t="shared" si="6"/>
        <v>土地使用年限（年）</v>
      </c>
      <c r="R10" s="1609" t="s">
        <v>25</v>
      </c>
      <c r="S10" s="1610">
        <f t="shared" si="0"/>
        <v>100</v>
      </c>
      <c r="T10" s="1609" t="s">
        <v>25</v>
      </c>
      <c r="U10" s="1610">
        <f t="shared" si="1"/>
        <v>100</v>
      </c>
      <c r="V10" s="1609" t="s">
        <v>25</v>
      </c>
      <c r="W10" s="1610">
        <f t="shared" si="2"/>
        <v>100</v>
      </c>
      <c r="X10" s="1611"/>
      <c r="Y10" s="350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13"/>
      <c r="Q11" s="2833" t="str">
        <f t="shared" si="6"/>
        <v>容积率</v>
      </c>
      <c r="R11" s="1609" t="s">
        <v>25</v>
      </c>
      <c r="S11" s="1610" t="e">
        <f t="shared" si="0"/>
        <v>#N/A</v>
      </c>
      <c r="T11" s="1609" t="s">
        <v>25</v>
      </c>
      <c r="U11" s="1610" t="e">
        <f t="shared" si="1"/>
        <v>#N/A</v>
      </c>
      <c r="V11" s="1609" t="s">
        <v>25</v>
      </c>
      <c r="W11" s="1610" t="e">
        <f t="shared" si="2"/>
        <v>#N/A</v>
      </c>
      <c r="X11" s="1611"/>
      <c r="Y11" s="350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13"/>
      <c r="Q12" s="2833">
        <f t="shared" si="6"/>
        <v>111</v>
      </c>
      <c r="R12" s="1609" t="s">
        <v>25</v>
      </c>
      <c r="S12" s="1610">
        <f t="shared" si="0"/>
        <v>100</v>
      </c>
      <c r="T12" s="1609" t="s">
        <v>25</v>
      </c>
      <c r="U12" s="1610">
        <f t="shared" si="1"/>
        <v>100</v>
      </c>
      <c r="V12" s="1609" t="s">
        <v>25</v>
      </c>
      <c r="W12" s="1610">
        <f t="shared" si="2"/>
        <v>100</v>
      </c>
      <c r="X12" s="1611"/>
      <c r="Y12" s="350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13"/>
      <c r="Q13" s="2833">
        <f t="shared" si="6"/>
        <v>111</v>
      </c>
      <c r="R13" s="1609" t="s">
        <v>25</v>
      </c>
      <c r="S13" s="1610">
        <f t="shared" si="0"/>
        <v>100</v>
      </c>
      <c r="T13" s="1609" t="s">
        <v>25</v>
      </c>
      <c r="U13" s="1610">
        <f t="shared" si="1"/>
        <v>100</v>
      </c>
      <c r="V13" s="1609" t="s">
        <v>25</v>
      </c>
      <c r="W13" s="1610">
        <f t="shared" si="2"/>
        <v>100</v>
      </c>
      <c r="X13" s="1611"/>
      <c r="Y13" s="350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13"/>
      <c r="Q14" s="2833">
        <f t="shared" si="6"/>
        <v>111</v>
      </c>
      <c r="R14" s="1609" t="s">
        <v>25</v>
      </c>
      <c r="S14" s="1610">
        <f t="shared" si="0"/>
        <v>100</v>
      </c>
      <c r="T14" s="1609" t="s">
        <v>25</v>
      </c>
      <c r="U14" s="1610">
        <f t="shared" si="1"/>
        <v>100</v>
      </c>
      <c r="V14" s="1609" t="s">
        <v>25</v>
      </c>
      <c r="W14" s="1610">
        <f t="shared" si="2"/>
        <v>100</v>
      </c>
      <c r="X14" s="1611"/>
      <c r="Y14" s="350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6" t="s">
        <v>2031</v>
      </c>
      <c r="Q15" s="2834" t="str">
        <f t="shared" si="6"/>
        <v>办公集聚程度</v>
      </c>
      <c r="R15" s="1654" t="s">
        <v>25</v>
      </c>
      <c r="S15" s="1655">
        <f t="shared" si="0"/>
        <v>100</v>
      </c>
      <c r="T15" s="1654" t="s">
        <v>25</v>
      </c>
      <c r="U15" s="1655">
        <f t="shared" si="1"/>
        <v>100</v>
      </c>
      <c r="V15" s="1654" t="s">
        <v>25</v>
      </c>
      <c r="W15" s="1655">
        <f t="shared" si="2"/>
        <v>100</v>
      </c>
      <c r="X15" s="2003"/>
      <c r="Y15" s="3606"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7"/>
      <c r="Q16" s="2834"/>
      <c r="R16" s="1654"/>
      <c r="S16" s="1655"/>
      <c r="T16" s="1654"/>
      <c r="U16" s="1655"/>
      <c r="V16" s="1654"/>
      <c r="W16" s="1655"/>
      <c r="X16" s="2003"/>
      <c r="Y16" s="360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7"/>
      <c r="Q17" s="2834"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7"/>
      <c r="Q18" s="2834"/>
      <c r="R18" s="1654"/>
      <c r="S18" s="1655"/>
      <c r="T18" s="1654"/>
      <c r="U18" s="1655"/>
      <c r="V18" s="1654"/>
      <c r="W18" s="1655"/>
      <c r="X18" s="2003"/>
      <c r="Y18" s="360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7"/>
      <c r="Q19" s="2834"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7"/>
      <c r="Q20" s="2834"/>
      <c r="R20" s="1654"/>
      <c r="S20" s="1655"/>
      <c r="T20" s="1654"/>
      <c r="U20" s="1655"/>
      <c r="V20" s="1654"/>
      <c r="W20" s="1655"/>
      <c r="X20" s="2003"/>
      <c r="Y20" s="360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7"/>
      <c r="Q21" s="2834"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7"/>
      <c r="Q22" s="2834"/>
      <c r="R22" s="1654"/>
      <c r="S22" s="1655"/>
      <c r="T22" s="1654"/>
      <c r="U22" s="1655"/>
      <c r="V22" s="1654"/>
      <c r="W22" s="1655"/>
      <c r="X22" s="2003"/>
      <c r="Y22" s="360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7"/>
      <c r="Q23" s="2834" t="str">
        <f>B23</f>
        <v>环境质量</v>
      </c>
      <c r="R23" s="1654" t="s">
        <v>25</v>
      </c>
      <c r="S23" s="1655">
        <f>F23</f>
        <v>100</v>
      </c>
      <c r="T23" s="1654" t="s">
        <v>25</v>
      </c>
      <c r="U23" s="1655">
        <f>H23</f>
        <v>100</v>
      </c>
      <c r="V23" s="1654" t="s">
        <v>25</v>
      </c>
      <c r="W23" s="1655">
        <f>J23</f>
        <v>100</v>
      </c>
      <c r="X23" s="2003"/>
      <c r="Y23" s="360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7"/>
      <c r="Q24" s="2834"/>
      <c r="R24" s="1654"/>
      <c r="S24" s="1655"/>
      <c r="T24" s="1654"/>
      <c r="U24" s="1655"/>
      <c r="V24" s="1654"/>
      <c r="W24" s="1655"/>
      <c r="X24" s="2003"/>
      <c r="Y24" s="360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7"/>
      <c r="Q25" s="2834" t="str">
        <f>B25</f>
        <v>毗邻道路的类型与等级</v>
      </c>
      <c r="R25" s="1654" t="s">
        <v>25</v>
      </c>
      <c r="S25" s="1655">
        <f>F25</f>
        <v>100</v>
      </c>
      <c r="T25" s="1654" t="s">
        <v>25</v>
      </c>
      <c r="U25" s="1655">
        <f>H25</f>
        <v>100</v>
      </c>
      <c r="V25" s="1654" t="s">
        <v>25</v>
      </c>
      <c r="W25" s="1655">
        <f>J25</f>
        <v>100</v>
      </c>
      <c r="X25" s="2003"/>
      <c r="Y25" s="360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7"/>
      <c r="Q26" s="2834"/>
      <c r="R26" s="1654"/>
      <c r="S26" s="1655"/>
      <c r="T26" s="1654"/>
      <c r="U26" s="1655"/>
      <c r="V26" s="1654"/>
      <c r="W26" s="1655"/>
      <c r="X26" s="2003"/>
      <c r="Y26" s="3607"/>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7"/>
      <c r="Q27" s="2834" t="str">
        <f t="shared" ref="Q27:Q47" si="11">B27</f>
        <v>楼层</v>
      </c>
      <c r="R27" s="1654" t="s">
        <v>25</v>
      </c>
      <c r="S27" s="1655">
        <f>F27</f>
        <v>100</v>
      </c>
      <c r="T27" s="1654" t="s">
        <v>25</v>
      </c>
      <c r="U27" s="1655">
        <f>H27</f>
        <v>100</v>
      </c>
      <c r="V27" s="1654" t="s">
        <v>25</v>
      </c>
      <c r="W27" s="1655">
        <f>J27</f>
        <v>100</v>
      </c>
      <c r="X27" s="2003"/>
      <c r="Y27" s="3607"/>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7"/>
      <c r="Q28" s="2833" t="str">
        <f t="shared" si="11"/>
        <v>朝向</v>
      </c>
      <c r="R28" s="1609" t="s">
        <v>25</v>
      </c>
      <c r="S28" s="1610">
        <f>F28</f>
        <v>100</v>
      </c>
      <c r="T28" s="1609" t="s">
        <v>25</v>
      </c>
      <c r="U28" s="1610">
        <f>H28</f>
        <v>100</v>
      </c>
      <c r="V28" s="1609" t="s">
        <v>25</v>
      </c>
      <c r="W28" s="1610">
        <f>J28</f>
        <v>100</v>
      </c>
      <c r="X28" s="1611"/>
      <c r="Y28" s="360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7"/>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7"/>
      <c r="Q30" s="2834">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7"/>
      <c r="Q31" s="2834">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7"/>
      <c r="Q32" s="2834">
        <f t="shared" si="11"/>
        <v>111</v>
      </c>
      <c r="R32" s="1654" t="s">
        <v>25</v>
      </c>
      <c r="S32" s="1655">
        <f t="shared" si="12"/>
        <v>100</v>
      </c>
      <c r="T32" s="1654" t="s">
        <v>25</v>
      </c>
      <c r="U32" s="1655">
        <f t="shared" si="13"/>
        <v>100</v>
      </c>
      <c r="V32" s="1654" t="s">
        <v>25</v>
      </c>
      <c r="W32" s="1655">
        <f t="shared" si="14"/>
        <v>100</v>
      </c>
      <c r="X32" s="2003"/>
      <c r="Y32" s="3607"/>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611"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1"/>
      <c r="Q34" s="1695" t="str">
        <f t="shared" si="11"/>
        <v>项目建筑规模</v>
      </c>
      <c r="R34" s="1696" t="s">
        <v>25</v>
      </c>
      <c r="S34" s="1697" t="e">
        <f t="shared" si="12"/>
        <v>#N/A</v>
      </c>
      <c r="T34" s="1696" t="s">
        <v>25</v>
      </c>
      <c r="U34" s="1697" t="e">
        <f t="shared" si="13"/>
        <v>#N/A</v>
      </c>
      <c r="V34" s="1696" t="s">
        <v>25</v>
      </c>
      <c r="W34" s="1697" t="e">
        <f t="shared" si="14"/>
        <v>#N/A</v>
      </c>
      <c r="X34" s="1698"/>
      <c r="Y34" s="3611"/>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1"/>
      <c r="Q35" s="2834" t="str">
        <f t="shared" si="11"/>
        <v>建筑结构</v>
      </c>
      <c r="R35" s="1654" t="s">
        <v>25</v>
      </c>
      <c r="S35" s="1655">
        <f t="shared" si="12"/>
        <v>100</v>
      </c>
      <c r="T35" s="1654" t="s">
        <v>25</v>
      </c>
      <c r="U35" s="1655">
        <f t="shared" si="13"/>
        <v>100</v>
      </c>
      <c r="V35" s="1654" t="s">
        <v>25</v>
      </c>
      <c r="W35" s="1655">
        <f t="shared" si="14"/>
        <v>100</v>
      </c>
      <c r="X35" s="2003"/>
      <c r="Y35" s="3611"/>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1"/>
      <c r="Q36" s="2834" t="str">
        <f t="shared" si="11"/>
        <v>公共部分装修</v>
      </c>
      <c r="R36" s="1654" t="s">
        <v>25</v>
      </c>
      <c r="S36" s="1655">
        <f t="shared" si="12"/>
        <v>100</v>
      </c>
      <c r="T36" s="1654" t="s">
        <v>25</v>
      </c>
      <c r="U36" s="1655">
        <f t="shared" si="13"/>
        <v>100</v>
      </c>
      <c r="V36" s="1654" t="s">
        <v>25</v>
      </c>
      <c r="W36" s="1655">
        <f t="shared" si="14"/>
        <v>100</v>
      </c>
      <c r="X36" s="2003"/>
      <c r="Y36" s="3611"/>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1"/>
      <c r="Q37" s="2834" t="str">
        <f t="shared" si="11"/>
        <v>成新度</v>
      </c>
      <c r="R37" s="1654" t="s">
        <v>25</v>
      </c>
      <c r="S37" s="1655" t="e">
        <f t="shared" si="12"/>
        <v>#N/A</v>
      </c>
      <c r="T37" s="1654" t="s">
        <v>25</v>
      </c>
      <c r="U37" s="1655" t="e">
        <f t="shared" si="13"/>
        <v>#N/A</v>
      </c>
      <c r="V37" s="1654" t="s">
        <v>25</v>
      </c>
      <c r="W37" s="1655" t="e">
        <f t="shared" si="14"/>
        <v>#N/A</v>
      </c>
      <c r="X37" s="2003"/>
      <c r="Y37" s="3611"/>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1"/>
      <c r="Q38" s="2833" t="str">
        <f t="shared" si="11"/>
        <v>写字楼等级</v>
      </c>
      <c r="R38" s="1609" t="s">
        <v>25</v>
      </c>
      <c r="S38" s="1610">
        <f t="shared" si="12"/>
        <v>100</v>
      </c>
      <c r="T38" s="1609" t="s">
        <v>25</v>
      </c>
      <c r="U38" s="1610">
        <f t="shared" si="13"/>
        <v>100</v>
      </c>
      <c r="V38" s="1609" t="s">
        <v>25</v>
      </c>
      <c r="W38" s="1610">
        <f t="shared" si="14"/>
        <v>100</v>
      </c>
      <c r="X38" s="1611"/>
      <c r="Y38" s="3611"/>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1" t="s">
        <v>2037</v>
      </c>
      <c r="Q39" s="2834" t="str">
        <f t="shared" si="11"/>
        <v>物业管理</v>
      </c>
      <c r="R39" s="1654" t="s">
        <v>25</v>
      </c>
      <c r="S39" s="1655">
        <f t="shared" si="12"/>
        <v>100</v>
      </c>
      <c r="T39" s="1654" t="s">
        <v>25</v>
      </c>
      <c r="U39" s="1655">
        <f t="shared" si="13"/>
        <v>100</v>
      </c>
      <c r="V39" s="1654" t="s">
        <v>25</v>
      </c>
      <c r="W39" s="1655">
        <f t="shared" si="14"/>
        <v>100</v>
      </c>
      <c r="X39" s="2003"/>
      <c r="Y39" s="3611"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1"/>
      <c r="Q40" s="2834" t="str">
        <f t="shared" si="11"/>
        <v>市政基础设施</v>
      </c>
      <c r="R40" s="1654" t="s">
        <v>25</v>
      </c>
      <c r="S40" s="1655">
        <f t="shared" si="12"/>
        <v>100</v>
      </c>
      <c r="T40" s="1654" t="s">
        <v>25</v>
      </c>
      <c r="U40" s="1655">
        <f t="shared" si="13"/>
        <v>100</v>
      </c>
      <c r="V40" s="1654" t="s">
        <v>25</v>
      </c>
      <c r="W40" s="1655">
        <f t="shared" si="14"/>
        <v>100</v>
      </c>
      <c r="X40" s="2003"/>
      <c r="Y40" s="3611"/>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1"/>
      <c r="Q41" s="2834" t="str">
        <f t="shared" si="11"/>
        <v>层高</v>
      </c>
      <c r="R41" s="1654" t="s">
        <v>25</v>
      </c>
      <c r="S41" s="1655">
        <f t="shared" si="12"/>
        <v>100</v>
      </c>
      <c r="T41" s="1654" t="s">
        <v>25</v>
      </c>
      <c r="U41" s="1655">
        <f t="shared" si="13"/>
        <v>100</v>
      </c>
      <c r="V41" s="1654" t="s">
        <v>25</v>
      </c>
      <c r="W41" s="1655">
        <f t="shared" si="14"/>
        <v>100</v>
      </c>
      <c r="X41" s="2003"/>
      <c r="Y41" s="3611"/>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1"/>
      <c r="Q42" s="1695" t="str">
        <f t="shared" si="11"/>
        <v>单套建筑面积</v>
      </c>
      <c r="R42" s="1696" t="s">
        <v>25</v>
      </c>
      <c r="S42" s="1697">
        <f t="shared" si="12"/>
        <v>100</v>
      </c>
      <c r="T42" s="1696" t="s">
        <v>25</v>
      </c>
      <c r="U42" s="1697">
        <f t="shared" si="13"/>
        <v>100</v>
      </c>
      <c r="V42" s="1696" t="s">
        <v>25</v>
      </c>
      <c r="W42" s="1697">
        <f t="shared" si="14"/>
        <v>100</v>
      </c>
      <c r="X42" s="1698"/>
      <c r="Y42" s="3611"/>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1"/>
      <c r="Q43" s="2834" t="str">
        <f t="shared" si="11"/>
        <v>内部装修</v>
      </c>
      <c r="R43" s="1654" t="s">
        <v>25</v>
      </c>
      <c r="S43" s="1655">
        <f t="shared" si="12"/>
        <v>100</v>
      </c>
      <c r="T43" s="1654" t="s">
        <v>25</v>
      </c>
      <c r="U43" s="1655">
        <f t="shared" si="13"/>
        <v>100</v>
      </c>
      <c r="V43" s="1654" t="s">
        <v>25</v>
      </c>
      <c r="W43" s="1655">
        <f t="shared" si="14"/>
        <v>100</v>
      </c>
      <c r="X43" s="2003"/>
      <c r="Y43" s="3611"/>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1"/>
      <c r="Q44" s="2834" t="str">
        <f t="shared" si="11"/>
        <v>内部装修维护情况</v>
      </c>
      <c r="R44" s="1654" t="s">
        <v>25</v>
      </c>
      <c r="S44" s="1655">
        <f t="shared" si="12"/>
        <v>100</v>
      </c>
      <c r="T44" s="1654" t="s">
        <v>25</v>
      </c>
      <c r="U44" s="1655">
        <f t="shared" si="13"/>
        <v>100</v>
      </c>
      <c r="V44" s="1654" t="s">
        <v>25</v>
      </c>
      <c r="W44" s="1655">
        <f t="shared" si="14"/>
        <v>100</v>
      </c>
      <c r="X44" s="2003"/>
      <c r="Y44" s="361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1"/>
      <c r="Q45" s="2833">
        <f t="shared" si="11"/>
        <v>111</v>
      </c>
      <c r="R45" s="1609" t="s">
        <v>25</v>
      </c>
      <c r="S45" s="1610">
        <f t="shared" si="12"/>
        <v>100</v>
      </c>
      <c r="T45" s="1609" t="s">
        <v>25</v>
      </c>
      <c r="U45" s="1610">
        <f t="shared" si="13"/>
        <v>100</v>
      </c>
      <c r="V45" s="1609" t="s">
        <v>25</v>
      </c>
      <c r="W45" s="1610">
        <f t="shared" si="14"/>
        <v>100</v>
      </c>
      <c r="X45" s="1611"/>
      <c r="Y45" s="361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1"/>
      <c r="Q46" s="2834">
        <f t="shared" si="11"/>
        <v>111</v>
      </c>
      <c r="R46" s="1654" t="s">
        <v>25</v>
      </c>
      <c r="S46" s="1655">
        <f t="shared" si="12"/>
        <v>100</v>
      </c>
      <c r="T46" s="1654" t="s">
        <v>25</v>
      </c>
      <c r="U46" s="1655">
        <f t="shared" si="13"/>
        <v>100</v>
      </c>
      <c r="V46" s="1654" t="s">
        <v>25</v>
      </c>
      <c r="W46" s="1655">
        <f t="shared" si="14"/>
        <v>100</v>
      </c>
      <c r="X46" s="2003"/>
      <c r="Y46" s="361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2"/>
      <c r="Q47" s="2834">
        <f t="shared" si="11"/>
        <v>111</v>
      </c>
      <c r="R47" s="1654" t="s">
        <v>25</v>
      </c>
      <c r="S47" s="1655">
        <f t="shared" si="12"/>
        <v>100</v>
      </c>
      <c r="T47" s="1654" t="s">
        <v>25</v>
      </c>
      <c r="U47" s="1655">
        <f t="shared" si="13"/>
        <v>100</v>
      </c>
      <c r="V47" s="1654" t="s">
        <v>25</v>
      </c>
      <c r="W47" s="1655">
        <f t="shared" si="14"/>
        <v>100</v>
      </c>
      <c r="X47" s="2003"/>
      <c r="Y47" s="3612"/>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13" t="str">
        <f>A48</f>
        <v>成交单价（元/平方米）</v>
      </c>
      <c r="Q48" s="3613"/>
      <c r="R48" s="3614">
        <f>E48</f>
        <v>0</v>
      </c>
      <c r="S48" s="3614"/>
      <c r="T48" s="3614">
        <f>G48</f>
        <v>0</v>
      </c>
      <c r="U48" s="3614"/>
      <c r="V48" s="3614">
        <f>I48</f>
        <v>0</v>
      </c>
      <c r="W48" s="361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13" t="str">
        <f>A49</f>
        <v>比较价值（元/平方米）</v>
      </c>
      <c r="Q49" s="3613"/>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15" t="str">
        <f>A50</f>
        <v>估价对象XX用房的比较价值（楼面单价，元/平方米）</v>
      </c>
      <c r="Q50" s="3616"/>
      <c r="R50" s="3617" t="e">
        <f>IF(E1="售价",ROUND(IF(D49="简单平均",AVERAGE(R49:V49),R49*F49+T49*H49+V49*J49),0),ROUND(IF(D49="简单平均",AVERAGE(R49:V49),R49*F49+T49*H49+V49*J49),1))</f>
        <v>#DIV/0!</v>
      </c>
      <c r="S50" s="3617"/>
      <c r="T50" s="3617"/>
      <c r="U50" s="3617"/>
      <c r="V50" s="3617"/>
      <c r="W50" s="3617"/>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199.15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44736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1"/>
      <c r="Q18" s="1262"/>
      <c r="R18" s="631"/>
      <c r="S18" s="632"/>
      <c r="T18" s="631"/>
      <c r="U18" s="632"/>
      <c r="V18" s="631"/>
      <c r="W18" s="632"/>
      <c r="X18" s="1263"/>
      <c r="Y18" s="368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1"/>
      <c r="Q19" s="1262" t="str">
        <f>B19</f>
        <v>公共配套设施</v>
      </c>
      <c r="R19" s="631" t="s">
        <v>25</v>
      </c>
      <c r="S19" s="632">
        <f>F19</f>
        <v>100</v>
      </c>
      <c r="T19" s="631" t="s">
        <v>25</v>
      </c>
      <c r="U19" s="632">
        <f>H19</f>
        <v>100</v>
      </c>
      <c r="V19" s="631" t="s">
        <v>25</v>
      </c>
      <c r="W19" s="632">
        <f>J19</f>
        <v>100</v>
      </c>
      <c r="X19" s="1263"/>
      <c r="Y19" s="368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1"/>
      <c r="Q20" s="1262"/>
      <c r="R20" s="631"/>
      <c r="S20" s="632"/>
      <c r="T20" s="631"/>
      <c r="U20" s="632"/>
      <c r="V20" s="631"/>
      <c r="W20" s="632"/>
      <c r="X20" s="1263"/>
      <c r="Y20" s="368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1"/>
      <c r="Q21" s="1262" t="str">
        <f>B21</f>
        <v>基础设施水平</v>
      </c>
      <c r="R21" s="631" t="s">
        <v>25</v>
      </c>
      <c r="S21" s="632">
        <f>F21</f>
        <v>100</v>
      </c>
      <c r="T21" s="631" t="s">
        <v>25</v>
      </c>
      <c r="U21" s="632">
        <f>H21</f>
        <v>100</v>
      </c>
      <c r="V21" s="631" t="s">
        <v>25</v>
      </c>
      <c r="W21" s="632">
        <f>J21</f>
        <v>100</v>
      </c>
      <c r="X21" s="1263"/>
      <c r="Y21" s="368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1"/>
      <c r="Q22" s="1262"/>
      <c r="R22" s="631"/>
      <c r="S22" s="632"/>
      <c r="T22" s="631"/>
      <c r="U22" s="632"/>
      <c r="V22" s="631"/>
      <c r="W22" s="632"/>
      <c r="X22" s="1263"/>
      <c r="Y22" s="368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1"/>
      <c r="Q23" s="1262" t="str">
        <f>B23</f>
        <v>环境质量</v>
      </c>
      <c r="R23" s="631" t="s">
        <v>25</v>
      </c>
      <c r="S23" s="632">
        <f>F23</f>
        <v>100</v>
      </c>
      <c r="T23" s="631" t="s">
        <v>25</v>
      </c>
      <c r="U23" s="632">
        <f>H23</f>
        <v>100</v>
      </c>
      <c r="V23" s="631" t="s">
        <v>25</v>
      </c>
      <c r="W23" s="632">
        <f>J23</f>
        <v>100</v>
      </c>
      <c r="X23" s="1263"/>
      <c r="Y23" s="368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1"/>
      <c r="Q24" s="1262"/>
      <c r="R24" s="631"/>
      <c r="S24" s="632"/>
      <c r="T24" s="631"/>
      <c r="U24" s="632"/>
      <c r="V24" s="631"/>
      <c r="W24" s="632"/>
      <c r="X24" s="1263"/>
      <c r="Y24" s="368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1"/>
      <c r="Q25" s="1262">
        <f>B25</f>
        <v>111</v>
      </c>
      <c r="R25" s="631" t="s">
        <v>25</v>
      </c>
      <c r="S25" s="632">
        <f>F25</f>
        <v>100</v>
      </c>
      <c r="T25" s="631" t="s">
        <v>25</v>
      </c>
      <c r="U25" s="632">
        <f>H25</f>
        <v>100</v>
      </c>
      <c r="V25" s="631" t="s">
        <v>25</v>
      </c>
      <c r="W25" s="632">
        <f>J25</f>
        <v>100</v>
      </c>
      <c r="X25" s="1263"/>
      <c r="Y25" s="368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1"/>
      <c r="Q26" s="1262">
        <f t="shared" ref="Q26:Q40" si="11">B26</f>
        <v>111</v>
      </c>
      <c r="R26" s="631" t="s">
        <v>25</v>
      </c>
      <c r="S26" s="632">
        <f>F26</f>
        <v>100</v>
      </c>
      <c r="T26" s="631" t="s">
        <v>25</v>
      </c>
      <c r="U26" s="632">
        <f>H26</f>
        <v>100</v>
      </c>
      <c r="V26" s="631" t="s">
        <v>25</v>
      </c>
      <c r="W26" s="632">
        <f>J26</f>
        <v>100</v>
      </c>
      <c r="X26" s="1263"/>
      <c r="Y26" s="368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1"/>
      <c r="Q27" s="1255">
        <f t="shared" si="11"/>
        <v>111</v>
      </c>
      <c r="R27" s="627" t="s">
        <v>25</v>
      </c>
      <c r="S27" s="628">
        <f>F27</f>
        <v>100</v>
      </c>
      <c r="T27" s="627" t="s">
        <v>25</v>
      </c>
      <c r="U27" s="628">
        <f>H27</f>
        <v>100</v>
      </c>
      <c r="V27" s="627" t="s">
        <v>25</v>
      </c>
      <c r="W27" s="628">
        <f>J27</f>
        <v>100</v>
      </c>
      <c r="X27" s="629"/>
      <c r="Y27" s="368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1"/>
      <c r="Q28" s="1262">
        <f t="shared" si="11"/>
        <v>111</v>
      </c>
      <c r="R28" s="631" t="s">
        <v>25</v>
      </c>
      <c r="S28" s="632">
        <f t="shared" ref="S28:S40" si="12">F28</f>
        <v>100</v>
      </c>
      <c r="T28" s="631" t="s">
        <v>25</v>
      </c>
      <c r="U28" s="632">
        <f t="shared" ref="U28:U40" si="13">H28</f>
        <v>100</v>
      </c>
      <c r="V28" s="631" t="s">
        <v>25</v>
      </c>
      <c r="W28" s="632">
        <f t="shared" ref="W28:W40" si="14">J28</f>
        <v>100</v>
      </c>
      <c r="X28" s="1263"/>
      <c r="Y28" s="368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3" t="s">
        <v>2037</v>
      </c>
      <c r="Q29" s="1262" t="str">
        <f t="shared" si="11"/>
        <v>建筑类型</v>
      </c>
      <c r="R29" s="631" t="s">
        <v>25</v>
      </c>
      <c r="S29" s="632">
        <f t="shared" si="12"/>
        <v>100</v>
      </c>
      <c r="T29" s="631" t="s">
        <v>25</v>
      </c>
      <c r="U29" s="632">
        <f t="shared" si="13"/>
        <v>100</v>
      </c>
      <c r="V29" s="631" t="s">
        <v>25</v>
      </c>
      <c r="W29" s="632">
        <f t="shared" si="14"/>
        <v>100</v>
      </c>
      <c r="X29" s="1263"/>
      <c r="Y29" s="368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4"/>
      <c r="Q30" s="633" t="str">
        <f t="shared" si="11"/>
        <v>项目建筑规模</v>
      </c>
      <c r="R30" s="634" t="s">
        <v>25</v>
      </c>
      <c r="S30" s="635" t="e">
        <f t="shared" si="12"/>
        <v>#N/A</v>
      </c>
      <c r="T30" s="634" t="s">
        <v>25</v>
      </c>
      <c r="U30" s="635" t="e">
        <f t="shared" si="13"/>
        <v>#N/A</v>
      </c>
      <c r="V30" s="634" t="s">
        <v>25</v>
      </c>
      <c r="W30" s="635" t="e">
        <f t="shared" si="14"/>
        <v>#N/A</v>
      </c>
      <c r="X30" s="636"/>
      <c r="Y30" s="368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4"/>
      <c r="Q31" s="1262" t="str">
        <f t="shared" si="11"/>
        <v>建筑结构</v>
      </c>
      <c r="R31" s="631" t="s">
        <v>25</v>
      </c>
      <c r="S31" s="632">
        <f t="shared" si="12"/>
        <v>100</v>
      </c>
      <c r="T31" s="631" t="s">
        <v>25</v>
      </c>
      <c r="U31" s="632">
        <f t="shared" si="13"/>
        <v>100</v>
      </c>
      <c r="V31" s="631" t="s">
        <v>25</v>
      </c>
      <c r="W31" s="632">
        <f t="shared" si="14"/>
        <v>100</v>
      </c>
      <c r="X31" s="1263"/>
      <c r="Y31" s="368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4"/>
      <c r="Q32" s="1262" t="str">
        <f t="shared" si="11"/>
        <v>公共部分装修</v>
      </c>
      <c r="R32" s="631" t="s">
        <v>25</v>
      </c>
      <c r="S32" s="632">
        <f t="shared" si="12"/>
        <v>100</v>
      </c>
      <c r="T32" s="631" t="s">
        <v>25</v>
      </c>
      <c r="U32" s="632">
        <f t="shared" si="13"/>
        <v>100</v>
      </c>
      <c r="V32" s="631" t="s">
        <v>25</v>
      </c>
      <c r="W32" s="632">
        <f t="shared" si="14"/>
        <v>100</v>
      </c>
      <c r="X32" s="1263"/>
      <c r="Y32" s="368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4"/>
      <c r="Q33" s="1262" t="str">
        <f t="shared" si="11"/>
        <v>成新度</v>
      </c>
      <c r="R33" s="631" t="s">
        <v>25</v>
      </c>
      <c r="S33" s="632" t="e">
        <f t="shared" si="12"/>
        <v>#N/A</v>
      </c>
      <c r="T33" s="631" t="s">
        <v>25</v>
      </c>
      <c r="U33" s="632" t="e">
        <f t="shared" si="13"/>
        <v>#N/A</v>
      </c>
      <c r="V33" s="631" t="s">
        <v>25</v>
      </c>
      <c r="W33" s="632" t="e">
        <f t="shared" si="14"/>
        <v>#N/A</v>
      </c>
      <c r="X33" s="1263"/>
      <c r="Y33" s="368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4"/>
      <c r="Q34" s="1255" t="str">
        <f t="shared" si="11"/>
        <v>物业管理</v>
      </c>
      <c r="R34" s="627" t="s">
        <v>25</v>
      </c>
      <c r="S34" s="628">
        <f t="shared" si="12"/>
        <v>100</v>
      </c>
      <c r="T34" s="627" t="s">
        <v>25</v>
      </c>
      <c r="U34" s="628">
        <f t="shared" si="13"/>
        <v>100</v>
      </c>
      <c r="V34" s="627" t="s">
        <v>25</v>
      </c>
      <c r="W34" s="628">
        <f t="shared" si="14"/>
        <v>100</v>
      </c>
      <c r="X34" s="629"/>
      <c r="Y34" s="368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4" t="s">
        <v>2037</v>
      </c>
      <c r="Q35" s="1262" t="str">
        <f t="shared" si="11"/>
        <v>市政基础设施</v>
      </c>
      <c r="R35" s="631" t="s">
        <v>25</v>
      </c>
      <c r="S35" s="632">
        <f t="shared" si="12"/>
        <v>100</v>
      </c>
      <c r="T35" s="631" t="s">
        <v>25</v>
      </c>
      <c r="U35" s="632">
        <f t="shared" si="13"/>
        <v>100</v>
      </c>
      <c r="V35" s="631" t="s">
        <v>25</v>
      </c>
      <c r="W35" s="632">
        <f t="shared" si="14"/>
        <v>100</v>
      </c>
      <c r="X35" s="1263"/>
      <c r="Y35" s="368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4"/>
      <c r="Q36" s="1262" t="str">
        <f t="shared" si="11"/>
        <v>内部装修</v>
      </c>
      <c r="R36" s="631" t="s">
        <v>25</v>
      </c>
      <c r="S36" s="632">
        <f t="shared" si="12"/>
        <v>100</v>
      </c>
      <c r="T36" s="631" t="s">
        <v>25</v>
      </c>
      <c r="U36" s="632">
        <f t="shared" si="13"/>
        <v>100</v>
      </c>
      <c r="V36" s="631" t="s">
        <v>25</v>
      </c>
      <c r="W36" s="632">
        <f t="shared" si="14"/>
        <v>100</v>
      </c>
      <c r="X36" s="1263"/>
      <c r="Y36" s="368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4"/>
      <c r="Q37" s="1262" t="str">
        <f t="shared" si="11"/>
        <v>内部装修状况</v>
      </c>
      <c r="R37" s="631" t="s">
        <v>25</v>
      </c>
      <c r="S37" s="632">
        <f t="shared" si="12"/>
        <v>100</v>
      </c>
      <c r="T37" s="631" t="s">
        <v>25</v>
      </c>
      <c r="U37" s="632">
        <f t="shared" si="13"/>
        <v>100</v>
      </c>
      <c r="V37" s="631" t="s">
        <v>25</v>
      </c>
      <c r="W37" s="632">
        <f t="shared" si="14"/>
        <v>100</v>
      </c>
      <c r="X37" s="1263"/>
      <c r="Y37" s="368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4"/>
      <c r="Q38" s="633">
        <f t="shared" si="11"/>
        <v>111</v>
      </c>
      <c r="R38" s="634" t="s">
        <v>25</v>
      </c>
      <c r="S38" s="635">
        <f t="shared" si="12"/>
        <v>100</v>
      </c>
      <c r="T38" s="634" t="s">
        <v>25</v>
      </c>
      <c r="U38" s="635">
        <f t="shared" si="13"/>
        <v>100</v>
      </c>
      <c r="V38" s="634" t="s">
        <v>25</v>
      </c>
      <c r="W38" s="635">
        <f t="shared" si="14"/>
        <v>100</v>
      </c>
      <c r="X38" s="636"/>
      <c r="Y38" s="368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4"/>
      <c r="Q39" s="1262">
        <f t="shared" si="11"/>
        <v>111</v>
      </c>
      <c r="R39" s="631" t="s">
        <v>25</v>
      </c>
      <c r="S39" s="632">
        <f t="shared" si="12"/>
        <v>100</v>
      </c>
      <c r="T39" s="631" t="s">
        <v>25</v>
      </c>
      <c r="U39" s="632">
        <f t="shared" si="13"/>
        <v>100</v>
      </c>
      <c r="V39" s="631" t="s">
        <v>25</v>
      </c>
      <c r="W39" s="632">
        <f t="shared" si="14"/>
        <v>100</v>
      </c>
      <c r="X39" s="1263"/>
      <c r="Y39" s="368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5"/>
      <c r="Q40" s="1262">
        <f t="shared" si="11"/>
        <v>111</v>
      </c>
      <c r="R40" s="631" t="s">
        <v>25</v>
      </c>
      <c r="S40" s="632">
        <f t="shared" si="12"/>
        <v>100</v>
      </c>
      <c r="T40" s="631" t="s">
        <v>25</v>
      </c>
      <c r="U40" s="632">
        <f t="shared" si="13"/>
        <v>100</v>
      </c>
      <c r="V40" s="631" t="s">
        <v>25</v>
      </c>
      <c r="W40" s="632">
        <f t="shared" si="14"/>
        <v>100</v>
      </c>
      <c r="X40" s="1263"/>
      <c r="Y40" s="368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2" t="str">
        <f>A41</f>
        <v>成交单价（元/平方米）</v>
      </c>
      <c r="Q41" s="3652"/>
      <c r="R41" s="3686">
        <f>E41</f>
        <v>0</v>
      </c>
      <c r="S41" s="3686"/>
      <c r="T41" s="3686">
        <f>G41</f>
        <v>0</v>
      </c>
      <c r="U41" s="3686"/>
      <c r="V41" s="3686">
        <f>I41</f>
        <v>0</v>
      </c>
      <c r="W41" s="368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199.15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44736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1"/>
      <c r="Q24" s="1262">
        <f t="shared" ref="Q24:Q36"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4"/>
      <c r="Q27" s="633" t="str">
        <f t="shared" si="11"/>
        <v>项目停车位配比</v>
      </c>
      <c r="R27" s="634" t="s">
        <v>25</v>
      </c>
      <c r="S27" s="635">
        <f t="shared" si="12"/>
        <v>100</v>
      </c>
      <c r="T27" s="634" t="s">
        <v>25</v>
      </c>
      <c r="U27" s="635">
        <f t="shared" si="13"/>
        <v>100</v>
      </c>
      <c r="V27" s="634" t="s">
        <v>25</v>
      </c>
      <c r="W27" s="635">
        <f t="shared" si="14"/>
        <v>100</v>
      </c>
      <c r="X27" s="636"/>
      <c r="Y27" s="368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4"/>
      <c r="Q28" s="1262" t="str">
        <f t="shared" si="11"/>
        <v>公共部分装修</v>
      </c>
      <c r="R28" s="631" t="s">
        <v>25</v>
      </c>
      <c r="S28" s="632">
        <f t="shared" si="12"/>
        <v>100</v>
      </c>
      <c r="T28" s="631" t="s">
        <v>25</v>
      </c>
      <c r="U28" s="632">
        <f t="shared" si="13"/>
        <v>100</v>
      </c>
      <c r="V28" s="631" t="s">
        <v>25</v>
      </c>
      <c r="W28" s="632">
        <f t="shared" si="14"/>
        <v>100</v>
      </c>
      <c r="X28" s="1263"/>
      <c r="Y28" s="368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4"/>
      <c r="Q29" s="1262" t="str">
        <f t="shared" si="11"/>
        <v>成新率</v>
      </c>
      <c r="R29" s="631" t="s">
        <v>25</v>
      </c>
      <c r="S29" s="632" t="e">
        <f t="shared" si="12"/>
        <v>#N/A</v>
      </c>
      <c r="T29" s="631" t="s">
        <v>25</v>
      </c>
      <c r="U29" s="632" t="e">
        <f t="shared" si="13"/>
        <v>#N/A</v>
      </c>
      <c r="V29" s="631" t="s">
        <v>25</v>
      </c>
      <c r="W29" s="632" t="e">
        <f t="shared" si="14"/>
        <v>#N/A</v>
      </c>
      <c r="X29" s="1263"/>
      <c r="Y29" s="368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4"/>
      <c r="Q30" s="1262" t="str">
        <f t="shared" si="11"/>
        <v>物业等级</v>
      </c>
      <c r="R30" s="631" t="s">
        <v>25</v>
      </c>
      <c r="S30" s="632">
        <f t="shared" si="12"/>
        <v>100</v>
      </c>
      <c r="T30" s="631" t="s">
        <v>25</v>
      </c>
      <c r="U30" s="632">
        <f t="shared" si="13"/>
        <v>100</v>
      </c>
      <c r="V30" s="631" t="s">
        <v>25</v>
      </c>
      <c r="W30" s="632">
        <f t="shared" si="14"/>
        <v>100</v>
      </c>
      <c r="X30" s="1263"/>
      <c r="Y30" s="368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4"/>
      <c r="Q31" s="1255" t="str">
        <f t="shared" si="11"/>
        <v>停车位面积</v>
      </c>
      <c r="R31" s="627" t="s">
        <v>25</v>
      </c>
      <c r="S31" s="628" t="e">
        <f t="shared" si="12"/>
        <v>#N/A</v>
      </c>
      <c r="T31" s="627" t="s">
        <v>25</v>
      </c>
      <c r="U31" s="628" t="e">
        <f t="shared" si="13"/>
        <v>#N/A</v>
      </c>
      <c r="V31" s="627" t="s">
        <v>25</v>
      </c>
      <c r="W31" s="628" t="e">
        <f t="shared" si="14"/>
        <v>#N/A</v>
      </c>
      <c r="X31" s="629"/>
      <c r="Y31" s="368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4" t="s">
        <v>2037</v>
      </c>
      <c r="Q32" s="1262" t="str">
        <f t="shared" si="11"/>
        <v>车位类型</v>
      </c>
      <c r="R32" s="631" t="s">
        <v>25</v>
      </c>
      <c r="S32" s="632">
        <f t="shared" si="12"/>
        <v>100</v>
      </c>
      <c r="T32" s="631" t="s">
        <v>25</v>
      </c>
      <c r="U32" s="632">
        <f t="shared" si="13"/>
        <v>100</v>
      </c>
      <c r="V32" s="631" t="s">
        <v>25</v>
      </c>
      <c r="W32" s="632">
        <f t="shared" si="14"/>
        <v>100</v>
      </c>
      <c r="X32" s="1263"/>
      <c r="Y32" s="368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4"/>
      <c r="Q33" s="1262" t="str">
        <f t="shared" si="11"/>
        <v>是否直接入户</v>
      </c>
      <c r="R33" s="631" t="s">
        <v>25</v>
      </c>
      <c r="S33" s="632">
        <f t="shared" si="12"/>
        <v>100</v>
      </c>
      <c r="T33" s="631" t="s">
        <v>25</v>
      </c>
      <c r="U33" s="632">
        <f t="shared" si="13"/>
        <v>100</v>
      </c>
      <c r="V33" s="631" t="s">
        <v>25</v>
      </c>
      <c r="W33" s="632">
        <f t="shared" si="14"/>
        <v>100</v>
      </c>
      <c r="X33" s="1263"/>
      <c r="Y33" s="368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4"/>
      <c r="Q35" s="633">
        <f t="shared" si="11"/>
        <v>111</v>
      </c>
      <c r="R35" s="634" t="s">
        <v>25</v>
      </c>
      <c r="S35" s="635">
        <f t="shared" si="12"/>
        <v>100</v>
      </c>
      <c r="T35" s="634" t="s">
        <v>25</v>
      </c>
      <c r="U35" s="635">
        <f t="shared" si="13"/>
        <v>100</v>
      </c>
      <c r="V35" s="634" t="s">
        <v>25</v>
      </c>
      <c r="W35" s="635">
        <f t="shared" si="14"/>
        <v>100</v>
      </c>
      <c r="X35" s="636"/>
      <c r="Y35" s="368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4"/>
      <c r="Q36" s="1262">
        <f t="shared" si="11"/>
        <v>111</v>
      </c>
      <c r="R36" s="631" t="s">
        <v>25</v>
      </c>
      <c r="S36" s="632">
        <f t="shared" si="12"/>
        <v>100</v>
      </c>
      <c r="T36" s="631" t="s">
        <v>25</v>
      </c>
      <c r="U36" s="632">
        <f t="shared" si="13"/>
        <v>100</v>
      </c>
      <c r="V36" s="631" t="s">
        <v>25</v>
      </c>
      <c r="W36" s="632">
        <f t="shared" si="14"/>
        <v>100</v>
      </c>
      <c r="X36" s="1263"/>
      <c r="Y36" s="368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2" t="str">
        <f>A37</f>
        <v>成交单价</v>
      </c>
      <c r="Q37" s="3652"/>
      <c r="R37" s="3686">
        <f>E37</f>
        <v>0</v>
      </c>
      <c r="S37" s="3686"/>
      <c r="T37" s="3686">
        <f>G37</f>
        <v>0</v>
      </c>
      <c r="U37" s="3686"/>
      <c r="V37" s="3686">
        <f>I37</f>
        <v>0</v>
      </c>
      <c r="W37" s="368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199.15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44736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1"/>
      <c r="Q24" s="1262">
        <f t="shared" ref="Q24:Q34"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4"/>
      <c r="Q27" s="633" t="str">
        <f t="shared" si="11"/>
        <v>成新率</v>
      </c>
      <c r="R27" s="634" t="s">
        <v>25</v>
      </c>
      <c r="S27" s="635" t="e">
        <f t="shared" si="12"/>
        <v>#N/A</v>
      </c>
      <c r="T27" s="634" t="s">
        <v>25</v>
      </c>
      <c r="U27" s="635" t="e">
        <f t="shared" si="13"/>
        <v>#N/A</v>
      </c>
      <c r="V27" s="634" t="s">
        <v>25</v>
      </c>
      <c r="W27" s="635" t="e">
        <f t="shared" si="14"/>
        <v>#N/A</v>
      </c>
      <c r="X27" s="636"/>
      <c r="Y27" s="368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4"/>
      <c r="Q28" s="1262" t="str">
        <f t="shared" si="11"/>
        <v>物业等级</v>
      </c>
      <c r="R28" s="631" t="s">
        <v>25</v>
      </c>
      <c r="S28" s="632">
        <f t="shared" si="12"/>
        <v>100</v>
      </c>
      <c r="T28" s="631" t="s">
        <v>25</v>
      </c>
      <c r="U28" s="632">
        <f t="shared" si="13"/>
        <v>100</v>
      </c>
      <c r="V28" s="631" t="s">
        <v>25</v>
      </c>
      <c r="W28" s="632">
        <f t="shared" si="14"/>
        <v>100</v>
      </c>
      <c r="X28" s="1263"/>
      <c r="Y28" s="368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4"/>
      <c r="Q29" s="1262" t="str">
        <f t="shared" si="11"/>
        <v>有无电梯</v>
      </c>
      <c r="R29" s="631" t="s">
        <v>25</v>
      </c>
      <c r="S29" s="632">
        <f t="shared" si="12"/>
        <v>100</v>
      </c>
      <c r="T29" s="631" t="s">
        <v>25</v>
      </c>
      <c r="U29" s="632">
        <f t="shared" si="13"/>
        <v>100</v>
      </c>
      <c r="V29" s="631" t="s">
        <v>25</v>
      </c>
      <c r="W29" s="632">
        <f t="shared" si="14"/>
        <v>100</v>
      </c>
      <c r="X29" s="1263"/>
      <c r="Y29" s="368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4"/>
      <c r="Q30" s="1262" t="str">
        <f t="shared" si="11"/>
        <v>建筑面积</v>
      </c>
      <c r="R30" s="631" t="s">
        <v>25</v>
      </c>
      <c r="S30" s="632" t="e">
        <f t="shared" si="12"/>
        <v>#N/A</v>
      </c>
      <c r="T30" s="631" t="s">
        <v>25</v>
      </c>
      <c r="U30" s="632" t="e">
        <f t="shared" si="13"/>
        <v>#N/A</v>
      </c>
      <c r="V30" s="631" t="s">
        <v>25</v>
      </c>
      <c r="W30" s="632" t="e">
        <f t="shared" si="14"/>
        <v>#N/A</v>
      </c>
      <c r="X30" s="1263"/>
      <c r="Y30" s="368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4"/>
      <c r="Q31" s="1255" t="str">
        <f t="shared" si="11"/>
        <v>是否封闭</v>
      </c>
      <c r="R31" s="627" t="s">
        <v>25</v>
      </c>
      <c r="S31" s="628">
        <f t="shared" si="12"/>
        <v>100</v>
      </c>
      <c r="T31" s="627" t="s">
        <v>25</v>
      </c>
      <c r="U31" s="628">
        <f t="shared" si="13"/>
        <v>100</v>
      </c>
      <c r="V31" s="627" t="s">
        <v>25</v>
      </c>
      <c r="W31" s="628">
        <f t="shared" si="14"/>
        <v>100</v>
      </c>
      <c r="X31" s="629"/>
      <c r="Y31" s="368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4" t="s">
        <v>2037</v>
      </c>
      <c r="Q32" s="1262">
        <f t="shared" si="11"/>
        <v>111</v>
      </c>
      <c r="R32" s="631" t="s">
        <v>25</v>
      </c>
      <c r="S32" s="632">
        <f t="shared" si="12"/>
        <v>100</v>
      </c>
      <c r="T32" s="631" t="s">
        <v>25</v>
      </c>
      <c r="U32" s="632">
        <f t="shared" si="13"/>
        <v>100</v>
      </c>
      <c r="V32" s="631" t="s">
        <v>25</v>
      </c>
      <c r="W32" s="632">
        <f t="shared" si="14"/>
        <v>100</v>
      </c>
      <c r="X32" s="1263"/>
      <c r="Y32" s="368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4"/>
      <c r="Q33" s="1262">
        <f t="shared" si="11"/>
        <v>111</v>
      </c>
      <c r="R33" s="631" t="s">
        <v>25</v>
      </c>
      <c r="S33" s="632">
        <f t="shared" si="12"/>
        <v>100</v>
      </c>
      <c r="T33" s="631" t="s">
        <v>25</v>
      </c>
      <c r="U33" s="632">
        <f t="shared" si="13"/>
        <v>100</v>
      </c>
      <c r="V33" s="631" t="s">
        <v>25</v>
      </c>
      <c r="W33" s="632">
        <f t="shared" si="14"/>
        <v>100</v>
      </c>
      <c r="X33" s="1263"/>
      <c r="Y33" s="368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2" t="str">
        <f>A35</f>
        <v>成交单价（元/平方米）</v>
      </c>
      <c r="Q35" s="3652"/>
      <c r="R35" s="3686">
        <f>E35</f>
        <v>0</v>
      </c>
      <c r="S35" s="3686"/>
      <c r="T35" s="3686">
        <f>G35</f>
        <v>0</v>
      </c>
      <c r="U35" s="3686"/>
      <c r="V35" s="3686">
        <f>I35</f>
        <v>0</v>
      </c>
      <c r="W35" s="368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94" t="s">
        <v>2008</v>
      </c>
      <c r="S4" s="3595"/>
      <c r="T4" s="3594" t="s">
        <v>2009</v>
      </c>
      <c r="U4" s="3595"/>
      <c r="V4" s="3600" t="s">
        <v>2010</v>
      </c>
      <c r="W4" s="3600"/>
      <c r="X4" s="1594"/>
      <c r="Y4" s="3594" t="s">
        <v>2012</v>
      </c>
      <c r="Z4" s="3595"/>
      <c r="AA4" s="3581" t="s">
        <v>2008</v>
      </c>
      <c r="AB4" s="3582" t="s">
        <v>2009</v>
      </c>
      <c r="AC4" s="3581" t="s">
        <v>2010</v>
      </c>
    </row>
    <row r="5" spans="1:30" ht="15">
      <c r="A5" s="1596"/>
      <c r="B5" s="1597"/>
      <c r="C5" s="3577" t="s">
        <v>2013</v>
      </c>
      <c r="D5" s="3578"/>
      <c r="E5" s="3601" t="s">
        <v>2014</v>
      </c>
      <c r="F5" s="3602"/>
      <c r="G5" s="3577" t="s">
        <v>2015</v>
      </c>
      <c r="H5" s="3578"/>
      <c r="I5" s="3577" t="s">
        <v>2016</v>
      </c>
      <c r="J5" s="3578"/>
      <c r="K5" s="1894"/>
      <c r="L5" s="2915"/>
      <c r="M5" s="2916"/>
      <c r="N5" s="2916"/>
      <c r="O5" s="2916"/>
      <c r="P5" s="3590"/>
      <c r="Q5" s="3591"/>
      <c r="R5" s="3596"/>
      <c r="S5" s="3597"/>
      <c r="T5" s="3596"/>
      <c r="U5" s="3597"/>
      <c r="V5" s="3600"/>
      <c r="W5" s="3600"/>
      <c r="X5" s="1594"/>
      <c r="Y5" s="3596"/>
      <c r="Z5" s="3597"/>
      <c r="AA5" s="3582"/>
      <c r="AB5" s="3582"/>
      <c r="AC5" s="3582"/>
    </row>
    <row r="6" spans="1:30" ht="15.75" thickBot="1">
      <c r="A6" s="1599"/>
      <c r="B6" s="1600"/>
      <c r="C6" s="3574" t="s">
        <v>2017</v>
      </c>
      <c r="D6" s="3575"/>
      <c r="E6" s="3572" t="s">
        <v>2017</v>
      </c>
      <c r="F6" s="3573"/>
      <c r="G6" s="3574" t="s">
        <v>2017</v>
      </c>
      <c r="H6" s="3575"/>
      <c r="I6" s="3574" t="s">
        <v>2017</v>
      </c>
      <c r="J6" s="3575"/>
      <c r="K6" s="1894" t="s">
        <v>2018</v>
      </c>
      <c r="L6" s="2915"/>
      <c r="M6" s="2916"/>
      <c r="N6" s="2916"/>
      <c r="O6" s="2916"/>
      <c r="P6" s="3592"/>
      <c r="Q6" s="3593"/>
      <c r="R6" s="3596"/>
      <c r="S6" s="3597"/>
      <c r="T6" s="3598"/>
      <c r="U6" s="3599"/>
      <c r="V6" s="3600"/>
      <c r="W6" s="3600"/>
      <c r="X6" s="1594"/>
      <c r="Y6" s="3598"/>
      <c r="Z6" s="3599"/>
      <c r="AA6" s="3583"/>
      <c r="AB6" s="3583"/>
      <c r="AC6" s="3583"/>
    </row>
    <row r="7" spans="1:30" s="1613" customFormat="1" ht="15.75" thickBot="1">
      <c r="A7" s="1601" t="s">
        <v>2019</v>
      </c>
      <c r="B7" s="1602"/>
      <c r="C7" s="1603">
        <f>'数据-取费表'!B2</f>
        <v>44736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9" t="s">
        <v>2020</v>
      </c>
      <c r="Q7" s="3603"/>
      <c r="R7" s="1609" t="s">
        <v>25</v>
      </c>
      <c r="S7" s="1610">
        <f t="shared" ref="S7:S15" si="0">F7</f>
        <v>0</v>
      </c>
      <c r="T7" s="1609" t="s">
        <v>25</v>
      </c>
      <c r="U7" s="1610">
        <f t="shared" ref="U7:U15" si="1">H7</f>
        <v>0</v>
      </c>
      <c r="V7" s="1609" t="s">
        <v>25</v>
      </c>
      <c r="W7" s="1610">
        <f t="shared" ref="W7:W15" si="2">J7</f>
        <v>0</v>
      </c>
      <c r="X7" s="1611"/>
      <c r="Y7" s="3579" t="s">
        <v>2020</v>
      </c>
      <c r="Z7" s="358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9" t="s">
        <v>2023</v>
      </c>
      <c r="Q8" s="3580"/>
      <c r="R8" s="1609" t="s">
        <v>25</v>
      </c>
      <c r="S8" s="1610">
        <f t="shared" si="0"/>
        <v>0</v>
      </c>
      <c r="T8" s="1609" t="s">
        <v>25</v>
      </c>
      <c r="U8" s="1610">
        <f t="shared" si="1"/>
        <v>0</v>
      </c>
      <c r="V8" s="1609" t="s">
        <v>25</v>
      </c>
      <c r="W8" s="1610">
        <f t="shared" si="2"/>
        <v>0</v>
      </c>
      <c r="X8" s="1611"/>
      <c r="Y8" s="3579" t="s">
        <v>2023</v>
      </c>
      <c r="Z8" s="358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13" t="s">
        <v>2026</v>
      </c>
      <c r="Q9" s="1563" t="str">
        <f t="shared" ref="Q9:Q15" si="6">B9</f>
        <v>用途</v>
      </c>
      <c r="R9" s="1609" t="s">
        <v>25</v>
      </c>
      <c r="S9" s="1610">
        <f t="shared" si="0"/>
        <v>100</v>
      </c>
      <c r="T9" s="1609" t="s">
        <v>25</v>
      </c>
      <c r="U9" s="1610">
        <f t="shared" si="1"/>
        <v>100</v>
      </c>
      <c r="V9" s="1609" t="s">
        <v>25</v>
      </c>
      <c r="W9" s="1610">
        <f t="shared" si="2"/>
        <v>100</v>
      </c>
      <c r="X9" s="1611"/>
      <c r="Y9" s="350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613"/>
      <c r="Q10" s="1563" t="str">
        <f t="shared" si="6"/>
        <v>土地使用年限（年）</v>
      </c>
      <c r="R10" s="1609" t="s">
        <v>25</v>
      </c>
      <c r="S10" s="1610">
        <f t="shared" si="0"/>
        <v>109</v>
      </c>
      <c r="T10" s="1609" t="s">
        <v>25</v>
      </c>
      <c r="U10" s="1610">
        <f t="shared" si="1"/>
        <v>109</v>
      </c>
      <c r="V10" s="1609" t="s">
        <v>25</v>
      </c>
      <c r="W10" s="1610">
        <f t="shared" si="2"/>
        <v>109</v>
      </c>
      <c r="X10" s="1611"/>
      <c r="Y10" s="3502"/>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13"/>
      <c r="Q11" s="1563" t="str">
        <f t="shared" si="6"/>
        <v>容积率</v>
      </c>
      <c r="R11" s="1609" t="s">
        <v>25</v>
      </c>
      <c r="S11" s="1610" t="e">
        <f t="shared" si="0"/>
        <v>#N/A</v>
      </c>
      <c r="T11" s="1609" t="s">
        <v>25</v>
      </c>
      <c r="U11" s="1610" t="e">
        <f t="shared" si="1"/>
        <v>#N/A</v>
      </c>
      <c r="V11" s="1609" t="s">
        <v>25</v>
      </c>
      <c r="W11" s="1610" t="e">
        <f t="shared" si="2"/>
        <v>#N/A</v>
      </c>
      <c r="X11" s="1611"/>
      <c r="Y11" s="350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13"/>
      <c r="Q12" s="1563" t="str">
        <f t="shared" si="6"/>
        <v>配建</v>
      </c>
      <c r="R12" s="1609" t="s">
        <v>25</v>
      </c>
      <c r="S12" s="1610">
        <f t="shared" si="0"/>
        <v>100</v>
      </c>
      <c r="T12" s="1609" t="s">
        <v>25</v>
      </c>
      <c r="U12" s="1610">
        <f t="shared" si="1"/>
        <v>100</v>
      </c>
      <c r="V12" s="1609" t="s">
        <v>25</v>
      </c>
      <c r="W12" s="1610">
        <f t="shared" si="2"/>
        <v>100</v>
      </c>
      <c r="X12" s="1611"/>
      <c r="Y12" s="350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13"/>
      <c r="Q13" s="1563">
        <f t="shared" si="6"/>
        <v>111</v>
      </c>
      <c r="R13" s="1609" t="s">
        <v>25</v>
      </c>
      <c r="S13" s="1610">
        <f t="shared" si="0"/>
        <v>100</v>
      </c>
      <c r="T13" s="1609" t="s">
        <v>25</v>
      </c>
      <c r="U13" s="1610">
        <f t="shared" si="1"/>
        <v>100</v>
      </c>
      <c r="V13" s="1609" t="s">
        <v>25</v>
      </c>
      <c r="W13" s="1610">
        <f t="shared" si="2"/>
        <v>100</v>
      </c>
      <c r="X13" s="1611"/>
      <c r="Y13" s="350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13"/>
      <c r="Q14" s="1563">
        <f t="shared" si="6"/>
        <v>111</v>
      </c>
      <c r="R14" s="1609" t="s">
        <v>25</v>
      </c>
      <c r="S14" s="1610">
        <f t="shared" si="0"/>
        <v>100</v>
      </c>
      <c r="T14" s="1609" t="s">
        <v>25</v>
      </c>
      <c r="U14" s="1610">
        <f t="shared" si="1"/>
        <v>100</v>
      </c>
      <c r="V14" s="1609" t="s">
        <v>25</v>
      </c>
      <c r="W14" s="1610">
        <f t="shared" si="2"/>
        <v>100</v>
      </c>
      <c r="X14" s="1611"/>
      <c r="Y14" s="350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6" t="s">
        <v>2031</v>
      </c>
      <c r="Q15" s="1544" t="str">
        <f t="shared" si="6"/>
        <v>居住社区成熟度</v>
      </c>
      <c r="R15" s="1654" t="s">
        <v>25</v>
      </c>
      <c r="S15" s="1655">
        <f t="shared" si="0"/>
        <v>100</v>
      </c>
      <c r="T15" s="1654" t="s">
        <v>25</v>
      </c>
      <c r="U15" s="1655">
        <f t="shared" si="1"/>
        <v>100</v>
      </c>
      <c r="V15" s="1654" t="s">
        <v>25</v>
      </c>
      <c r="W15" s="1655">
        <f t="shared" si="2"/>
        <v>100</v>
      </c>
      <c r="X15" s="1594"/>
      <c r="Y15" s="360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7"/>
      <c r="Q16" s="1544"/>
      <c r="R16" s="1654"/>
      <c r="S16" s="1655"/>
      <c r="T16" s="1654"/>
      <c r="U16" s="1655"/>
      <c r="V16" s="1654"/>
      <c r="W16" s="1655"/>
      <c r="X16" s="1594"/>
      <c r="Y16" s="360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7"/>
      <c r="Q17" s="1544" t="str">
        <f>B17</f>
        <v>商业繁华度</v>
      </c>
      <c r="R17" s="1654" t="s">
        <v>25</v>
      </c>
      <c r="S17" s="1655">
        <f>F17</f>
        <v>100</v>
      </c>
      <c r="T17" s="1654" t="s">
        <v>25</v>
      </c>
      <c r="U17" s="1655">
        <f>H17</f>
        <v>100</v>
      </c>
      <c r="V17" s="1654" t="s">
        <v>25</v>
      </c>
      <c r="W17" s="1655">
        <f>J17</f>
        <v>100</v>
      </c>
      <c r="X17" s="1594"/>
      <c r="Y17" s="360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7"/>
      <c r="Q18" s="1544"/>
      <c r="R18" s="1654"/>
      <c r="S18" s="1655"/>
      <c r="T18" s="1654"/>
      <c r="U18" s="1655"/>
      <c r="V18" s="1654"/>
      <c r="W18" s="1655"/>
      <c r="X18" s="1594"/>
      <c r="Y18" s="360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7"/>
      <c r="Q19" s="1544" t="str">
        <f>B19</f>
        <v>办公集聚程度</v>
      </c>
      <c r="R19" s="1654" t="s">
        <v>25</v>
      </c>
      <c r="S19" s="1655">
        <f>F19</f>
        <v>100</v>
      </c>
      <c r="T19" s="1654" t="s">
        <v>25</v>
      </c>
      <c r="U19" s="1655">
        <f>H19</f>
        <v>100</v>
      </c>
      <c r="V19" s="1654" t="s">
        <v>25</v>
      </c>
      <c r="W19" s="1655">
        <f>J19</f>
        <v>100</v>
      </c>
      <c r="X19" s="1594"/>
      <c r="Y19" s="360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7"/>
      <c r="Q20" s="1544"/>
      <c r="R20" s="1654"/>
      <c r="S20" s="1655"/>
      <c r="T20" s="1654"/>
      <c r="U20" s="1655"/>
      <c r="V20" s="1654"/>
      <c r="W20" s="1655"/>
      <c r="X20" s="1594"/>
      <c r="Y20" s="360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7"/>
      <c r="Q21" s="1544" t="str">
        <f>B21</f>
        <v>交通便捷度</v>
      </c>
      <c r="R21" s="1654" t="s">
        <v>25</v>
      </c>
      <c r="S21" s="1655">
        <f>F21</f>
        <v>100</v>
      </c>
      <c r="T21" s="1654" t="s">
        <v>25</v>
      </c>
      <c r="U21" s="1655">
        <f>H21</f>
        <v>100</v>
      </c>
      <c r="V21" s="1654" t="s">
        <v>25</v>
      </c>
      <c r="W21" s="1655">
        <f>J21</f>
        <v>100</v>
      </c>
      <c r="X21" s="1594"/>
      <c r="Y21" s="360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7"/>
      <c r="Q22" s="1544"/>
      <c r="R22" s="1654"/>
      <c r="S22" s="1655"/>
      <c r="T22" s="1654"/>
      <c r="U22" s="1655"/>
      <c r="V22" s="1654"/>
      <c r="W22" s="1655"/>
      <c r="X22" s="1594"/>
      <c r="Y22" s="360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7"/>
      <c r="Q23" s="1544" t="str">
        <f t="shared" ref="Q23:Q37" si="8">B23</f>
        <v>区域土地利用方向</v>
      </c>
      <c r="R23" s="1654" t="s">
        <v>25</v>
      </c>
      <c r="S23" s="1655">
        <f>F23</f>
        <v>100</v>
      </c>
      <c r="T23" s="1654" t="s">
        <v>25</v>
      </c>
      <c r="U23" s="1655">
        <f>H23</f>
        <v>100</v>
      </c>
      <c r="V23" s="1654" t="s">
        <v>25</v>
      </c>
      <c r="W23" s="1655">
        <f>J23</f>
        <v>100</v>
      </c>
      <c r="X23" s="1594"/>
      <c r="Y23" s="360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7"/>
      <c r="Q24" s="1544"/>
      <c r="R24" s="1654"/>
      <c r="S24" s="1655"/>
      <c r="T24" s="1654"/>
      <c r="U24" s="1655"/>
      <c r="V24" s="1654"/>
      <c r="W24" s="1655"/>
      <c r="X24" s="1594"/>
      <c r="Y24" s="360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7"/>
      <c r="Q25" s="1544" t="str">
        <f t="shared" si="8"/>
        <v>自然及人文环境状况</v>
      </c>
      <c r="R25" s="1654" t="s">
        <v>25</v>
      </c>
      <c r="S25" s="1655">
        <f>F25</f>
        <v>100</v>
      </c>
      <c r="T25" s="1654" t="s">
        <v>25</v>
      </c>
      <c r="U25" s="1655">
        <f>H25</f>
        <v>100</v>
      </c>
      <c r="V25" s="1654" t="s">
        <v>25</v>
      </c>
      <c r="W25" s="1655">
        <f>J25</f>
        <v>100</v>
      </c>
      <c r="X25" s="1594"/>
      <c r="Y25" s="360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7"/>
      <c r="Q26" s="1544"/>
      <c r="R26" s="1654"/>
      <c r="S26" s="1655"/>
      <c r="T26" s="1654"/>
      <c r="U26" s="1655"/>
      <c r="V26" s="1654"/>
      <c r="W26" s="1655"/>
      <c r="X26" s="1594"/>
      <c r="Y26" s="360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7"/>
      <c r="Q27" s="1563" t="str">
        <f t="shared" ref="Q27" si="9">B27</f>
        <v>公共配套设施</v>
      </c>
      <c r="R27" s="1609" t="s">
        <v>25</v>
      </c>
      <c r="S27" s="1610">
        <f>F27</f>
        <v>100</v>
      </c>
      <c r="T27" s="1609" t="s">
        <v>25</v>
      </c>
      <c r="U27" s="1610">
        <f>H27</f>
        <v>100</v>
      </c>
      <c r="V27" s="1609" t="s">
        <v>25</v>
      </c>
      <c r="W27" s="1610">
        <f>J27</f>
        <v>100</v>
      </c>
      <c r="X27" s="1594"/>
      <c r="Y27" s="360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7"/>
      <c r="Q28" s="1544"/>
      <c r="R28" s="1654"/>
      <c r="S28" s="1655"/>
      <c r="T28" s="1654"/>
      <c r="U28" s="1655"/>
      <c r="V28" s="1654"/>
      <c r="W28" s="1655"/>
      <c r="X28" s="1594"/>
      <c r="Y28" s="360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7"/>
      <c r="Q29" s="1563" t="str">
        <f t="shared" si="8"/>
        <v>基础设施水平</v>
      </c>
      <c r="R29" s="1609" t="s">
        <v>25</v>
      </c>
      <c r="S29" s="1610">
        <f>F29</f>
        <v>100</v>
      </c>
      <c r="T29" s="1609" t="s">
        <v>25</v>
      </c>
      <c r="U29" s="1610">
        <f>H29</f>
        <v>100</v>
      </c>
      <c r="V29" s="1609" t="s">
        <v>25</v>
      </c>
      <c r="W29" s="1610">
        <f>J29</f>
        <v>100</v>
      </c>
      <c r="X29" s="1611"/>
      <c r="Y29" s="360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7"/>
      <c r="Q30" s="1563"/>
      <c r="R30" s="1609"/>
      <c r="S30" s="1610"/>
      <c r="T30" s="1609"/>
      <c r="U30" s="1610"/>
      <c r="V30" s="1609"/>
      <c r="W30" s="1610"/>
      <c r="X30" s="1611"/>
      <c r="Y30" s="360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7"/>
      <c r="Q32" s="1544" t="str">
        <f t="shared" si="8"/>
        <v>毗邻道路的类型与等级</v>
      </c>
      <c r="R32" s="1654" t="s">
        <v>25</v>
      </c>
      <c r="S32" s="1655">
        <f t="shared" si="10"/>
        <v>100</v>
      </c>
      <c r="T32" s="1654" t="s">
        <v>25</v>
      </c>
      <c r="U32" s="1655">
        <f t="shared" si="11"/>
        <v>100</v>
      </c>
      <c r="V32" s="1654" t="s">
        <v>25</v>
      </c>
      <c r="W32" s="1655">
        <f t="shared" si="12"/>
        <v>100</v>
      </c>
      <c r="X32" s="1594"/>
      <c r="Y32" s="360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7"/>
      <c r="Q33" s="1544"/>
      <c r="R33" s="1654"/>
      <c r="S33" s="1655"/>
      <c r="T33" s="1654"/>
      <c r="U33" s="1655"/>
      <c r="V33" s="1654"/>
      <c r="W33" s="1655"/>
      <c r="X33" s="1594"/>
      <c r="Y33" s="360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7"/>
      <c r="Q34" s="1544" t="str">
        <f t="shared" si="8"/>
        <v>土地级别</v>
      </c>
      <c r="R34" s="1654" t="s">
        <v>25</v>
      </c>
      <c r="S34" s="1655">
        <f t="shared" si="10"/>
        <v>100</v>
      </c>
      <c r="T34" s="1654" t="s">
        <v>25</v>
      </c>
      <c r="U34" s="1655">
        <f t="shared" si="11"/>
        <v>100</v>
      </c>
      <c r="V34" s="1654" t="s">
        <v>25</v>
      </c>
      <c r="W34" s="1655">
        <f t="shared" si="12"/>
        <v>100</v>
      </c>
      <c r="X34" s="1594"/>
      <c r="Y34" s="360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7"/>
      <c r="Q35" s="1544">
        <f t="shared" si="8"/>
        <v>111</v>
      </c>
      <c r="R35" s="1654" t="s">
        <v>25</v>
      </c>
      <c r="S35" s="1655">
        <f t="shared" si="10"/>
        <v>100</v>
      </c>
      <c r="T35" s="1654" t="s">
        <v>25</v>
      </c>
      <c r="U35" s="1655">
        <f t="shared" si="11"/>
        <v>100</v>
      </c>
      <c r="V35" s="1654" t="s">
        <v>25</v>
      </c>
      <c r="W35" s="1655">
        <f t="shared" si="12"/>
        <v>100</v>
      </c>
      <c r="X35" s="1594"/>
      <c r="Y35" s="360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611"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1"/>
      <c r="Q37" s="1544">
        <f t="shared" si="8"/>
        <v>111</v>
      </c>
      <c r="R37" s="1696" t="s">
        <v>25</v>
      </c>
      <c r="S37" s="1697">
        <f t="shared" si="10"/>
        <v>100</v>
      </c>
      <c r="T37" s="1696" t="s">
        <v>25</v>
      </c>
      <c r="U37" s="1697">
        <f t="shared" si="11"/>
        <v>100</v>
      </c>
      <c r="V37" s="1696" t="s">
        <v>25</v>
      </c>
      <c r="W37" s="1697">
        <f t="shared" si="12"/>
        <v>100</v>
      </c>
      <c r="X37" s="1698"/>
      <c r="Y37" s="3611"/>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1"/>
      <c r="Q38" s="1544" t="str">
        <f>B38</f>
        <v>宗地面积</v>
      </c>
      <c r="R38" s="1654" t="s">
        <v>25</v>
      </c>
      <c r="S38" s="1655" t="e">
        <f t="shared" si="10"/>
        <v>#N/A</v>
      </c>
      <c r="T38" s="1654" t="s">
        <v>25</v>
      </c>
      <c r="U38" s="1655" t="e">
        <f t="shared" si="11"/>
        <v>#N/A</v>
      </c>
      <c r="V38" s="1654" t="s">
        <v>25</v>
      </c>
      <c r="W38" s="1655" t="e">
        <f t="shared" si="12"/>
        <v>#N/A</v>
      </c>
      <c r="X38" s="1594"/>
      <c r="Y38" s="3611"/>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1"/>
      <c r="Q39" s="1544" t="str">
        <f t="shared" ref="Q39:Q45" si="14">B39</f>
        <v>宗地形状</v>
      </c>
      <c r="R39" s="1654" t="s">
        <v>25</v>
      </c>
      <c r="S39" s="1655">
        <f t="shared" si="10"/>
        <v>100</v>
      </c>
      <c r="T39" s="1654" t="s">
        <v>25</v>
      </c>
      <c r="U39" s="1655">
        <f t="shared" si="11"/>
        <v>100</v>
      </c>
      <c r="V39" s="1654" t="s">
        <v>25</v>
      </c>
      <c r="W39" s="1655">
        <f t="shared" si="12"/>
        <v>100</v>
      </c>
      <c r="X39" s="1594"/>
      <c r="Y39" s="3611"/>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1"/>
      <c r="Q40" s="1544" t="str">
        <f t="shared" si="14"/>
        <v>临街宽度及深度</v>
      </c>
      <c r="R40" s="1654" t="s">
        <v>25</v>
      </c>
      <c r="S40" s="1655">
        <f t="shared" si="10"/>
        <v>100</v>
      </c>
      <c r="T40" s="1654" t="s">
        <v>25</v>
      </c>
      <c r="U40" s="1655">
        <f t="shared" si="11"/>
        <v>100</v>
      </c>
      <c r="V40" s="1654" t="s">
        <v>25</v>
      </c>
      <c r="W40" s="1655">
        <f t="shared" si="12"/>
        <v>100</v>
      </c>
      <c r="X40" s="1594"/>
      <c r="Y40" s="3611"/>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1"/>
      <c r="Q41" s="1544" t="str">
        <f t="shared" si="14"/>
        <v>宗地开发程度</v>
      </c>
      <c r="R41" s="1609" t="s">
        <v>25</v>
      </c>
      <c r="S41" s="1610">
        <f t="shared" si="10"/>
        <v>100</v>
      </c>
      <c r="T41" s="1609" t="s">
        <v>25</v>
      </c>
      <c r="U41" s="1610">
        <f t="shared" si="11"/>
        <v>100</v>
      </c>
      <c r="V41" s="1609" t="s">
        <v>25</v>
      </c>
      <c r="W41" s="1610">
        <f t="shared" si="12"/>
        <v>100</v>
      </c>
      <c r="X41" s="1611"/>
      <c r="Y41" s="3611"/>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1" t="s">
        <v>2037</v>
      </c>
      <c r="Q42" s="1544" t="str">
        <f t="shared" si="14"/>
        <v>工程地质条件</v>
      </c>
      <c r="R42" s="1654" t="s">
        <v>25</v>
      </c>
      <c r="S42" s="1655">
        <f t="shared" si="10"/>
        <v>100</v>
      </c>
      <c r="T42" s="1654" t="s">
        <v>25</v>
      </c>
      <c r="U42" s="1655">
        <f t="shared" si="11"/>
        <v>100</v>
      </c>
      <c r="V42" s="1654" t="s">
        <v>25</v>
      </c>
      <c r="W42" s="1655">
        <f t="shared" si="12"/>
        <v>100</v>
      </c>
      <c r="X42" s="1594"/>
      <c r="Y42" s="3611"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1"/>
      <c r="Q43" s="1544">
        <f t="shared" si="14"/>
        <v>111</v>
      </c>
      <c r="R43" s="1654" t="s">
        <v>25</v>
      </c>
      <c r="S43" s="1655">
        <f t="shared" si="10"/>
        <v>100</v>
      </c>
      <c r="T43" s="1654" t="s">
        <v>25</v>
      </c>
      <c r="U43" s="1655">
        <f t="shared" si="11"/>
        <v>100</v>
      </c>
      <c r="V43" s="1654" t="s">
        <v>25</v>
      </c>
      <c r="W43" s="1655">
        <f t="shared" si="12"/>
        <v>100</v>
      </c>
      <c r="X43" s="1594"/>
      <c r="Y43" s="361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1"/>
      <c r="Q44" s="1544">
        <f t="shared" si="14"/>
        <v>111</v>
      </c>
      <c r="R44" s="1654" t="s">
        <v>25</v>
      </c>
      <c r="S44" s="1655">
        <f t="shared" si="10"/>
        <v>100</v>
      </c>
      <c r="T44" s="1654" t="s">
        <v>25</v>
      </c>
      <c r="U44" s="1655">
        <f t="shared" si="11"/>
        <v>100</v>
      </c>
      <c r="V44" s="1654" t="s">
        <v>25</v>
      </c>
      <c r="W44" s="1655">
        <f t="shared" si="12"/>
        <v>100</v>
      </c>
      <c r="X44" s="1594"/>
      <c r="Y44" s="361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1"/>
      <c r="Q45" s="1544">
        <f t="shared" si="14"/>
        <v>111</v>
      </c>
      <c r="R45" s="1696" t="s">
        <v>25</v>
      </c>
      <c r="S45" s="1697">
        <f t="shared" si="10"/>
        <v>100</v>
      </c>
      <c r="T45" s="1696" t="s">
        <v>25</v>
      </c>
      <c r="U45" s="1697">
        <f t="shared" si="11"/>
        <v>100</v>
      </c>
      <c r="V45" s="1696" t="s">
        <v>25</v>
      </c>
      <c r="W45" s="1697">
        <f t="shared" si="12"/>
        <v>100</v>
      </c>
      <c r="X45" s="1698"/>
      <c r="Y45" s="3611"/>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13" t="str">
        <f>A46</f>
        <v>成交单价</v>
      </c>
      <c r="Q46" s="3613"/>
      <c r="R46" s="3600">
        <f>E46</f>
        <v>0</v>
      </c>
      <c r="S46" s="3600"/>
      <c r="T46" s="3600">
        <f>G46</f>
        <v>0</v>
      </c>
      <c r="U46" s="3600"/>
      <c r="V46" s="3600">
        <f>I46</f>
        <v>0</v>
      </c>
      <c r="W46" s="360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13" t="str">
        <f>A47</f>
        <v>比较价值（元/平方米）</v>
      </c>
      <c r="Q47" s="3613"/>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15" t="str">
        <f>A48</f>
        <v>估价对象XX用房的比较价值（楼面单价，元/平方米）</v>
      </c>
      <c r="Q48" s="3616"/>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44736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2"/>
      <c r="Q10" s="1255" t="str">
        <f t="shared" si="6"/>
        <v>土地使用年限（年）</v>
      </c>
      <c r="R10" s="627" t="s">
        <v>25</v>
      </c>
      <c r="S10" s="628">
        <f t="shared" si="0"/>
        <v>109</v>
      </c>
      <c r="T10" s="627" t="s">
        <v>25</v>
      </c>
      <c r="U10" s="628">
        <f t="shared" si="1"/>
        <v>109</v>
      </c>
      <c r="V10" s="627" t="s">
        <v>25</v>
      </c>
      <c r="W10" s="628">
        <f t="shared" si="2"/>
        <v>109</v>
      </c>
      <c r="X10" s="629"/>
      <c r="Y10" s="3682"/>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1"/>
      <c r="Q18" s="1262"/>
      <c r="R18" s="631"/>
      <c r="S18" s="632"/>
      <c r="T18" s="631"/>
      <c r="U18" s="632"/>
      <c r="V18" s="631"/>
      <c r="W18" s="632"/>
      <c r="X18" s="1263"/>
      <c r="Y18" s="368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1"/>
      <c r="Q19" s="1262" t="str">
        <f t="shared" ref="Q19:Q33" si="8">B19</f>
        <v>区域土地利用方向</v>
      </c>
      <c r="R19" s="631" t="s">
        <v>25</v>
      </c>
      <c r="S19" s="632">
        <f>F19</f>
        <v>100</v>
      </c>
      <c r="T19" s="631" t="s">
        <v>25</v>
      </c>
      <c r="U19" s="632">
        <f>H19</f>
        <v>100</v>
      </c>
      <c r="V19" s="631" t="s">
        <v>25</v>
      </c>
      <c r="W19" s="632">
        <f>J19</f>
        <v>100</v>
      </c>
      <c r="X19" s="1263"/>
      <c r="Y19" s="368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1"/>
      <c r="Q20" s="1262"/>
      <c r="R20" s="631"/>
      <c r="S20" s="632"/>
      <c r="T20" s="631"/>
      <c r="U20" s="632"/>
      <c r="V20" s="631"/>
      <c r="W20" s="632"/>
      <c r="X20" s="1263"/>
      <c r="Y20" s="368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1"/>
      <c r="Q21" s="1262" t="str">
        <f t="shared" si="8"/>
        <v>环境状况</v>
      </c>
      <c r="R21" s="631" t="s">
        <v>25</v>
      </c>
      <c r="S21" s="632">
        <f>F21</f>
        <v>100</v>
      </c>
      <c r="T21" s="631" t="s">
        <v>25</v>
      </c>
      <c r="U21" s="632">
        <f>H21</f>
        <v>100</v>
      </c>
      <c r="V21" s="631" t="s">
        <v>25</v>
      </c>
      <c r="W21" s="632">
        <f>J21</f>
        <v>100</v>
      </c>
      <c r="X21" s="1263"/>
      <c r="Y21" s="368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1"/>
      <c r="Q22" s="1262"/>
      <c r="R22" s="631"/>
      <c r="S22" s="632"/>
      <c r="T22" s="631"/>
      <c r="U22" s="632"/>
      <c r="V22" s="631"/>
      <c r="W22" s="632"/>
      <c r="X22" s="1263"/>
      <c r="Y22" s="368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1"/>
      <c r="Q23" s="1255" t="str">
        <f t="shared" si="8"/>
        <v>公共配套设施</v>
      </c>
      <c r="R23" s="627" t="s">
        <v>25</v>
      </c>
      <c r="S23" s="628">
        <f>F23</f>
        <v>100</v>
      </c>
      <c r="T23" s="627" t="s">
        <v>25</v>
      </c>
      <c r="U23" s="628">
        <f>H23</f>
        <v>100</v>
      </c>
      <c r="V23" s="627" t="s">
        <v>25</v>
      </c>
      <c r="W23" s="628">
        <f>J23</f>
        <v>100</v>
      </c>
      <c r="X23" s="629"/>
      <c r="Y23" s="368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1"/>
      <c r="Q24" s="1255"/>
      <c r="R24" s="627"/>
      <c r="S24" s="628"/>
      <c r="T24" s="627"/>
      <c r="U24" s="628"/>
      <c r="V24" s="627"/>
      <c r="W24" s="628"/>
      <c r="X24" s="629"/>
      <c r="Y24" s="368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1"/>
      <c r="Q25" s="1255" t="str">
        <f t="shared" ref="Q25" si="9">B25</f>
        <v>基础设施水平</v>
      </c>
      <c r="R25" s="627" t="s">
        <v>25</v>
      </c>
      <c r="S25" s="628">
        <f>F25</f>
        <v>100</v>
      </c>
      <c r="T25" s="627" t="s">
        <v>25</v>
      </c>
      <c r="U25" s="628">
        <f>H25</f>
        <v>100</v>
      </c>
      <c r="V25" s="627" t="s">
        <v>25</v>
      </c>
      <c r="W25" s="628">
        <f>J25</f>
        <v>100</v>
      </c>
      <c r="X25" s="629"/>
      <c r="Y25" s="368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1"/>
      <c r="Q26" s="1255"/>
      <c r="R26" s="627"/>
      <c r="S26" s="628"/>
      <c r="T26" s="627"/>
      <c r="U26" s="628"/>
      <c r="V26" s="627"/>
      <c r="W26" s="628"/>
      <c r="X26" s="629"/>
      <c r="Y26" s="368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1"/>
      <c r="Q28" s="1262" t="str">
        <f t="shared" si="8"/>
        <v>毗邻道路的类型与等级</v>
      </c>
      <c r="R28" s="631" t="s">
        <v>25</v>
      </c>
      <c r="S28" s="632">
        <f t="shared" si="10"/>
        <v>100</v>
      </c>
      <c r="T28" s="631" t="s">
        <v>25</v>
      </c>
      <c r="U28" s="632">
        <f t="shared" si="11"/>
        <v>100</v>
      </c>
      <c r="V28" s="631" t="s">
        <v>25</v>
      </c>
      <c r="W28" s="632">
        <f t="shared" si="12"/>
        <v>100</v>
      </c>
      <c r="X28" s="1263"/>
      <c r="Y28" s="368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1"/>
      <c r="Q29" s="1262"/>
      <c r="R29" s="631"/>
      <c r="S29" s="632"/>
      <c r="T29" s="631"/>
      <c r="U29" s="632"/>
      <c r="V29" s="631"/>
      <c r="W29" s="632"/>
      <c r="X29" s="1263"/>
      <c r="Y29" s="368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1"/>
      <c r="Q30" s="1262" t="str">
        <f t="shared" si="8"/>
        <v>土地级别</v>
      </c>
      <c r="R30" s="631" t="s">
        <v>25</v>
      </c>
      <c r="S30" s="632">
        <f t="shared" si="10"/>
        <v>100</v>
      </c>
      <c r="T30" s="631" t="s">
        <v>25</v>
      </c>
      <c r="U30" s="632">
        <f t="shared" si="11"/>
        <v>100</v>
      </c>
      <c r="V30" s="631" t="s">
        <v>25</v>
      </c>
      <c r="W30" s="632">
        <f t="shared" si="12"/>
        <v>100</v>
      </c>
      <c r="X30" s="1263"/>
      <c r="Y30" s="368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1"/>
      <c r="Q31" s="1262">
        <f t="shared" si="8"/>
        <v>111</v>
      </c>
      <c r="R31" s="631" t="s">
        <v>25</v>
      </c>
      <c r="S31" s="632">
        <f t="shared" si="10"/>
        <v>100</v>
      </c>
      <c r="T31" s="631" t="s">
        <v>25</v>
      </c>
      <c r="U31" s="632">
        <f t="shared" si="11"/>
        <v>100</v>
      </c>
      <c r="V31" s="631" t="s">
        <v>25</v>
      </c>
      <c r="W31" s="632">
        <f t="shared" si="12"/>
        <v>100</v>
      </c>
      <c r="X31" s="1263"/>
      <c r="Y31" s="368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3" t="s">
        <v>2037</v>
      </c>
      <c r="Q32" s="1262">
        <f t="shared" si="8"/>
        <v>111</v>
      </c>
      <c r="R32" s="631" t="s">
        <v>25</v>
      </c>
      <c r="S32" s="632">
        <f t="shared" si="10"/>
        <v>100</v>
      </c>
      <c r="T32" s="631" t="s">
        <v>25</v>
      </c>
      <c r="U32" s="632">
        <f t="shared" si="11"/>
        <v>100</v>
      </c>
      <c r="V32" s="631" t="s">
        <v>25</v>
      </c>
      <c r="W32" s="632">
        <f t="shared" si="12"/>
        <v>100</v>
      </c>
      <c r="X32" s="1263"/>
      <c r="Y32" s="368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4"/>
      <c r="Q33" s="1262">
        <f t="shared" si="8"/>
        <v>111</v>
      </c>
      <c r="R33" s="634" t="s">
        <v>25</v>
      </c>
      <c r="S33" s="635">
        <f t="shared" si="10"/>
        <v>100</v>
      </c>
      <c r="T33" s="634" t="s">
        <v>25</v>
      </c>
      <c r="U33" s="635">
        <f t="shared" si="11"/>
        <v>100</v>
      </c>
      <c r="V33" s="634" t="s">
        <v>25</v>
      </c>
      <c r="W33" s="635">
        <f t="shared" si="12"/>
        <v>100</v>
      </c>
      <c r="X33" s="636"/>
      <c r="Y33" s="368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4"/>
      <c r="Q34" s="1262" t="str">
        <f>B34</f>
        <v>宗地面积</v>
      </c>
      <c r="R34" s="631" t="s">
        <v>25</v>
      </c>
      <c r="S34" s="632" t="e">
        <f t="shared" si="10"/>
        <v>#N/A</v>
      </c>
      <c r="T34" s="631" t="s">
        <v>25</v>
      </c>
      <c r="U34" s="632" t="e">
        <f t="shared" si="11"/>
        <v>#N/A</v>
      </c>
      <c r="V34" s="631" t="s">
        <v>25</v>
      </c>
      <c r="W34" s="632" t="e">
        <f t="shared" si="12"/>
        <v>#N/A</v>
      </c>
      <c r="X34" s="1263"/>
      <c r="Y34" s="368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4"/>
      <c r="Q35" s="1262" t="str">
        <f t="shared" ref="Q35:Q40" si="14">B35</f>
        <v>宗地形状</v>
      </c>
      <c r="R35" s="631" t="s">
        <v>25</v>
      </c>
      <c r="S35" s="632">
        <f t="shared" si="10"/>
        <v>100</v>
      </c>
      <c r="T35" s="631" t="s">
        <v>25</v>
      </c>
      <c r="U35" s="632">
        <f t="shared" si="11"/>
        <v>100</v>
      </c>
      <c r="V35" s="631" t="s">
        <v>25</v>
      </c>
      <c r="W35" s="632">
        <f t="shared" si="12"/>
        <v>100</v>
      </c>
      <c r="X35" s="1263"/>
      <c r="Y35" s="368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4"/>
      <c r="Q36" s="1262" t="str">
        <f t="shared" si="14"/>
        <v>宗地开发程度</v>
      </c>
      <c r="R36" s="627" t="s">
        <v>25</v>
      </c>
      <c r="S36" s="628">
        <f t="shared" si="10"/>
        <v>100</v>
      </c>
      <c r="T36" s="627" t="s">
        <v>25</v>
      </c>
      <c r="U36" s="628">
        <f t="shared" si="11"/>
        <v>100</v>
      </c>
      <c r="V36" s="627" t="s">
        <v>25</v>
      </c>
      <c r="W36" s="628">
        <f t="shared" si="12"/>
        <v>100</v>
      </c>
      <c r="X36" s="629"/>
      <c r="Y36" s="368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4" t="s">
        <v>2037</v>
      </c>
      <c r="Q37" s="1262" t="str">
        <f t="shared" si="14"/>
        <v>工程地质条件</v>
      </c>
      <c r="R37" s="631" t="s">
        <v>25</v>
      </c>
      <c r="S37" s="632">
        <f t="shared" si="10"/>
        <v>100</v>
      </c>
      <c r="T37" s="631" t="s">
        <v>25</v>
      </c>
      <c r="U37" s="632">
        <f t="shared" si="11"/>
        <v>100</v>
      </c>
      <c r="V37" s="631" t="s">
        <v>25</v>
      </c>
      <c r="W37" s="632">
        <f t="shared" si="12"/>
        <v>100</v>
      </c>
      <c r="X37" s="1263"/>
      <c r="Y37" s="368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4"/>
      <c r="Q38" s="1262">
        <f t="shared" si="14"/>
        <v>111</v>
      </c>
      <c r="R38" s="631" t="s">
        <v>25</v>
      </c>
      <c r="S38" s="632">
        <f t="shared" si="10"/>
        <v>100</v>
      </c>
      <c r="T38" s="631" t="s">
        <v>25</v>
      </c>
      <c r="U38" s="632">
        <f t="shared" si="11"/>
        <v>100</v>
      </c>
      <c r="V38" s="631" t="s">
        <v>25</v>
      </c>
      <c r="W38" s="632">
        <f t="shared" si="12"/>
        <v>100</v>
      </c>
      <c r="X38" s="1263"/>
      <c r="Y38" s="368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4"/>
      <c r="Q39" s="1262">
        <f t="shared" si="14"/>
        <v>111</v>
      </c>
      <c r="R39" s="631" t="s">
        <v>25</v>
      </c>
      <c r="S39" s="632">
        <f t="shared" si="10"/>
        <v>100</v>
      </c>
      <c r="T39" s="631" t="s">
        <v>25</v>
      </c>
      <c r="U39" s="632">
        <f t="shared" si="11"/>
        <v>100</v>
      </c>
      <c r="V39" s="631" t="s">
        <v>25</v>
      </c>
      <c r="W39" s="632">
        <f t="shared" si="12"/>
        <v>100</v>
      </c>
      <c r="X39" s="1263"/>
      <c r="Y39" s="368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4"/>
      <c r="Q40" s="1262">
        <f t="shared" si="14"/>
        <v>111</v>
      </c>
      <c r="R40" s="634" t="s">
        <v>25</v>
      </c>
      <c r="S40" s="635">
        <f t="shared" si="10"/>
        <v>100</v>
      </c>
      <c r="T40" s="634" t="s">
        <v>25</v>
      </c>
      <c r="U40" s="635">
        <f t="shared" si="11"/>
        <v>100</v>
      </c>
      <c r="V40" s="634" t="s">
        <v>25</v>
      </c>
      <c r="W40" s="635">
        <f t="shared" si="12"/>
        <v>100</v>
      </c>
      <c r="X40" s="636"/>
      <c r="Y40" s="368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2" t="str">
        <f>A41</f>
        <v>成交单价</v>
      </c>
      <c r="Q41" s="3652"/>
      <c r="R41" s="3676">
        <f>E41</f>
        <v>0</v>
      </c>
      <c r="S41" s="3676"/>
      <c r="T41" s="3676">
        <f>G41</f>
        <v>0</v>
      </c>
      <c r="U41" s="3676"/>
      <c r="V41" s="3676">
        <f>I41</f>
        <v>0</v>
      </c>
      <c r="W41" s="367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2" t="str">
        <f>A42</f>
        <v>比较价值（元/平方米）</v>
      </c>
      <c r="Q42" s="3652"/>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7" t="str">
        <f>A43</f>
        <v>估价对象XX用房的比较价值（楼面单价，元/平方米）</v>
      </c>
      <c r="Q43" s="3688"/>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估价对象为北京市房地产，为XX所有。根据《》[]，估价对象建筑面积为199.15平方米。根据《》[]，估价对象（分摊）出让国有建设用地使用权面积为平方米。估价对象用途为。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199.15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1"/>
      <c r="B4" s="3712"/>
      <c r="C4" s="3712"/>
      <c r="D4" s="3713"/>
      <c r="E4" s="3713"/>
      <c r="F4" s="3713"/>
      <c r="G4" s="3713"/>
      <c r="H4" s="3713"/>
      <c r="I4" s="3713"/>
      <c r="J4" s="371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9" t="s">
        <v>2292</v>
      </c>
      <c r="X8" s="371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44736</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0.80779999999999996</v>
      </c>
      <c r="D20" s="2130" t="s">
        <v>2354</v>
      </c>
      <c r="E20" s="3072">
        <f>存贷款利率!E21/100</f>
        <v>4.3499999999999997E-2</v>
      </c>
      <c r="F20" s="2130" t="s">
        <v>2343</v>
      </c>
      <c r="G20" s="3073">
        <f>SUMIF(M26:P26,E2,M28:P28)</f>
        <v>0.05</v>
      </c>
      <c r="H20" s="2130" t="s">
        <v>2355</v>
      </c>
      <c r="I20" s="2131">
        <f>'数据-取费表'!B13</f>
        <v>31.15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199.15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7" t="s">
        <v>2803</v>
      </c>
      <c r="B20" s="3730" t="s">
        <v>2811</v>
      </c>
      <c r="C20" s="3290" t="s">
        <v>2812</v>
      </c>
      <c r="D20" s="3291"/>
      <c r="E20" s="3292">
        <v>1</v>
      </c>
      <c r="F20" s="3293" t="s">
        <v>2813</v>
      </c>
      <c r="G20" s="3293"/>
    </row>
    <row r="21" spans="1:13" ht="19.5" customHeight="1">
      <c r="A21" s="3728"/>
      <c r="B21" s="3726"/>
      <c r="C21" s="740" t="s">
        <v>2814</v>
      </c>
      <c r="D21" s="741"/>
      <c r="E21" s="3294">
        <v>1</v>
      </c>
      <c r="F21" s="3293" t="s">
        <v>2815</v>
      </c>
      <c r="G21" s="3293"/>
    </row>
    <row r="22" spans="1:13" ht="19.5" customHeight="1">
      <c r="A22" s="3728"/>
      <c r="B22" s="3726"/>
      <c r="C22" s="740" t="s">
        <v>2816</v>
      </c>
      <c r="D22" s="741"/>
      <c r="E22" s="3294">
        <v>0.9</v>
      </c>
      <c r="F22" s="3293" t="s">
        <v>2817</v>
      </c>
      <c r="G22" s="3293"/>
    </row>
    <row r="23" spans="1:13" ht="19.5" customHeight="1">
      <c r="A23" s="3728"/>
      <c r="B23" s="3726"/>
      <c r="C23" s="740" t="s">
        <v>2818</v>
      </c>
      <c r="D23" s="741"/>
      <c r="E23" s="3294">
        <v>0.9</v>
      </c>
      <c r="F23" s="3293" t="s">
        <v>2819</v>
      </c>
      <c r="G23" s="3293"/>
    </row>
    <row r="24" spans="1:13" ht="19.5" customHeight="1">
      <c r="A24" s="3728"/>
      <c r="B24" s="3726"/>
      <c r="C24" s="740" t="s">
        <v>2820</v>
      </c>
      <c r="D24" s="741"/>
      <c r="E24" s="3294">
        <v>0.8</v>
      </c>
      <c r="F24" s="3293" t="s">
        <v>2821</v>
      </c>
      <c r="G24" s="3293"/>
    </row>
    <row r="25" spans="1:13" ht="19.5" customHeight="1" thickBot="1">
      <c r="A25" s="3729"/>
      <c r="B25" s="3731"/>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2" t="s">
        <v>2808</v>
      </c>
      <c r="B27" s="3730" t="s">
        <v>2808</v>
      </c>
      <c r="C27" s="3290" t="s">
        <v>2825</v>
      </c>
      <c r="D27" s="3291"/>
      <c r="E27" s="3292">
        <v>1</v>
      </c>
      <c r="F27" s="3293" t="s">
        <v>2866</v>
      </c>
      <c r="G27" s="3293"/>
    </row>
    <row r="28" spans="1:13" ht="19.5" customHeight="1">
      <c r="A28" s="3733"/>
      <c r="B28" s="3726"/>
      <c r="C28" s="740" t="s">
        <v>2826</v>
      </c>
      <c r="D28" s="741"/>
      <c r="E28" s="3294">
        <v>1</v>
      </c>
      <c r="F28" s="3293" t="s">
        <v>2867</v>
      </c>
      <c r="G28" s="3293"/>
    </row>
    <row r="29" spans="1:13" ht="19.5" customHeight="1">
      <c r="A29" s="3733"/>
      <c r="B29" s="3726"/>
      <c r="C29" s="740" t="s">
        <v>2827</v>
      </c>
      <c r="D29" s="741"/>
      <c r="E29" s="3294">
        <v>0.8</v>
      </c>
      <c r="F29" s="3293" t="s">
        <v>2868</v>
      </c>
      <c r="G29" s="3293"/>
    </row>
    <row r="30" spans="1:13" ht="19.5" customHeight="1">
      <c r="A30" s="3733"/>
      <c r="B30" s="3726"/>
      <c r="C30" s="740" t="s">
        <v>2828</v>
      </c>
      <c r="D30" s="741"/>
      <c r="E30" s="3294">
        <v>0.8</v>
      </c>
      <c r="F30" s="3293" t="s">
        <v>2869</v>
      </c>
      <c r="G30" s="3293"/>
    </row>
    <row r="31" spans="1:13" ht="19.5" customHeight="1">
      <c r="A31" s="3733"/>
      <c r="B31" s="3726"/>
      <c r="C31" s="740" t="s">
        <v>2829</v>
      </c>
      <c r="D31" s="741"/>
      <c r="E31" s="3294">
        <v>0.8</v>
      </c>
      <c r="F31" s="3293" t="s">
        <v>2870</v>
      </c>
      <c r="G31" s="3293"/>
    </row>
    <row r="32" spans="1:13" ht="19.5" customHeight="1">
      <c r="A32" s="3733"/>
      <c r="B32" s="3726"/>
      <c r="C32" s="740" t="s">
        <v>2830</v>
      </c>
      <c r="D32" s="741"/>
      <c r="E32" s="3294">
        <v>0.7</v>
      </c>
      <c r="F32" s="3293" t="s">
        <v>2871</v>
      </c>
      <c r="G32" s="3293"/>
    </row>
    <row r="33" spans="1:7" ht="19.5" customHeight="1">
      <c r="A33" s="3733"/>
      <c r="B33" s="3726"/>
      <c r="C33" s="740" t="s">
        <v>2831</v>
      </c>
      <c r="D33" s="741"/>
      <c r="E33" s="3294">
        <v>0.8</v>
      </c>
      <c r="F33" s="3293" t="s">
        <v>2872</v>
      </c>
      <c r="G33" s="3293"/>
    </row>
    <row r="34" spans="1:7" ht="19.5" customHeight="1">
      <c r="A34" s="3733"/>
      <c r="B34" s="3726"/>
      <c r="C34" s="740" t="s">
        <v>2832</v>
      </c>
      <c r="D34" s="741"/>
      <c r="E34" s="3294">
        <v>0.6</v>
      </c>
      <c r="F34" s="3293" t="s">
        <v>2873</v>
      </c>
      <c r="G34" s="3293"/>
    </row>
    <row r="35" spans="1:7" ht="19.5" customHeight="1">
      <c r="A35" s="3733"/>
      <c r="B35" s="3726"/>
      <c r="C35" s="740" t="s">
        <v>2833</v>
      </c>
      <c r="D35" s="741"/>
      <c r="E35" s="3294">
        <v>0.2</v>
      </c>
      <c r="F35" s="3293" t="s">
        <v>2874</v>
      </c>
      <c r="G35" s="3293"/>
    </row>
    <row r="36" spans="1:7" ht="19.5" customHeight="1">
      <c r="A36" s="3733"/>
      <c r="B36" s="3726"/>
      <c r="C36" s="740" t="s">
        <v>2834</v>
      </c>
      <c r="D36" s="741"/>
      <c r="E36" s="3294">
        <v>0.2</v>
      </c>
      <c r="F36" s="3293" t="s">
        <v>2875</v>
      </c>
      <c r="G36" s="3293"/>
    </row>
    <row r="37" spans="1:7" ht="19.5" customHeight="1">
      <c r="A37" s="3733"/>
      <c r="B37" s="3724" t="s">
        <v>2835</v>
      </c>
      <c r="C37" s="740" t="s">
        <v>2836</v>
      </c>
      <c r="D37" s="741"/>
      <c r="E37" s="3294">
        <v>0.6</v>
      </c>
      <c r="F37" s="3293" t="s">
        <v>2876</v>
      </c>
      <c r="G37" s="3293"/>
    </row>
    <row r="38" spans="1:7" ht="19.5" customHeight="1">
      <c r="A38" s="3733"/>
      <c r="B38" s="3726"/>
      <c r="C38" s="740" t="s">
        <v>2837</v>
      </c>
      <c r="D38" s="741"/>
      <c r="E38" s="3294">
        <v>0.6</v>
      </c>
      <c r="F38" s="3293" t="s">
        <v>2877</v>
      </c>
      <c r="G38" s="3293"/>
    </row>
    <row r="39" spans="1:7" ht="19.5" customHeight="1" thickBot="1">
      <c r="A39" s="3734"/>
      <c r="B39" s="3731"/>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7" t="s">
        <v>2841</v>
      </c>
      <c r="B41" s="3730" t="s">
        <v>2842</v>
      </c>
      <c r="C41" s="3290" t="s">
        <v>2843</v>
      </c>
      <c r="D41" s="3291"/>
      <c r="E41" s="3292">
        <v>1</v>
      </c>
      <c r="F41" s="3293" t="s">
        <v>2844</v>
      </c>
      <c r="G41" s="3293"/>
    </row>
    <row r="42" spans="1:7" ht="19.5" customHeight="1">
      <c r="A42" s="3728"/>
      <c r="B42" s="3726"/>
      <c r="C42" s="740" t="s">
        <v>2845</v>
      </c>
      <c r="D42" s="741"/>
      <c r="E42" s="3294">
        <v>1</v>
      </c>
      <c r="F42" s="3293" t="s">
        <v>2846</v>
      </c>
      <c r="G42" s="3293"/>
    </row>
    <row r="43" spans="1:7" ht="19.5" customHeight="1">
      <c r="A43" s="3728"/>
      <c r="B43" s="3725"/>
      <c r="C43" s="740" t="s">
        <v>2847</v>
      </c>
      <c r="D43" s="741"/>
      <c r="E43" s="3294">
        <v>1.5</v>
      </c>
      <c r="F43" s="3293" t="s">
        <v>2848</v>
      </c>
      <c r="G43" s="3293"/>
    </row>
    <row r="44" spans="1:7" ht="19.5" customHeight="1">
      <c r="A44" s="3728"/>
      <c r="B44" s="3303" t="s">
        <v>2808</v>
      </c>
      <c r="C44" s="740" t="s">
        <v>2807</v>
      </c>
      <c r="D44" s="741"/>
      <c r="E44" s="3294">
        <v>2</v>
      </c>
      <c r="F44" s="3293" t="s">
        <v>2849</v>
      </c>
      <c r="G44" s="3293"/>
    </row>
    <row r="45" spans="1:7" ht="19.5" customHeight="1">
      <c r="A45" s="3728"/>
      <c r="B45" s="3724" t="s">
        <v>2850</v>
      </c>
      <c r="C45" s="740" t="s">
        <v>2851</v>
      </c>
      <c r="D45" s="741"/>
      <c r="E45" s="3294">
        <v>1</v>
      </c>
      <c r="F45" s="3293" t="s">
        <v>2852</v>
      </c>
      <c r="G45" s="3293"/>
    </row>
    <row r="46" spans="1:7" ht="19.5" customHeight="1">
      <c r="A46" s="3728"/>
      <c r="B46" s="3726"/>
      <c r="C46" s="740" t="s">
        <v>2853</v>
      </c>
      <c r="D46" s="741"/>
      <c r="E46" s="3294">
        <v>1</v>
      </c>
      <c r="F46" s="3293" t="s">
        <v>2854</v>
      </c>
      <c r="G46" s="3293"/>
    </row>
    <row r="47" spans="1:7" ht="19.5" customHeight="1">
      <c r="A47" s="3728"/>
      <c r="B47" s="3726"/>
      <c r="C47" s="740" t="s">
        <v>2855</v>
      </c>
      <c r="D47" s="741"/>
      <c r="E47" s="3294">
        <v>1</v>
      </c>
      <c r="F47" s="3293" t="s">
        <v>2856</v>
      </c>
      <c r="G47" s="3293"/>
    </row>
    <row r="48" spans="1:7" ht="19.5" customHeight="1">
      <c r="A48" s="3728"/>
      <c r="B48" s="3726"/>
      <c r="C48" s="740" t="s">
        <v>2857</v>
      </c>
      <c r="D48" s="741"/>
      <c r="E48" s="3294">
        <v>1</v>
      </c>
      <c r="F48" s="3293" t="s">
        <v>2858</v>
      </c>
      <c r="G48" s="3293"/>
    </row>
    <row r="49" spans="1:7" ht="19.5" customHeight="1">
      <c r="A49" s="3728"/>
      <c r="B49" s="3726"/>
      <c r="C49" s="740" t="s">
        <v>2859</v>
      </c>
      <c r="D49" s="741"/>
      <c r="E49" s="3294">
        <v>1</v>
      </c>
      <c r="F49" s="3293" t="s">
        <v>2860</v>
      </c>
      <c r="G49" s="3293"/>
    </row>
    <row r="50" spans="1:7" ht="19.5" customHeight="1">
      <c r="A50" s="3728"/>
      <c r="B50" s="3726"/>
      <c r="C50" s="740" t="s">
        <v>2861</v>
      </c>
      <c r="D50" s="741"/>
      <c r="E50" s="3294">
        <v>1</v>
      </c>
      <c r="F50" s="3293" t="s">
        <v>2862</v>
      </c>
      <c r="G50" s="3293"/>
    </row>
    <row r="51" spans="1:7" ht="19.5" customHeight="1" thickBot="1">
      <c r="A51" s="3729"/>
      <c r="B51" s="3731"/>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4" t="s">
        <v>2881</v>
      </c>
      <c r="C73" s="3284" t="s">
        <v>2882</v>
      </c>
      <c r="D73" s="3284" t="s">
        <v>2883</v>
      </c>
      <c r="E73" s="3309">
        <v>0.2</v>
      </c>
      <c r="F73" s="3303">
        <v>25</v>
      </c>
    </row>
    <row r="74" spans="1:7" ht="24">
      <c r="A74" s="3303">
        <v>2</v>
      </c>
      <c r="B74" s="3726"/>
      <c r="C74" s="3284" t="s">
        <v>2884</v>
      </c>
      <c r="D74" s="3284" t="s">
        <v>2885</v>
      </c>
      <c r="E74" s="3309">
        <v>0.2</v>
      </c>
      <c r="F74" s="3303">
        <v>25</v>
      </c>
    </row>
    <row r="75" spans="1:7" ht="24">
      <c r="A75" s="3303">
        <v>3</v>
      </c>
      <c r="B75" s="3726"/>
      <c r="C75" s="3284" t="s">
        <v>2886</v>
      </c>
      <c r="D75" s="3284" t="s">
        <v>2887</v>
      </c>
      <c r="E75" s="3309">
        <v>0.2</v>
      </c>
      <c r="F75" s="3303">
        <v>25</v>
      </c>
    </row>
    <row r="76" spans="1:7" ht="13.5">
      <c r="A76" s="3303">
        <v>4</v>
      </c>
      <c r="B76" s="3726"/>
      <c r="C76" s="3284" t="s">
        <v>2888</v>
      </c>
      <c r="D76" s="3284" t="s">
        <v>2889</v>
      </c>
      <c r="E76" s="3309">
        <v>0.15</v>
      </c>
      <c r="F76" s="3303">
        <v>20</v>
      </c>
    </row>
    <row r="77" spans="1:7" ht="24">
      <c r="A77" s="3303">
        <v>5</v>
      </c>
      <c r="B77" s="3726"/>
      <c r="C77" s="3284" t="s">
        <v>2890</v>
      </c>
      <c r="D77" s="3284" t="s">
        <v>2891</v>
      </c>
      <c r="E77" s="3309">
        <v>0.15</v>
      </c>
      <c r="F77" s="3303">
        <v>20</v>
      </c>
    </row>
    <row r="78" spans="1:7" ht="24">
      <c r="A78" s="3303">
        <v>6</v>
      </c>
      <c r="B78" s="3726"/>
      <c r="C78" s="3284" t="s">
        <v>2892</v>
      </c>
      <c r="D78" s="3284" t="s">
        <v>2893</v>
      </c>
      <c r="E78" s="3309">
        <v>0.15</v>
      </c>
      <c r="F78" s="3303">
        <v>20</v>
      </c>
    </row>
    <row r="79" spans="1:7" ht="24">
      <c r="A79" s="3303">
        <v>7</v>
      </c>
      <c r="B79" s="3726"/>
      <c r="C79" s="3284" t="s">
        <v>2894</v>
      </c>
      <c r="D79" s="3284" t="s">
        <v>2895</v>
      </c>
      <c r="E79" s="3309">
        <v>0.15</v>
      </c>
      <c r="F79" s="3303">
        <v>20</v>
      </c>
    </row>
    <row r="80" spans="1:7" ht="24">
      <c r="A80" s="3303">
        <v>8</v>
      </c>
      <c r="B80" s="3726"/>
      <c r="C80" s="3284" t="s">
        <v>2896</v>
      </c>
      <c r="D80" s="3284" t="s">
        <v>2897</v>
      </c>
      <c r="E80" s="3309">
        <v>0.1</v>
      </c>
      <c r="F80" s="3303">
        <v>15</v>
      </c>
    </row>
    <row r="81" spans="1:6" ht="24">
      <c r="A81" s="3303">
        <v>9</v>
      </c>
      <c r="B81" s="3726"/>
      <c r="C81" s="3284" t="s">
        <v>2898</v>
      </c>
      <c r="D81" s="3284" t="s">
        <v>2899</v>
      </c>
      <c r="E81" s="3309">
        <v>0.1</v>
      </c>
      <c r="F81" s="3303">
        <v>15</v>
      </c>
    </row>
    <row r="82" spans="1:6" ht="24">
      <c r="A82" s="3303">
        <v>10</v>
      </c>
      <c r="B82" s="3726"/>
      <c r="C82" s="3284" t="s">
        <v>2900</v>
      </c>
      <c r="D82" s="3284" t="s">
        <v>2901</v>
      </c>
      <c r="E82" s="3309">
        <v>0.1</v>
      </c>
      <c r="F82" s="3303">
        <v>15</v>
      </c>
    </row>
    <row r="83" spans="1:6" ht="24">
      <c r="A83" s="3303">
        <v>11</v>
      </c>
      <c r="B83" s="3726"/>
      <c r="C83" s="3284" t="s">
        <v>2902</v>
      </c>
      <c r="D83" s="3284" t="s">
        <v>2903</v>
      </c>
      <c r="E83" s="3309">
        <v>0.1</v>
      </c>
      <c r="F83" s="3303">
        <v>15</v>
      </c>
    </row>
    <row r="84" spans="1:6" ht="24">
      <c r="A84" s="3303">
        <v>12</v>
      </c>
      <c r="B84" s="3726"/>
      <c r="C84" s="3284" t="s">
        <v>2904</v>
      </c>
      <c r="D84" s="3284" t="s">
        <v>2905</v>
      </c>
      <c r="E84" s="3309">
        <v>0.1</v>
      </c>
      <c r="F84" s="3303">
        <v>15</v>
      </c>
    </row>
    <row r="85" spans="1:6" ht="13.5">
      <c r="A85" s="3303">
        <v>13</v>
      </c>
      <c r="B85" s="3726"/>
      <c r="C85" s="3284" t="s">
        <v>2906</v>
      </c>
      <c r="D85" s="3284" t="s">
        <v>2907</v>
      </c>
      <c r="E85" s="3309">
        <v>0.1</v>
      </c>
      <c r="F85" s="3303">
        <v>15</v>
      </c>
    </row>
    <row r="86" spans="1:6" ht="13.5">
      <c r="A86" s="3303">
        <v>14</v>
      </c>
      <c r="B86" s="3726"/>
      <c r="C86" s="3284" t="s">
        <v>2908</v>
      </c>
      <c r="D86" s="3284" t="s">
        <v>2909</v>
      </c>
      <c r="E86" s="3309">
        <v>0.1</v>
      </c>
      <c r="F86" s="3303">
        <v>15</v>
      </c>
    </row>
    <row r="87" spans="1:6" ht="13.5">
      <c r="A87" s="3303">
        <v>15</v>
      </c>
      <c r="B87" s="3726"/>
      <c r="C87" s="3284" t="s">
        <v>2910</v>
      </c>
      <c r="D87" s="3284" t="s">
        <v>2911</v>
      </c>
      <c r="E87" s="3309">
        <v>0.1</v>
      </c>
      <c r="F87" s="3303">
        <v>15</v>
      </c>
    </row>
    <row r="88" spans="1:6" ht="24">
      <c r="A88" s="3303">
        <v>16</v>
      </c>
      <c r="B88" s="3726"/>
      <c r="C88" s="3284" t="s">
        <v>2912</v>
      </c>
      <c r="D88" s="3284" t="s">
        <v>2913</v>
      </c>
      <c r="E88" s="3309">
        <v>0.1</v>
      </c>
      <c r="F88" s="3303">
        <v>15</v>
      </c>
    </row>
    <row r="89" spans="1:6" ht="24">
      <c r="A89" s="3303">
        <v>17</v>
      </c>
      <c r="B89" s="3725"/>
      <c r="C89" s="3284" t="s">
        <v>2914</v>
      </c>
      <c r="D89" s="3284" t="s">
        <v>2915</v>
      </c>
      <c r="E89" s="3309">
        <v>0.1</v>
      </c>
      <c r="F89" s="3303">
        <v>15</v>
      </c>
    </row>
    <row r="90" spans="1:6" ht="13.5">
      <c r="A90" s="3303">
        <v>18</v>
      </c>
      <c r="B90" s="3724" t="s">
        <v>2916</v>
      </c>
      <c r="C90" s="3284" t="s">
        <v>2917</v>
      </c>
      <c r="D90" s="3284" t="s">
        <v>2918</v>
      </c>
      <c r="E90" s="3309">
        <v>0.2</v>
      </c>
      <c r="F90" s="3303">
        <v>25</v>
      </c>
    </row>
    <row r="91" spans="1:6" ht="24">
      <c r="A91" s="3303">
        <v>19</v>
      </c>
      <c r="B91" s="3726"/>
      <c r="C91" s="3284" t="s">
        <v>2919</v>
      </c>
      <c r="D91" s="3284" t="s">
        <v>2920</v>
      </c>
      <c r="E91" s="3309">
        <v>0.2</v>
      </c>
      <c r="F91" s="3303">
        <v>25</v>
      </c>
    </row>
    <row r="92" spans="1:6" ht="13.5">
      <c r="A92" s="3303">
        <v>20</v>
      </c>
      <c r="B92" s="3726"/>
      <c r="C92" s="3284" t="s">
        <v>2921</v>
      </c>
      <c r="D92" s="3284" t="s">
        <v>2922</v>
      </c>
      <c r="E92" s="3309">
        <v>0.15</v>
      </c>
      <c r="F92" s="3303">
        <v>20</v>
      </c>
    </row>
    <row r="93" spans="1:6" ht="24">
      <c r="A93" s="3303">
        <v>21</v>
      </c>
      <c r="B93" s="3726"/>
      <c r="C93" s="3284" t="s">
        <v>2923</v>
      </c>
      <c r="D93" s="3284" t="s">
        <v>2924</v>
      </c>
      <c r="E93" s="3309">
        <v>0.15</v>
      </c>
      <c r="F93" s="3303">
        <v>20</v>
      </c>
    </row>
    <row r="94" spans="1:6" ht="24">
      <c r="A94" s="3303">
        <v>22</v>
      </c>
      <c r="B94" s="3726"/>
      <c r="C94" s="3284" t="s">
        <v>2925</v>
      </c>
      <c r="D94" s="3284" t="s">
        <v>2926</v>
      </c>
      <c r="E94" s="3309">
        <v>0.15</v>
      </c>
      <c r="F94" s="3303">
        <v>20</v>
      </c>
    </row>
    <row r="95" spans="1:6" ht="36">
      <c r="A95" s="3303">
        <v>23</v>
      </c>
      <c r="B95" s="3726"/>
      <c r="C95" s="3284" t="s">
        <v>2927</v>
      </c>
      <c r="D95" s="3284" t="s">
        <v>2928</v>
      </c>
      <c r="E95" s="3309">
        <v>0.15</v>
      </c>
      <c r="F95" s="3303">
        <v>20</v>
      </c>
    </row>
    <row r="96" spans="1:6" ht="13.5">
      <c r="A96" s="3303">
        <v>24</v>
      </c>
      <c r="B96" s="3726"/>
      <c r="C96" s="3284" t="s">
        <v>2929</v>
      </c>
      <c r="D96" s="3284" t="s">
        <v>2930</v>
      </c>
      <c r="E96" s="3309">
        <v>0.1</v>
      </c>
      <c r="F96" s="3303">
        <v>15</v>
      </c>
    </row>
    <row r="97" spans="1:6" ht="24">
      <c r="A97" s="3303">
        <v>25</v>
      </c>
      <c r="B97" s="3726"/>
      <c r="C97" s="3284" t="s">
        <v>2931</v>
      </c>
      <c r="D97" s="3284" t="s">
        <v>2932</v>
      </c>
      <c r="E97" s="3309">
        <v>0.1</v>
      </c>
      <c r="F97" s="3303">
        <v>15</v>
      </c>
    </row>
    <row r="98" spans="1:6" ht="24">
      <c r="A98" s="3303">
        <v>26</v>
      </c>
      <c r="B98" s="3726"/>
      <c r="C98" s="3284" t="s">
        <v>2933</v>
      </c>
      <c r="D98" s="3284" t="s">
        <v>2934</v>
      </c>
      <c r="E98" s="3309">
        <v>0.1</v>
      </c>
      <c r="F98" s="3303">
        <v>15</v>
      </c>
    </row>
    <row r="99" spans="1:6" ht="24">
      <c r="A99" s="3303">
        <v>27</v>
      </c>
      <c r="B99" s="3726"/>
      <c r="C99" s="3284" t="s">
        <v>2935</v>
      </c>
      <c r="D99" s="3284" t="s">
        <v>2936</v>
      </c>
      <c r="E99" s="3309">
        <v>0.1</v>
      </c>
      <c r="F99" s="3303">
        <v>15</v>
      </c>
    </row>
    <row r="100" spans="1:6" ht="24">
      <c r="A100" s="3303">
        <v>28</v>
      </c>
      <c r="B100" s="3726"/>
      <c r="C100" s="3284" t="s">
        <v>2937</v>
      </c>
      <c r="D100" s="3284" t="s">
        <v>2938</v>
      </c>
      <c r="E100" s="3309">
        <v>0.1</v>
      </c>
      <c r="F100" s="3303">
        <v>15</v>
      </c>
    </row>
    <row r="101" spans="1:6" ht="24">
      <c r="A101" s="3303">
        <v>29</v>
      </c>
      <c r="B101" s="3726"/>
      <c r="C101" s="3284" t="s">
        <v>2939</v>
      </c>
      <c r="D101" s="3284" t="s">
        <v>2940</v>
      </c>
      <c r="E101" s="3309">
        <v>0.1</v>
      </c>
      <c r="F101" s="3303">
        <v>15</v>
      </c>
    </row>
    <row r="102" spans="1:6" ht="24">
      <c r="A102" s="3303">
        <v>30</v>
      </c>
      <c r="B102" s="3726"/>
      <c r="C102" s="3284" t="s">
        <v>2941</v>
      </c>
      <c r="D102" s="3284" t="s">
        <v>2942</v>
      </c>
      <c r="E102" s="3309">
        <v>0.1</v>
      </c>
      <c r="F102" s="3303">
        <v>15</v>
      </c>
    </row>
    <row r="103" spans="1:6" ht="24">
      <c r="A103" s="3303">
        <v>31</v>
      </c>
      <c r="B103" s="3726"/>
      <c r="C103" s="3284" t="s">
        <v>2943</v>
      </c>
      <c r="D103" s="3284" t="s">
        <v>2944</v>
      </c>
      <c r="E103" s="3309">
        <v>0.1</v>
      </c>
      <c r="F103" s="3303">
        <v>15</v>
      </c>
    </row>
    <row r="104" spans="1:6" ht="24">
      <c r="A104" s="3303">
        <v>32</v>
      </c>
      <c r="B104" s="3726"/>
      <c r="C104" s="3284" t="s">
        <v>2945</v>
      </c>
      <c r="D104" s="3284" t="s">
        <v>2946</v>
      </c>
      <c r="E104" s="3309">
        <v>0.1</v>
      </c>
      <c r="F104" s="3303">
        <v>15</v>
      </c>
    </row>
    <row r="105" spans="1:6" ht="24">
      <c r="A105" s="3303">
        <v>33</v>
      </c>
      <c r="B105" s="3726"/>
      <c r="C105" s="3284" t="s">
        <v>2947</v>
      </c>
      <c r="D105" s="3284" t="s">
        <v>2948</v>
      </c>
      <c r="E105" s="3309">
        <v>0.1</v>
      </c>
      <c r="F105" s="3303">
        <v>15</v>
      </c>
    </row>
    <row r="106" spans="1:6" ht="24">
      <c r="A106" s="3303">
        <v>34</v>
      </c>
      <c r="B106" s="3725"/>
      <c r="C106" s="3284" t="s">
        <v>2949</v>
      </c>
      <c r="D106" s="3284" t="s">
        <v>2950</v>
      </c>
      <c r="E106" s="3309">
        <v>0.1</v>
      </c>
      <c r="F106" s="3303">
        <v>15</v>
      </c>
    </row>
    <row r="107" spans="1:6" ht="24">
      <c r="A107" s="3303">
        <v>35</v>
      </c>
      <c r="B107" s="3724" t="s">
        <v>2951</v>
      </c>
      <c r="C107" s="3303" t="s">
        <v>2952</v>
      </c>
      <c r="D107" s="3284" t="s">
        <v>2953</v>
      </c>
      <c r="E107" s="3309">
        <v>0.15</v>
      </c>
      <c r="F107" s="3303">
        <v>20</v>
      </c>
    </row>
    <row r="108" spans="1:6" ht="24">
      <c r="A108" s="3303">
        <v>36</v>
      </c>
      <c r="B108" s="3726"/>
      <c r="C108" s="3303" t="s">
        <v>2954</v>
      </c>
      <c r="D108" s="3284" t="s">
        <v>2955</v>
      </c>
      <c r="E108" s="3309">
        <v>0.15</v>
      </c>
      <c r="F108" s="3303">
        <v>20</v>
      </c>
    </row>
    <row r="109" spans="1:6" ht="24">
      <c r="A109" s="3303">
        <v>37</v>
      </c>
      <c r="B109" s="3726"/>
      <c r="C109" s="3303" t="s">
        <v>2956</v>
      </c>
      <c r="D109" s="3284" t="s">
        <v>2957</v>
      </c>
      <c r="E109" s="3309">
        <v>0.15</v>
      </c>
      <c r="F109" s="3303">
        <v>20</v>
      </c>
    </row>
    <row r="110" spans="1:6" ht="13.5">
      <c r="A110" s="3303">
        <v>38</v>
      </c>
      <c r="B110" s="3726"/>
      <c r="C110" s="3303" t="s">
        <v>2958</v>
      </c>
      <c r="D110" s="3284" t="s">
        <v>2959</v>
      </c>
      <c r="E110" s="3309">
        <v>0.1</v>
      </c>
      <c r="F110" s="3303">
        <v>15</v>
      </c>
    </row>
    <row r="111" spans="1:6" ht="24">
      <c r="A111" s="3303">
        <v>39</v>
      </c>
      <c r="B111" s="3726"/>
      <c r="C111" s="3303" t="s">
        <v>2960</v>
      </c>
      <c r="D111" s="3284" t="s">
        <v>2961</v>
      </c>
      <c r="E111" s="3309">
        <v>0.1</v>
      </c>
      <c r="F111" s="3303">
        <v>15</v>
      </c>
    </row>
    <row r="112" spans="1:6" ht="24">
      <c r="A112" s="3303">
        <v>40</v>
      </c>
      <c r="B112" s="3725"/>
      <c r="C112" s="3303" t="s">
        <v>2962</v>
      </c>
      <c r="D112" s="3284" t="s">
        <v>2963</v>
      </c>
      <c r="E112" s="3309">
        <v>0.1</v>
      </c>
      <c r="F112" s="3303">
        <v>15</v>
      </c>
    </row>
    <row r="113" spans="1:6" ht="24">
      <c r="A113" s="3303">
        <v>41</v>
      </c>
      <c r="B113" s="3723" t="s">
        <v>2964</v>
      </c>
      <c r="C113" s="3303" t="s">
        <v>2965</v>
      </c>
      <c r="D113" s="3284" t="s">
        <v>2966</v>
      </c>
      <c r="E113" s="3309">
        <v>0.1</v>
      </c>
      <c r="F113" s="3303">
        <v>15</v>
      </c>
    </row>
    <row r="114" spans="1:6" ht="13.5">
      <c r="A114" s="3303">
        <v>42</v>
      </c>
      <c r="B114" s="3723"/>
      <c r="C114" s="3303" t="s">
        <v>2967</v>
      </c>
      <c r="D114" s="3284" t="s">
        <v>2968</v>
      </c>
      <c r="E114" s="3309">
        <v>0.1</v>
      </c>
      <c r="F114" s="3303">
        <v>15</v>
      </c>
    </row>
    <row r="115" spans="1:6" ht="24">
      <c r="A115" s="3303">
        <v>43</v>
      </c>
      <c r="B115" s="3723"/>
      <c r="C115" s="3303" t="s">
        <v>2969</v>
      </c>
      <c r="D115" s="3284" t="s">
        <v>2970</v>
      </c>
      <c r="E115" s="3309">
        <v>0.1</v>
      </c>
      <c r="F115" s="3303">
        <v>15</v>
      </c>
    </row>
    <row r="116" spans="1:6" ht="24">
      <c r="A116" s="3303">
        <v>44</v>
      </c>
      <c r="B116" s="3724" t="s">
        <v>2971</v>
      </c>
      <c r="C116" s="3303" t="s">
        <v>2972</v>
      </c>
      <c r="D116" s="3284" t="s">
        <v>2973</v>
      </c>
      <c r="E116" s="3309">
        <v>0.1</v>
      </c>
      <c r="F116" s="3303">
        <v>15</v>
      </c>
    </row>
    <row r="117" spans="1:6" ht="24">
      <c r="A117" s="3303">
        <v>45</v>
      </c>
      <c r="B117" s="3725"/>
      <c r="C117" s="3284" t="s">
        <v>2974</v>
      </c>
      <c r="D117" s="3284" t="s">
        <v>2975</v>
      </c>
      <c r="E117" s="3309">
        <v>0.1</v>
      </c>
      <c r="F117" s="3303">
        <v>15</v>
      </c>
    </row>
    <row r="118" spans="1:6" ht="24">
      <c r="A118" s="3303">
        <v>46</v>
      </c>
      <c r="B118" s="3724" t="s">
        <v>2976</v>
      </c>
      <c r="C118" s="3303" t="s">
        <v>2977</v>
      </c>
      <c r="D118" s="3284" t="s">
        <v>2978</v>
      </c>
      <c r="E118" s="3309">
        <v>0.1</v>
      </c>
      <c r="F118" s="3303">
        <v>15</v>
      </c>
    </row>
    <row r="119" spans="1:6" ht="24">
      <c r="A119" s="3303">
        <v>47</v>
      </c>
      <c r="B119" s="3725"/>
      <c r="C119" s="3303" t="s">
        <v>2979</v>
      </c>
      <c r="D119" s="3284" t="s">
        <v>2980</v>
      </c>
      <c r="E119" s="3309">
        <v>0.1</v>
      </c>
      <c r="F119" s="3303">
        <v>15</v>
      </c>
    </row>
    <row r="120" spans="1:6" ht="24">
      <c r="A120" s="3303">
        <v>48</v>
      </c>
      <c r="B120" s="3724" t="s">
        <v>2981</v>
      </c>
      <c r="C120" s="3303" t="s">
        <v>2982</v>
      </c>
      <c r="D120" s="3284" t="s">
        <v>2983</v>
      </c>
      <c r="E120" s="3309">
        <v>0.1</v>
      </c>
      <c r="F120" s="3303">
        <v>15</v>
      </c>
    </row>
    <row r="121" spans="1:6" ht="13.5">
      <c r="A121" s="3303">
        <v>49</v>
      </c>
      <c r="B121" s="3725"/>
      <c r="C121" s="3303" t="s">
        <v>2984</v>
      </c>
      <c r="D121" s="3284" t="s">
        <v>2985</v>
      </c>
      <c r="E121" s="3309">
        <v>0.1</v>
      </c>
      <c r="F121" s="3303">
        <v>15</v>
      </c>
    </row>
    <row r="122" spans="1:6" ht="24">
      <c r="A122" s="3303">
        <v>50</v>
      </c>
      <c r="B122" s="3723" t="s">
        <v>2986</v>
      </c>
      <c r="C122" s="3303" t="s">
        <v>2987</v>
      </c>
      <c r="D122" s="3284" t="s">
        <v>2988</v>
      </c>
      <c r="E122" s="3309">
        <v>0.1</v>
      </c>
      <c r="F122" s="3303">
        <v>15</v>
      </c>
    </row>
    <row r="123" spans="1:6" ht="24">
      <c r="A123" s="3303">
        <v>51</v>
      </c>
      <c r="B123" s="3723"/>
      <c r="C123" s="3303" t="s">
        <v>2989</v>
      </c>
      <c r="D123" s="3284" t="s">
        <v>2990</v>
      </c>
      <c r="E123" s="3309">
        <v>0.1</v>
      </c>
      <c r="F123" s="3303">
        <v>15</v>
      </c>
    </row>
    <row r="124" spans="1:6" ht="24">
      <c r="A124" s="3303">
        <v>52</v>
      </c>
      <c r="B124" s="3723" t="s">
        <v>2991</v>
      </c>
      <c r="C124" s="3303" t="s">
        <v>2992</v>
      </c>
      <c r="D124" s="3284" t="s">
        <v>2993</v>
      </c>
      <c r="E124" s="3309">
        <v>0.1</v>
      </c>
      <c r="F124" s="3303">
        <v>15</v>
      </c>
    </row>
    <row r="125" spans="1:6" ht="24">
      <c r="A125" s="3303">
        <v>53</v>
      </c>
      <c r="B125" s="3723"/>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3" t="s">
        <v>2999</v>
      </c>
      <c r="C127" s="3303" t="s">
        <v>3000</v>
      </c>
      <c r="D127" s="3284" t="s">
        <v>3001</v>
      </c>
      <c r="E127" s="3309">
        <v>0.1</v>
      </c>
      <c r="F127" s="3303">
        <v>15</v>
      </c>
    </row>
    <row r="128" spans="1:6" ht="13.5">
      <c r="A128" s="3303">
        <v>56</v>
      </c>
      <c r="B128" s="3723"/>
      <c r="C128" s="3303" t="s">
        <v>3002</v>
      </c>
      <c r="D128" s="3284" t="s">
        <v>3003</v>
      </c>
      <c r="E128" s="3309">
        <v>0.1</v>
      </c>
      <c r="F128" s="3303">
        <v>15</v>
      </c>
    </row>
    <row r="129" spans="1:6" ht="24">
      <c r="A129" s="3303">
        <v>57</v>
      </c>
      <c r="B129" s="3723"/>
      <c r="C129" s="3303" t="s">
        <v>3004</v>
      </c>
      <c r="D129" s="3284" t="s">
        <v>3005</v>
      </c>
      <c r="E129" s="3309">
        <v>0.1</v>
      </c>
      <c r="F129" s="3303">
        <v>15</v>
      </c>
    </row>
    <row r="130" spans="1:6" ht="24">
      <c r="A130" s="3303">
        <v>58</v>
      </c>
      <c r="B130" s="3723" t="s">
        <v>3006</v>
      </c>
      <c r="C130" s="3303" t="s">
        <v>3007</v>
      </c>
      <c r="D130" s="3284" t="s">
        <v>3008</v>
      </c>
      <c r="E130" s="3309">
        <v>0.1</v>
      </c>
      <c r="F130" s="3303">
        <v>15</v>
      </c>
    </row>
    <row r="131" spans="1:6" ht="24">
      <c r="A131" s="3303">
        <v>59</v>
      </c>
      <c r="B131" s="3723"/>
      <c r="C131" s="3303" t="s">
        <v>3009</v>
      </c>
      <c r="D131" s="3284" t="s">
        <v>3010</v>
      </c>
      <c r="E131" s="3309">
        <v>0.1</v>
      </c>
      <c r="F131" s="3303">
        <v>15</v>
      </c>
    </row>
    <row r="132" spans="1:6" ht="24">
      <c r="A132" s="3303">
        <v>60</v>
      </c>
      <c r="B132" s="3724" t="s">
        <v>3011</v>
      </c>
      <c r="C132" s="3303" t="s">
        <v>3012</v>
      </c>
      <c r="D132" s="3284" t="s">
        <v>3013</v>
      </c>
      <c r="E132" s="3309">
        <v>0.1</v>
      </c>
      <c r="F132" s="3303">
        <v>15</v>
      </c>
    </row>
    <row r="133" spans="1:6" ht="24">
      <c r="A133" s="3303">
        <v>61</v>
      </c>
      <c r="B133" s="372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3" t="s">
        <v>3019</v>
      </c>
      <c r="C135" s="3303" t="s">
        <v>3020</v>
      </c>
      <c r="D135" s="3284" t="s">
        <v>3021</v>
      </c>
      <c r="E135" s="3309">
        <v>0.1</v>
      </c>
      <c r="F135" s="3303">
        <v>15</v>
      </c>
    </row>
    <row r="136" spans="1:6" ht="13.5">
      <c r="A136" s="3303">
        <v>64</v>
      </c>
      <c r="B136" s="3723"/>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K29" sqref="K29"/>
    </sheetView>
  </sheetViews>
  <sheetFormatPr defaultRowHeight="13.5"/>
  <cols>
    <col min="1" max="1" width="9.625" style="1163" bestFit="1" customWidth="1"/>
    <col min="2" max="4" width="9" style="1163"/>
    <col min="5" max="5" width="29.125" style="1163" customWidth="1"/>
    <col min="6" max="7" width="9" style="1163"/>
    <col min="8" max="8" width="13.375" style="1163" bestFit="1" customWidth="1"/>
    <col min="9" max="9" width="15.25" style="1163" bestFit="1" customWidth="1"/>
    <col min="10" max="10" width="13.875" style="1163" bestFit="1" customWidth="1"/>
    <col min="11" max="256" width="9" style="1163"/>
    <col min="257" max="257" width="9.625" style="1163" bestFit="1" customWidth="1"/>
    <col min="258" max="260" width="9" style="1163"/>
    <col min="261" max="261" width="29.125" style="1163" customWidth="1"/>
    <col min="262" max="263" width="9" style="1163"/>
    <col min="264" max="264" width="13.375" style="1163" bestFit="1" customWidth="1"/>
    <col min="265" max="265" width="15.25" style="1163" bestFit="1" customWidth="1"/>
    <col min="266" max="266" width="13.875" style="1163" bestFit="1" customWidth="1"/>
    <col min="267" max="512" width="9" style="1163"/>
    <col min="513" max="513" width="9.625" style="1163" bestFit="1" customWidth="1"/>
    <col min="514" max="516" width="9" style="1163"/>
    <col min="517" max="517" width="29.125" style="1163" customWidth="1"/>
    <col min="518" max="519" width="9" style="1163"/>
    <col min="520" max="520" width="13.375" style="1163" bestFit="1" customWidth="1"/>
    <col min="521" max="521" width="15.25" style="1163" bestFit="1" customWidth="1"/>
    <col min="522" max="522" width="13.875" style="1163" bestFit="1" customWidth="1"/>
    <col min="523" max="768" width="9" style="1163"/>
    <col min="769" max="769" width="9.625" style="1163" bestFit="1" customWidth="1"/>
    <col min="770" max="772" width="9" style="1163"/>
    <col min="773" max="773" width="29.125" style="1163" customWidth="1"/>
    <col min="774" max="775" width="9" style="1163"/>
    <col min="776" max="776" width="13.375" style="1163" bestFit="1" customWidth="1"/>
    <col min="777" max="777" width="15.25" style="1163" bestFit="1" customWidth="1"/>
    <col min="778" max="778" width="13.875" style="1163" bestFit="1" customWidth="1"/>
    <col min="779" max="1024" width="9" style="1163"/>
    <col min="1025" max="1025" width="9.625" style="1163" bestFit="1" customWidth="1"/>
    <col min="1026" max="1028" width="9" style="1163"/>
    <col min="1029" max="1029" width="29.125" style="1163" customWidth="1"/>
    <col min="1030" max="1031" width="9" style="1163"/>
    <col min="1032" max="1032" width="13.375" style="1163" bestFit="1" customWidth="1"/>
    <col min="1033" max="1033" width="15.25" style="1163" bestFit="1" customWidth="1"/>
    <col min="1034" max="1034" width="13.875" style="1163" bestFit="1" customWidth="1"/>
    <col min="1035" max="1280" width="9" style="1163"/>
    <col min="1281" max="1281" width="9.625" style="1163" bestFit="1" customWidth="1"/>
    <col min="1282" max="1284" width="9" style="1163"/>
    <col min="1285" max="1285" width="29.125" style="1163" customWidth="1"/>
    <col min="1286" max="1287" width="9" style="1163"/>
    <col min="1288" max="1288" width="13.375" style="1163" bestFit="1" customWidth="1"/>
    <col min="1289" max="1289" width="15.25" style="1163" bestFit="1" customWidth="1"/>
    <col min="1290" max="1290" width="13.875" style="1163" bestFit="1" customWidth="1"/>
    <col min="1291" max="1536" width="9" style="1163"/>
    <col min="1537" max="1537" width="9.625" style="1163" bestFit="1" customWidth="1"/>
    <col min="1538" max="1540" width="9" style="1163"/>
    <col min="1541" max="1541" width="29.125" style="1163" customWidth="1"/>
    <col min="1542" max="1543" width="9" style="1163"/>
    <col min="1544" max="1544" width="13.375" style="1163" bestFit="1" customWidth="1"/>
    <col min="1545" max="1545" width="15.25" style="1163" bestFit="1" customWidth="1"/>
    <col min="1546" max="1546" width="13.875" style="1163" bestFit="1" customWidth="1"/>
    <col min="1547" max="1792" width="9" style="1163"/>
    <col min="1793" max="1793" width="9.625" style="1163" bestFit="1" customWidth="1"/>
    <col min="1794" max="1796" width="9" style="1163"/>
    <col min="1797" max="1797" width="29.125" style="1163" customWidth="1"/>
    <col min="1798" max="1799" width="9" style="1163"/>
    <col min="1800" max="1800" width="13.375" style="1163" bestFit="1" customWidth="1"/>
    <col min="1801" max="1801" width="15.25" style="1163" bestFit="1" customWidth="1"/>
    <col min="1802" max="1802" width="13.875" style="1163" bestFit="1" customWidth="1"/>
    <col min="1803" max="2048" width="9" style="1163"/>
    <col min="2049" max="2049" width="9.625" style="1163" bestFit="1" customWidth="1"/>
    <col min="2050" max="2052" width="9" style="1163"/>
    <col min="2053" max="2053" width="29.125" style="1163" customWidth="1"/>
    <col min="2054" max="2055" width="9" style="1163"/>
    <col min="2056" max="2056" width="13.375" style="1163" bestFit="1" customWidth="1"/>
    <col min="2057" max="2057" width="15.25" style="1163" bestFit="1" customWidth="1"/>
    <col min="2058" max="2058" width="13.875" style="1163" bestFit="1" customWidth="1"/>
    <col min="2059" max="2304" width="9" style="1163"/>
    <col min="2305" max="2305" width="9.625" style="1163" bestFit="1" customWidth="1"/>
    <col min="2306" max="2308" width="9" style="1163"/>
    <col min="2309" max="2309" width="29.125" style="1163" customWidth="1"/>
    <col min="2310" max="2311" width="9" style="1163"/>
    <col min="2312" max="2312" width="13.375" style="1163" bestFit="1" customWidth="1"/>
    <col min="2313" max="2313" width="15.25" style="1163" bestFit="1" customWidth="1"/>
    <col min="2314" max="2314" width="13.875" style="1163" bestFit="1" customWidth="1"/>
    <col min="2315" max="2560" width="9" style="1163"/>
    <col min="2561" max="2561" width="9.625" style="1163" bestFit="1" customWidth="1"/>
    <col min="2562" max="2564" width="9" style="1163"/>
    <col min="2565" max="2565" width="29.125" style="1163" customWidth="1"/>
    <col min="2566" max="2567" width="9" style="1163"/>
    <col min="2568" max="2568" width="13.375" style="1163" bestFit="1" customWidth="1"/>
    <col min="2569" max="2569" width="15.25" style="1163" bestFit="1" customWidth="1"/>
    <col min="2570" max="2570" width="13.875" style="1163" bestFit="1" customWidth="1"/>
    <col min="2571" max="2816" width="9" style="1163"/>
    <col min="2817" max="2817" width="9.625" style="1163" bestFit="1" customWidth="1"/>
    <col min="2818" max="2820" width="9" style="1163"/>
    <col min="2821" max="2821" width="29.125" style="1163" customWidth="1"/>
    <col min="2822" max="2823" width="9" style="1163"/>
    <col min="2824" max="2824" width="13.375" style="1163" bestFit="1" customWidth="1"/>
    <col min="2825" max="2825" width="15.25" style="1163" bestFit="1" customWidth="1"/>
    <col min="2826" max="2826" width="13.875" style="1163" bestFit="1" customWidth="1"/>
    <col min="2827" max="3072" width="9" style="1163"/>
    <col min="3073" max="3073" width="9.625" style="1163" bestFit="1" customWidth="1"/>
    <col min="3074" max="3076" width="9" style="1163"/>
    <col min="3077" max="3077" width="29.125" style="1163" customWidth="1"/>
    <col min="3078" max="3079" width="9" style="1163"/>
    <col min="3080" max="3080" width="13.375" style="1163" bestFit="1" customWidth="1"/>
    <col min="3081" max="3081" width="15.25" style="1163" bestFit="1" customWidth="1"/>
    <col min="3082" max="3082" width="13.875" style="1163" bestFit="1" customWidth="1"/>
    <col min="3083" max="3328" width="9" style="1163"/>
    <col min="3329" max="3329" width="9.625" style="1163" bestFit="1" customWidth="1"/>
    <col min="3330" max="3332" width="9" style="1163"/>
    <col min="3333" max="3333" width="29.125" style="1163" customWidth="1"/>
    <col min="3334" max="3335" width="9" style="1163"/>
    <col min="3336" max="3336" width="13.375" style="1163" bestFit="1" customWidth="1"/>
    <col min="3337" max="3337" width="15.25" style="1163" bestFit="1" customWidth="1"/>
    <col min="3338" max="3338" width="13.875" style="1163" bestFit="1" customWidth="1"/>
    <col min="3339" max="3584" width="9" style="1163"/>
    <col min="3585" max="3585" width="9.625" style="1163" bestFit="1" customWidth="1"/>
    <col min="3586" max="3588" width="9" style="1163"/>
    <col min="3589" max="3589" width="29.125" style="1163" customWidth="1"/>
    <col min="3590" max="3591" width="9" style="1163"/>
    <col min="3592" max="3592" width="13.375" style="1163" bestFit="1" customWidth="1"/>
    <col min="3593" max="3593" width="15.25" style="1163" bestFit="1" customWidth="1"/>
    <col min="3594" max="3594" width="13.875" style="1163" bestFit="1" customWidth="1"/>
    <col min="3595" max="3840" width="9" style="1163"/>
    <col min="3841" max="3841" width="9.625" style="1163" bestFit="1" customWidth="1"/>
    <col min="3842" max="3844" width="9" style="1163"/>
    <col min="3845" max="3845" width="29.125" style="1163" customWidth="1"/>
    <col min="3846" max="3847" width="9" style="1163"/>
    <col min="3848" max="3848" width="13.375" style="1163" bestFit="1" customWidth="1"/>
    <col min="3849" max="3849" width="15.25" style="1163" bestFit="1" customWidth="1"/>
    <col min="3850" max="3850" width="13.875" style="1163" bestFit="1" customWidth="1"/>
    <col min="3851" max="4096" width="9" style="1163"/>
    <col min="4097" max="4097" width="9.625" style="1163" bestFit="1" customWidth="1"/>
    <col min="4098" max="4100" width="9" style="1163"/>
    <col min="4101" max="4101" width="29.125" style="1163" customWidth="1"/>
    <col min="4102" max="4103" width="9" style="1163"/>
    <col min="4104" max="4104" width="13.375" style="1163" bestFit="1" customWidth="1"/>
    <col min="4105" max="4105" width="15.25" style="1163" bestFit="1" customWidth="1"/>
    <col min="4106" max="4106" width="13.875" style="1163" bestFit="1" customWidth="1"/>
    <col min="4107" max="4352" width="9" style="1163"/>
    <col min="4353" max="4353" width="9.625" style="1163" bestFit="1" customWidth="1"/>
    <col min="4354" max="4356" width="9" style="1163"/>
    <col min="4357" max="4357" width="29.125" style="1163" customWidth="1"/>
    <col min="4358" max="4359" width="9" style="1163"/>
    <col min="4360" max="4360" width="13.375" style="1163" bestFit="1" customWidth="1"/>
    <col min="4361" max="4361" width="15.25" style="1163" bestFit="1" customWidth="1"/>
    <col min="4362" max="4362" width="13.875" style="1163" bestFit="1" customWidth="1"/>
    <col min="4363" max="4608" width="9" style="1163"/>
    <col min="4609" max="4609" width="9.625" style="1163" bestFit="1" customWidth="1"/>
    <col min="4610" max="4612" width="9" style="1163"/>
    <col min="4613" max="4613" width="29.125" style="1163" customWidth="1"/>
    <col min="4614" max="4615" width="9" style="1163"/>
    <col min="4616" max="4616" width="13.375" style="1163" bestFit="1" customWidth="1"/>
    <col min="4617" max="4617" width="15.25" style="1163" bestFit="1" customWidth="1"/>
    <col min="4618" max="4618" width="13.875" style="1163" bestFit="1" customWidth="1"/>
    <col min="4619" max="4864" width="9" style="1163"/>
    <col min="4865" max="4865" width="9.625" style="1163" bestFit="1" customWidth="1"/>
    <col min="4866" max="4868" width="9" style="1163"/>
    <col min="4869" max="4869" width="29.125" style="1163" customWidth="1"/>
    <col min="4870" max="4871" width="9" style="1163"/>
    <col min="4872" max="4872" width="13.375" style="1163" bestFit="1" customWidth="1"/>
    <col min="4873" max="4873" width="15.25" style="1163" bestFit="1" customWidth="1"/>
    <col min="4874" max="4874" width="13.875" style="1163" bestFit="1" customWidth="1"/>
    <col min="4875" max="5120" width="9" style="1163"/>
    <col min="5121" max="5121" width="9.625" style="1163" bestFit="1" customWidth="1"/>
    <col min="5122" max="5124" width="9" style="1163"/>
    <col min="5125" max="5125" width="29.125" style="1163" customWidth="1"/>
    <col min="5126" max="5127" width="9" style="1163"/>
    <col min="5128" max="5128" width="13.375" style="1163" bestFit="1" customWidth="1"/>
    <col min="5129" max="5129" width="15.25" style="1163" bestFit="1" customWidth="1"/>
    <col min="5130" max="5130" width="13.875" style="1163" bestFit="1" customWidth="1"/>
    <col min="5131" max="5376" width="9" style="1163"/>
    <col min="5377" max="5377" width="9.625" style="1163" bestFit="1" customWidth="1"/>
    <col min="5378" max="5380" width="9" style="1163"/>
    <col min="5381" max="5381" width="29.125" style="1163" customWidth="1"/>
    <col min="5382" max="5383" width="9" style="1163"/>
    <col min="5384" max="5384" width="13.375" style="1163" bestFit="1" customWidth="1"/>
    <col min="5385" max="5385" width="15.25" style="1163" bestFit="1" customWidth="1"/>
    <col min="5386" max="5386" width="13.875" style="1163" bestFit="1" customWidth="1"/>
    <col min="5387" max="5632" width="9" style="1163"/>
    <col min="5633" max="5633" width="9.625" style="1163" bestFit="1" customWidth="1"/>
    <col min="5634" max="5636" width="9" style="1163"/>
    <col min="5637" max="5637" width="29.125" style="1163" customWidth="1"/>
    <col min="5638" max="5639" width="9" style="1163"/>
    <col min="5640" max="5640" width="13.375" style="1163" bestFit="1" customWidth="1"/>
    <col min="5641" max="5641" width="15.25" style="1163" bestFit="1" customWidth="1"/>
    <col min="5642" max="5642" width="13.875" style="1163" bestFit="1" customWidth="1"/>
    <col min="5643" max="5888" width="9" style="1163"/>
    <col min="5889" max="5889" width="9.625" style="1163" bestFit="1" customWidth="1"/>
    <col min="5890" max="5892" width="9" style="1163"/>
    <col min="5893" max="5893" width="29.125" style="1163" customWidth="1"/>
    <col min="5894" max="5895" width="9" style="1163"/>
    <col min="5896" max="5896" width="13.375" style="1163" bestFit="1" customWidth="1"/>
    <col min="5897" max="5897" width="15.25" style="1163" bestFit="1" customWidth="1"/>
    <col min="5898" max="5898" width="13.875" style="1163" bestFit="1" customWidth="1"/>
    <col min="5899" max="6144" width="9" style="1163"/>
    <col min="6145" max="6145" width="9.625" style="1163" bestFit="1" customWidth="1"/>
    <col min="6146" max="6148" width="9" style="1163"/>
    <col min="6149" max="6149" width="29.125" style="1163" customWidth="1"/>
    <col min="6150" max="6151" width="9" style="1163"/>
    <col min="6152" max="6152" width="13.375" style="1163" bestFit="1" customWidth="1"/>
    <col min="6153" max="6153" width="15.25" style="1163" bestFit="1" customWidth="1"/>
    <col min="6154" max="6154" width="13.875" style="1163" bestFit="1" customWidth="1"/>
    <col min="6155" max="6400" width="9" style="1163"/>
    <col min="6401" max="6401" width="9.625" style="1163" bestFit="1" customWidth="1"/>
    <col min="6402" max="6404" width="9" style="1163"/>
    <col min="6405" max="6405" width="29.125" style="1163" customWidth="1"/>
    <col min="6406" max="6407" width="9" style="1163"/>
    <col min="6408" max="6408" width="13.375" style="1163" bestFit="1" customWidth="1"/>
    <col min="6409" max="6409" width="15.25" style="1163" bestFit="1" customWidth="1"/>
    <col min="6410" max="6410" width="13.875" style="1163" bestFit="1" customWidth="1"/>
    <col min="6411" max="6656" width="9" style="1163"/>
    <col min="6657" max="6657" width="9.625" style="1163" bestFit="1" customWidth="1"/>
    <col min="6658" max="6660" width="9" style="1163"/>
    <col min="6661" max="6661" width="29.125" style="1163" customWidth="1"/>
    <col min="6662" max="6663" width="9" style="1163"/>
    <col min="6664" max="6664" width="13.375" style="1163" bestFit="1" customWidth="1"/>
    <col min="6665" max="6665" width="15.25" style="1163" bestFit="1" customWidth="1"/>
    <col min="6666" max="6666" width="13.875" style="1163" bestFit="1" customWidth="1"/>
    <col min="6667" max="6912" width="9" style="1163"/>
    <col min="6913" max="6913" width="9.625" style="1163" bestFit="1" customWidth="1"/>
    <col min="6914" max="6916" width="9" style="1163"/>
    <col min="6917" max="6917" width="29.125" style="1163" customWidth="1"/>
    <col min="6918" max="6919" width="9" style="1163"/>
    <col min="6920" max="6920" width="13.375" style="1163" bestFit="1" customWidth="1"/>
    <col min="6921" max="6921" width="15.25" style="1163" bestFit="1" customWidth="1"/>
    <col min="6922" max="6922" width="13.875" style="1163" bestFit="1" customWidth="1"/>
    <col min="6923" max="7168" width="9" style="1163"/>
    <col min="7169" max="7169" width="9.625" style="1163" bestFit="1" customWidth="1"/>
    <col min="7170" max="7172" width="9" style="1163"/>
    <col min="7173" max="7173" width="29.125" style="1163" customWidth="1"/>
    <col min="7174" max="7175" width="9" style="1163"/>
    <col min="7176" max="7176" width="13.375" style="1163" bestFit="1" customWidth="1"/>
    <col min="7177" max="7177" width="15.25" style="1163" bestFit="1" customWidth="1"/>
    <col min="7178" max="7178" width="13.875" style="1163" bestFit="1" customWidth="1"/>
    <col min="7179" max="7424" width="9" style="1163"/>
    <col min="7425" max="7425" width="9.625" style="1163" bestFit="1" customWidth="1"/>
    <col min="7426" max="7428" width="9" style="1163"/>
    <col min="7429" max="7429" width="29.125" style="1163" customWidth="1"/>
    <col min="7430" max="7431" width="9" style="1163"/>
    <col min="7432" max="7432" width="13.375" style="1163" bestFit="1" customWidth="1"/>
    <col min="7433" max="7433" width="15.25" style="1163" bestFit="1" customWidth="1"/>
    <col min="7434" max="7434" width="13.875" style="1163" bestFit="1" customWidth="1"/>
    <col min="7435" max="7680" width="9" style="1163"/>
    <col min="7681" max="7681" width="9.625" style="1163" bestFit="1" customWidth="1"/>
    <col min="7682" max="7684" width="9" style="1163"/>
    <col min="7685" max="7685" width="29.125" style="1163" customWidth="1"/>
    <col min="7686" max="7687" width="9" style="1163"/>
    <col min="7688" max="7688" width="13.375" style="1163" bestFit="1" customWidth="1"/>
    <col min="7689" max="7689" width="15.25" style="1163" bestFit="1" customWidth="1"/>
    <col min="7690" max="7690" width="13.875" style="1163" bestFit="1" customWidth="1"/>
    <col min="7691" max="7936" width="9" style="1163"/>
    <col min="7937" max="7937" width="9.625" style="1163" bestFit="1" customWidth="1"/>
    <col min="7938" max="7940" width="9" style="1163"/>
    <col min="7941" max="7941" width="29.125" style="1163" customWidth="1"/>
    <col min="7942" max="7943" width="9" style="1163"/>
    <col min="7944" max="7944" width="13.375" style="1163" bestFit="1" customWidth="1"/>
    <col min="7945" max="7945" width="15.25" style="1163" bestFit="1" customWidth="1"/>
    <col min="7946" max="7946" width="13.875" style="1163" bestFit="1" customWidth="1"/>
    <col min="7947" max="8192" width="9" style="1163"/>
    <col min="8193" max="8193" width="9.625" style="1163" bestFit="1" customWidth="1"/>
    <col min="8194" max="8196" width="9" style="1163"/>
    <col min="8197" max="8197" width="29.125" style="1163" customWidth="1"/>
    <col min="8198" max="8199" width="9" style="1163"/>
    <col min="8200" max="8200" width="13.375" style="1163" bestFit="1" customWidth="1"/>
    <col min="8201" max="8201" width="15.25" style="1163" bestFit="1" customWidth="1"/>
    <col min="8202" max="8202" width="13.875" style="1163" bestFit="1" customWidth="1"/>
    <col min="8203" max="8448" width="9" style="1163"/>
    <col min="8449" max="8449" width="9.625" style="1163" bestFit="1" customWidth="1"/>
    <col min="8450" max="8452" width="9" style="1163"/>
    <col min="8453" max="8453" width="29.125" style="1163" customWidth="1"/>
    <col min="8454" max="8455" width="9" style="1163"/>
    <col min="8456" max="8456" width="13.375" style="1163" bestFit="1" customWidth="1"/>
    <col min="8457" max="8457" width="15.25" style="1163" bestFit="1" customWidth="1"/>
    <col min="8458" max="8458" width="13.875" style="1163" bestFit="1" customWidth="1"/>
    <col min="8459" max="8704" width="9" style="1163"/>
    <col min="8705" max="8705" width="9.625" style="1163" bestFit="1" customWidth="1"/>
    <col min="8706" max="8708" width="9" style="1163"/>
    <col min="8709" max="8709" width="29.125" style="1163" customWidth="1"/>
    <col min="8710" max="8711" width="9" style="1163"/>
    <col min="8712" max="8712" width="13.375" style="1163" bestFit="1" customWidth="1"/>
    <col min="8713" max="8713" width="15.25" style="1163" bestFit="1" customWidth="1"/>
    <col min="8714" max="8714" width="13.875" style="1163" bestFit="1" customWidth="1"/>
    <col min="8715" max="8960" width="9" style="1163"/>
    <col min="8961" max="8961" width="9.625" style="1163" bestFit="1" customWidth="1"/>
    <col min="8962" max="8964" width="9" style="1163"/>
    <col min="8965" max="8965" width="29.125" style="1163" customWidth="1"/>
    <col min="8966" max="8967" width="9" style="1163"/>
    <col min="8968" max="8968" width="13.375" style="1163" bestFit="1" customWidth="1"/>
    <col min="8969" max="8969" width="15.25" style="1163" bestFit="1" customWidth="1"/>
    <col min="8970" max="8970" width="13.875" style="1163" bestFit="1" customWidth="1"/>
    <col min="8971" max="9216" width="9" style="1163"/>
    <col min="9217" max="9217" width="9.625" style="1163" bestFit="1" customWidth="1"/>
    <col min="9218" max="9220" width="9" style="1163"/>
    <col min="9221" max="9221" width="29.125" style="1163" customWidth="1"/>
    <col min="9222" max="9223" width="9" style="1163"/>
    <col min="9224" max="9224" width="13.375" style="1163" bestFit="1" customWidth="1"/>
    <col min="9225" max="9225" width="15.25" style="1163" bestFit="1" customWidth="1"/>
    <col min="9226" max="9226" width="13.875" style="1163" bestFit="1" customWidth="1"/>
    <col min="9227" max="9472" width="9" style="1163"/>
    <col min="9473" max="9473" width="9.625" style="1163" bestFit="1" customWidth="1"/>
    <col min="9474" max="9476" width="9" style="1163"/>
    <col min="9477" max="9477" width="29.125" style="1163" customWidth="1"/>
    <col min="9478" max="9479" width="9" style="1163"/>
    <col min="9480" max="9480" width="13.375" style="1163" bestFit="1" customWidth="1"/>
    <col min="9481" max="9481" width="15.25" style="1163" bestFit="1" customWidth="1"/>
    <col min="9482" max="9482" width="13.875" style="1163" bestFit="1" customWidth="1"/>
    <col min="9483" max="9728" width="9" style="1163"/>
    <col min="9729" max="9729" width="9.625" style="1163" bestFit="1" customWidth="1"/>
    <col min="9730" max="9732" width="9" style="1163"/>
    <col min="9733" max="9733" width="29.125" style="1163" customWidth="1"/>
    <col min="9734" max="9735" width="9" style="1163"/>
    <col min="9736" max="9736" width="13.375" style="1163" bestFit="1" customWidth="1"/>
    <col min="9737" max="9737" width="15.25" style="1163" bestFit="1" customWidth="1"/>
    <col min="9738" max="9738" width="13.875" style="1163" bestFit="1" customWidth="1"/>
    <col min="9739" max="9984" width="9" style="1163"/>
    <col min="9985" max="9985" width="9.625" style="1163" bestFit="1" customWidth="1"/>
    <col min="9986" max="9988" width="9" style="1163"/>
    <col min="9989" max="9989" width="29.125" style="1163" customWidth="1"/>
    <col min="9990" max="9991" width="9" style="1163"/>
    <col min="9992" max="9992" width="13.375" style="1163" bestFit="1" customWidth="1"/>
    <col min="9993" max="9993" width="15.25" style="1163" bestFit="1" customWidth="1"/>
    <col min="9994" max="9994" width="13.875" style="1163" bestFit="1" customWidth="1"/>
    <col min="9995" max="10240" width="9" style="1163"/>
    <col min="10241" max="10241" width="9.625" style="1163" bestFit="1" customWidth="1"/>
    <col min="10242" max="10244" width="9" style="1163"/>
    <col min="10245" max="10245" width="29.125" style="1163" customWidth="1"/>
    <col min="10246" max="10247" width="9" style="1163"/>
    <col min="10248" max="10248" width="13.375" style="1163" bestFit="1" customWidth="1"/>
    <col min="10249" max="10249" width="15.25" style="1163" bestFit="1" customWidth="1"/>
    <col min="10250" max="10250" width="13.875" style="1163" bestFit="1" customWidth="1"/>
    <col min="10251" max="10496" width="9" style="1163"/>
    <col min="10497" max="10497" width="9.625" style="1163" bestFit="1" customWidth="1"/>
    <col min="10498" max="10500" width="9" style="1163"/>
    <col min="10501" max="10501" width="29.125" style="1163" customWidth="1"/>
    <col min="10502" max="10503" width="9" style="1163"/>
    <col min="10504" max="10504" width="13.375" style="1163" bestFit="1" customWidth="1"/>
    <col min="10505" max="10505" width="15.25" style="1163" bestFit="1" customWidth="1"/>
    <col min="10506" max="10506" width="13.875" style="1163" bestFit="1" customWidth="1"/>
    <col min="10507" max="10752" width="9" style="1163"/>
    <col min="10753" max="10753" width="9.625" style="1163" bestFit="1" customWidth="1"/>
    <col min="10754" max="10756" width="9" style="1163"/>
    <col min="10757" max="10757" width="29.125" style="1163" customWidth="1"/>
    <col min="10758" max="10759" width="9" style="1163"/>
    <col min="10760" max="10760" width="13.375" style="1163" bestFit="1" customWidth="1"/>
    <col min="10761" max="10761" width="15.25" style="1163" bestFit="1" customWidth="1"/>
    <col min="10762" max="10762" width="13.875" style="1163" bestFit="1" customWidth="1"/>
    <col min="10763" max="11008" width="9" style="1163"/>
    <col min="11009" max="11009" width="9.625" style="1163" bestFit="1" customWidth="1"/>
    <col min="11010" max="11012" width="9" style="1163"/>
    <col min="11013" max="11013" width="29.125" style="1163" customWidth="1"/>
    <col min="11014" max="11015" width="9" style="1163"/>
    <col min="11016" max="11016" width="13.375" style="1163" bestFit="1" customWidth="1"/>
    <col min="11017" max="11017" width="15.25" style="1163" bestFit="1" customWidth="1"/>
    <col min="11018" max="11018" width="13.875" style="1163" bestFit="1" customWidth="1"/>
    <col min="11019" max="11264" width="9" style="1163"/>
    <col min="11265" max="11265" width="9.625" style="1163" bestFit="1" customWidth="1"/>
    <col min="11266" max="11268" width="9" style="1163"/>
    <col min="11269" max="11269" width="29.125" style="1163" customWidth="1"/>
    <col min="11270" max="11271" width="9" style="1163"/>
    <col min="11272" max="11272" width="13.375" style="1163" bestFit="1" customWidth="1"/>
    <col min="11273" max="11273" width="15.25" style="1163" bestFit="1" customWidth="1"/>
    <col min="11274" max="11274" width="13.875" style="1163" bestFit="1" customWidth="1"/>
    <col min="11275" max="11520" width="9" style="1163"/>
    <col min="11521" max="11521" width="9.625" style="1163" bestFit="1" customWidth="1"/>
    <col min="11522" max="11524" width="9" style="1163"/>
    <col min="11525" max="11525" width="29.125" style="1163" customWidth="1"/>
    <col min="11526" max="11527" width="9" style="1163"/>
    <col min="11528" max="11528" width="13.375" style="1163" bestFit="1" customWidth="1"/>
    <col min="11529" max="11529" width="15.25" style="1163" bestFit="1" customWidth="1"/>
    <col min="11530" max="11530" width="13.875" style="1163" bestFit="1" customWidth="1"/>
    <col min="11531" max="11776" width="9" style="1163"/>
    <col min="11777" max="11777" width="9.625" style="1163" bestFit="1" customWidth="1"/>
    <col min="11778" max="11780" width="9" style="1163"/>
    <col min="11781" max="11781" width="29.125" style="1163" customWidth="1"/>
    <col min="11782" max="11783" width="9" style="1163"/>
    <col min="11784" max="11784" width="13.375" style="1163" bestFit="1" customWidth="1"/>
    <col min="11785" max="11785" width="15.25" style="1163" bestFit="1" customWidth="1"/>
    <col min="11786" max="11786" width="13.875" style="1163" bestFit="1" customWidth="1"/>
    <col min="11787" max="12032" width="9" style="1163"/>
    <col min="12033" max="12033" width="9.625" style="1163" bestFit="1" customWidth="1"/>
    <col min="12034" max="12036" width="9" style="1163"/>
    <col min="12037" max="12037" width="29.125" style="1163" customWidth="1"/>
    <col min="12038" max="12039" width="9" style="1163"/>
    <col min="12040" max="12040" width="13.375" style="1163" bestFit="1" customWidth="1"/>
    <col min="12041" max="12041" width="15.25" style="1163" bestFit="1" customWidth="1"/>
    <col min="12042" max="12042" width="13.875" style="1163" bestFit="1" customWidth="1"/>
    <col min="12043" max="12288" width="9" style="1163"/>
    <col min="12289" max="12289" width="9.625" style="1163" bestFit="1" customWidth="1"/>
    <col min="12290" max="12292" width="9" style="1163"/>
    <col min="12293" max="12293" width="29.125" style="1163" customWidth="1"/>
    <col min="12294" max="12295" width="9" style="1163"/>
    <col min="12296" max="12296" width="13.375" style="1163" bestFit="1" customWidth="1"/>
    <col min="12297" max="12297" width="15.25" style="1163" bestFit="1" customWidth="1"/>
    <col min="12298" max="12298" width="13.875" style="1163" bestFit="1" customWidth="1"/>
    <col min="12299" max="12544" width="9" style="1163"/>
    <col min="12545" max="12545" width="9.625" style="1163" bestFit="1" customWidth="1"/>
    <col min="12546" max="12548" width="9" style="1163"/>
    <col min="12549" max="12549" width="29.125" style="1163" customWidth="1"/>
    <col min="12550" max="12551" width="9" style="1163"/>
    <col min="12552" max="12552" width="13.375" style="1163" bestFit="1" customWidth="1"/>
    <col min="12553" max="12553" width="15.25" style="1163" bestFit="1" customWidth="1"/>
    <col min="12554" max="12554" width="13.875" style="1163" bestFit="1" customWidth="1"/>
    <col min="12555" max="12800" width="9" style="1163"/>
    <col min="12801" max="12801" width="9.625" style="1163" bestFit="1" customWidth="1"/>
    <col min="12802" max="12804" width="9" style="1163"/>
    <col min="12805" max="12805" width="29.125" style="1163" customWidth="1"/>
    <col min="12806" max="12807" width="9" style="1163"/>
    <col min="12808" max="12808" width="13.375" style="1163" bestFit="1" customWidth="1"/>
    <col min="12809" max="12809" width="15.25" style="1163" bestFit="1" customWidth="1"/>
    <col min="12810" max="12810" width="13.875" style="1163" bestFit="1" customWidth="1"/>
    <col min="12811" max="13056" width="9" style="1163"/>
    <col min="13057" max="13057" width="9.625" style="1163" bestFit="1" customWidth="1"/>
    <col min="13058" max="13060" width="9" style="1163"/>
    <col min="13061" max="13061" width="29.125" style="1163" customWidth="1"/>
    <col min="13062" max="13063" width="9" style="1163"/>
    <col min="13064" max="13064" width="13.375" style="1163" bestFit="1" customWidth="1"/>
    <col min="13065" max="13065" width="15.25" style="1163" bestFit="1" customWidth="1"/>
    <col min="13066" max="13066" width="13.875" style="1163" bestFit="1" customWidth="1"/>
    <col min="13067" max="13312" width="9" style="1163"/>
    <col min="13313" max="13313" width="9.625" style="1163" bestFit="1" customWidth="1"/>
    <col min="13314" max="13316" width="9" style="1163"/>
    <col min="13317" max="13317" width="29.125" style="1163" customWidth="1"/>
    <col min="13318" max="13319" width="9" style="1163"/>
    <col min="13320" max="13320" width="13.375" style="1163" bestFit="1" customWidth="1"/>
    <col min="13321" max="13321" width="15.25" style="1163" bestFit="1" customWidth="1"/>
    <col min="13322" max="13322" width="13.875" style="1163" bestFit="1" customWidth="1"/>
    <col min="13323" max="13568" width="9" style="1163"/>
    <col min="13569" max="13569" width="9.625" style="1163" bestFit="1" customWidth="1"/>
    <col min="13570" max="13572" width="9" style="1163"/>
    <col min="13573" max="13573" width="29.125" style="1163" customWidth="1"/>
    <col min="13574" max="13575" width="9" style="1163"/>
    <col min="13576" max="13576" width="13.375" style="1163" bestFit="1" customWidth="1"/>
    <col min="13577" max="13577" width="15.25" style="1163" bestFit="1" customWidth="1"/>
    <col min="13578" max="13578" width="13.875" style="1163" bestFit="1" customWidth="1"/>
    <col min="13579" max="13824" width="9" style="1163"/>
    <col min="13825" max="13825" width="9.625" style="1163" bestFit="1" customWidth="1"/>
    <col min="13826" max="13828" width="9" style="1163"/>
    <col min="13829" max="13829" width="29.125" style="1163" customWidth="1"/>
    <col min="13830" max="13831" width="9" style="1163"/>
    <col min="13832" max="13832" width="13.375" style="1163" bestFit="1" customWidth="1"/>
    <col min="13833" max="13833" width="15.25" style="1163" bestFit="1" customWidth="1"/>
    <col min="13834" max="13834" width="13.875" style="1163" bestFit="1" customWidth="1"/>
    <col min="13835" max="14080" width="9" style="1163"/>
    <col min="14081" max="14081" width="9.625" style="1163" bestFit="1" customWidth="1"/>
    <col min="14082" max="14084" width="9" style="1163"/>
    <col min="14085" max="14085" width="29.125" style="1163" customWidth="1"/>
    <col min="14086" max="14087" width="9" style="1163"/>
    <col min="14088" max="14088" width="13.375" style="1163" bestFit="1" customWidth="1"/>
    <col min="14089" max="14089" width="15.25" style="1163" bestFit="1" customWidth="1"/>
    <col min="14090" max="14090" width="13.875" style="1163" bestFit="1" customWidth="1"/>
    <col min="14091" max="14336" width="9" style="1163"/>
    <col min="14337" max="14337" width="9.625" style="1163" bestFit="1" customWidth="1"/>
    <col min="14338" max="14340" width="9" style="1163"/>
    <col min="14341" max="14341" width="29.125" style="1163" customWidth="1"/>
    <col min="14342" max="14343" width="9" style="1163"/>
    <col min="14344" max="14344" width="13.375" style="1163" bestFit="1" customWidth="1"/>
    <col min="14345" max="14345" width="15.25" style="1163" bestFit="1" customWidth="1"/>
    <col min="14346" max="14346" width="13.875" style="1163" bestFit="1" customWidth="1"/>
    <col min="14347" max="14592" width="9" style="1163"/>
    <col min="14593" max="14593" width="9.625" style="1163" bestFit="1" customWidth="1"/>
    <col min="14594" max="14596" width="9" style="1163"/>
    <col min="14597" max="14597" width="29.125" style="1163" customWidth="1"/>
    <col min="14598" max="14599" width="9" style="1163"/>
    <col min="14600" max="14600" width="13.375" style="1163" bestFit="1" customWidth="1"/>
    <col min="14601" max="14601" width="15.25" style="1163" bestFit="1" customWidth="1"/>
    <col min="14602" max="14602" width="13.875" style="1163" bestFit="1" customWidth="1"/>
    <col min="14603" max="14848" width="9" style="1163"/>
    <col min="14849" max="14849" width="9.625" style="1163" bestFit="1" customWidth="1"/>
    <col min="14850" max="14852" width="9" style="1163"/>
    <col min="14853" max="14853" width="29.125" style="1163" customWidth="1"/>
    <col min="14854" max="14855" width="9" style="1163"/>
    <col min="14856" max="14856" width="13.375" style="1163" bestFit="1" customWidth="1"/>
    <col min="14857" max="14857" width="15.25" style="1163" bestFit="1" customWidth="1"/>
    <col min="14858" max="14858" width="13.875" style="1163" bestFit="1" customWidth="1"/>
    <col min="14859" max="15104" width="9" style="1163"/>
    <col min="15105" max="15105" width="9.625" style="1163" bestFit="1" customWidth="1"/>
    <col min="15106" max="15108" width="9" style="1163"/>
    <col min="15109" max="15109" width="29.125" style="1163" customWidth="1"/>
    <col min="15110" max="15111" width="9" style="1163"/>
    <col min="15112" max="15112" width="13.375" style="1163" bestFit="1" customWidth="1"/>
    <col min="15113" max="15113" width="15.25" style="1163" bestFit="1" customWidth="1"/>
    <col min="15114" max="15114" width="13.875" style="1163" bestFit="1" customWidth="1"/>
    <col min="15115" max="15360" width="9" style="1163"/>
    <col min="15361" max="15361" width="9.625" style="1163" bestFit="1" customWidth="1"/>
    <col min="15362" max="15364" width="9" style="1163"/>
    <col min="15365" max="15365" width="29.125" style="1163" customWidth="1"/>
    <col min="15366" max="15367" width="9" style="1163"/>
    <col min="15368" max="15368" width="13.375" style="1163" bestFit="1" customWidth="1"/>
    <col min="15369" max="15369" width="15.25" style="1163" bestFit="1" customWidth="1"/>
    <col min="15370" max="15370" width="13.875" style="1163" bestFit="1" customWidth="1"/>
    <col min="15371" max="15616" width="9" style="1163"/>
    <col min="15617" max="15617" width="9.625" style="1163" bestFit="1" customWidth="1"/>
    <col min="15618" max="15620" width="9" style="1163"/>
    <col min="15621" max="15621" width="29.125" style="1163" customWidth="1"/>
    <col min="15622" max="15623" width="9" style="1163"/>
    <col min="15624" max="15624" width="13.375" style="1163" bestFit="1" customWidth="1"/>
    <col min="15625" max="15625" width="15.25" style="1163" bestFit="1" customWidth="1"/>
    <col min="15626" max="15626" width="13.875" style="1163" bestFit="1" customWidth="1"/>
    <col min="15627" max="15872" width="9" style="1163"/>
    <col min="15873" max="15873" width="9.625" style="1163" bestFit="1" customWidth="1"/>
    <col min="15874" max="15876" width="9" style="1163"/>
    <col min="15877" max="15877" width="29.125" style="1163" customWidth="1"/>
    <col min="15878" max="15879" width="9" style="1163"/>
    <col min="15880" max="15880" width="13.375" style="1163" bestFit="1" customWidth="1"/>
    <col min="15881" max="15881" width="15.25" style="1163" bestFit="1" customWidth="1"/>
    <col min="15882" max="15882" width="13.875" style="1163" bestFit="1" customWidth="1"/>
    <col min="15883" max="16128" width="9" style="1163"/>
    <col min="16129" max="16129" width="9.625" style="1163" bestFit="1" customWidth="1"/>
    <col min="16130" max="16132" width="9" style="1163"/>
    <col min="16133" max="16133" width="29.125" style="1163" customWidth="1"/>
    <col min="16134" max="16135" width="9" style="1163"/>
    <col min="16136" max="16136" width="13.375" style="1163" bestFit="1" customWidth="1"/>
    <col min="16137" max="16137" width="15.25" style="1163" bestFit="1" customWidth="1"/>
    <col min="16138" max="16138" width="13.875" style="1163" bestFit="1" customWidth="1"/>
    <col min="16139" max="16384" width="9" style="1163"/>
  </cols>
  <sheetData>
    <row r="1" spans="1:10">
      <c r="A1" s="1163" t="s">
        <v>3031</v>
      </c>
      <c r="B1" s="1163" t="s">
        <v>3032</v>
      </c>
      <c r="C1" s="1163" t="s">
        <v>3033</v>
      </c>
      <c r="D1" s="1163" t="s">
        <v>3034</v>
      </c>
      <c r="E1" s="1163" t="s">
        <v>3035</v>
      </c>
      <c r="F1" s="1163" t="s">
        <v>3036</v>
      </c>
      <c r="G1" s="1163" t="s">
        <v>3037</v>
      </c>
      <c r="H1" s="1163" t="s">
        <v>3038</v>
      </c>
      <c r="I1" s="1163" t="s">
        <v>3039</v>
      </c>
      <c r="J1" s="1163" t="s">
        <v>3040</v>
      </c>
    </row>
    <row r="2" spans="1:10" s="3325" customFormat="1">
      <c r="A2" s="3325" t="s">
        <v>3041</v>
      </c>
      <c r="B2" s="3325" t="s">
        <v>3042</v>
      </c>
      <c r="C2" s="3325" t="s">
        <v>965</v>
      </c>
      <c r="D2" s="3325" t="s">
        <v>3043</v>
      </c>
      <c r="E2" s="3325" t="s">
        <v>3044</v>
      </c>
      <c r="F2" s="3325" t="s">
        <v>3045</v>
      </c>
      <c r="G2" s="3325" t="s">
        <v>3046</v>
      </c>
      <c r="H2" s="3325" t="s">
        <v>3047</v>
      </c>
      <c r="I2" s="3325" t="s">
        <v>3048</v>
      </c>
      <c r="J2" s="3325" t="s">
        <v>3049</v>
      </c>
    </row>
    <row r="3" spans="1:10">
      <c r="A3" s="1163" t="s">
        <v>3050</v>
      </c>
      <c r="B3" s="1163" t="s">
        <v>3051</v>
      </c>
      <c r="C3" s="1163" t="s">
        <v>965</v>
      </c>
      <c r="D3" s="1163" t="s">
        <v>3052</v>
      </c>
      <c r="E3" s="1163" t="s">
        <v>3053</v>
      </c>
      <c r="F3" s="1163" t="s">
        <v>3045</v>
      </c>
      <c r="G3" s="1163" t="s">
        <v>3046</v>
      </c>
      <c r="H3" s="1163" t="s">
        <v>3054</v>
      </c>
      <c r="I3" s="1163" t="s">
        <v>3055</v>
      </c>
      <c r="J3" s="1163" t="s">
        <v>3049</v>
      </c>
    </row>
    <row r="4" spans="1:10">
      <c r="A4" s="1163" t="s">
        <v>3050</v>
      </c>
      <c r="B4" s="1163" t="s">
        <v>3056</v>
      </c>
      <c r="C4" s="1163" t="s">
        <v>965</v>
      </c>
      <c r="D4" s="1163" t="s">
        <v>3057</v>
      </c>
      <c r="E4" s="1163" t="s">
        <v>3058</v>
      </c>
      <c r="F4" s="1163" t="s">
        <v>3045</v>
      </c>
      <c r="G4" s="1163" t="s">
        <v>3046</v>
      </c>
      <c r="H4" s="1163" t="s">
        <v>3059</v>
      </c>
      <c r="I4" s="1163" t="s">
        <v>3060</v>
      </c>
      <c r="J4" s="1163" t="s">
        <v>3049</v>
      </c>
    </row>
    <row r="5" spans="1:10">
      <c r="A5" s="1163" t="s">
        <v>3050</v>
      </c>
      <c r="B5" s="1163" t="s">
        <v>3061</v>
      </c>
      <c r="C5" s="1163" t="s">
        <v>965</v>
      </c>
      <c r="D5" s="1163" t="s">
        <v>3062</v>
      </c>
      <c r="E5" s="1163" t="s">
        <v>3063</v>
      </c>
      <c r="F5" s="1163" t="s">
        <v>3045</v>
      </c>
      <c r="G5" s="1163" t="s">
        <v>3046</v>
      </c>
      <c r="H5" s="1163" t="s">
        <v>3064</v>
      </c>
      <c r="I5" s="1163" t="s">
        <v>3065</v>
      </c>
      <c r="J5" s="1163" t="s">
        <v>3049</v>
      </c>
    </row>
    <row r="6" spans="1:10">
      <c r="A6" s="1163" t="s">
        <v>3066</v>
      </c>
      <c r="B6" s="1163" t="s">
        <v>3061</v>
      </c>
      <c r="C6" s="1163" t="s">
        <v>965</v>
      </c>
      <c r="D6" s="1163" t="s">
        <v>3043</v>
      </c>
      <c r="E6" s="1163" t="s">
        <v>3063</v>
      </c>
      <c r="F6" s="1163" t="s">
        <v>3045</v>
      </c>
      <c r="G6" s="1163" t="s">
        <v>3046</v>
      </c>
      <c r="H6" s="1163" t="s">
        <v>3067</v>
      </c>
      <c r="I6" s="1163" t="s">
        <v>3068</v>
      </c>
      <c r="J6" s="1163" t="s">
        <v>3049</v>
      </c>
    </row>
    <row r="7" spans="1:10">
      <c r="A7" s="3326" t="s">
        <v>3031</v>
      </c>
      <c r="B7" s="3326" t="s">
        <v>3032</v>
      </c>
      <c r="C7" s="3326" t="s">
        <v>3033</v>
      </c>
      <c r="D7" s="3326" t="s">
        <v>3034</v>
      </c>
      <c r="E7" s="3326" t="s">
        <v>3035</v>
      </c>
      <c r="F7" s="3326" t="s">
        <v>3036</v>
      </c>
      <c r="G7" s="3326" t="s">
        <v>3037</v>
      </c>
      <c r="H7" s="3326" t="s">
        <v>3038</v>
      </c>
      <c r="I7" s="3326" t="s">
        <v>3039</v>
      </c>
      <c r="J7" s="3326" t="s">
        <v>3040</v>
      </c>
    </row>
    <row r="8" spans="1:10">
      <c r="A8" s="3326" t="s">
        <v>3069</v>
      </c>
      <c r="B8" s="3326" t="s">
        <v>3056</v>
      </c>
      <c r="C8" s="3326" t="s">
        <v>965</v>
      </c>
      <c r="D8" s="3326" t="s">
        <v>3070</v>
      </c>
      <c r="E8" s="3326" t="s">
        <v>3058</v>
      </c>
      <c r="F8" s="3326" t="s">
        <v>3045</v>
      </c>
      <c r="G8" s="3326" t="s">
        <v>3046</v>
      </c>
      <c r="H8" s="3326" t="s">
        <v>3071</v>
      </c>
      <c r="I8" s="3326" t="s">
        <v>3072</v>
      </c>
      <c r="J8" s="3326" t="s">
        <v>3049</v>
      </c>
    </row>
    <row r="9" spans="1:10">
      <c r="A9" s="3326" t="s">
        <v>3069</v>
      </c>
      <c r="B9" s="3326" t="s">
        <v>3056</v>
      </c>
      <c r="C9" s="3326" t="s">
        <v>965</v>
      </c>
      <c r="D9" s="3326" t="s">
        <v>3073</v>
      </c>
      <c r="E9" s="3326" t="s">
        <v>3058</v>
      </c>
      <c r="F9" s="3326" t="s">
        <v>3045</v>
      </c>
      <c r="G9" s="3326" t="s">
        <v>3046</v>
      </c>
      <c r="H9" s="3326" t="s">
        <v>3059</v>
      </c>
      <c r="I9" s="3326" t="s">
        <v>3060</v>
      </c>
      <c r="J9" s="3326" t="s">
        <v>3049</v>
      </c>
    </row>
    <row r="10" spans="1:10">
      <c r="A10" s="3326" t="s">
        <v>3074</v>
      </c>
      <c r="B10" s="3326" t="s">
        <v>3075</v>
      </c>
      <c r="C10" s="3326" t="s">
        <v>965</v>
      </c>
      <c r="D10" s="3326" t="s">
        <v>3076</v>
      </c>
      <c r="E10" s="3326" t="s">
        <v>3077</v>
      </c>
      <c r="F10" s="3326" t="s">
        <v>3045</v>
      </c>
      <c r="G10" s="3326" t="s">
        <v>3046</v>
      </c>
      <c r="H10" s="3326" t="s">
        <v>3078</v>
      </c>
      <c r="I10" s="3326" t="s">
        <v>3079</v>
      </c>
      <c r="J10" s="3326" t="s">
        <v>3049</v>
      </c>
    </row>
    <row r="11" spans="1:10">
      <c r="A11" s="3326" t="s">
        <v>3074</v>
      </c>
      <c r="B11" s="3326" t="s">
        <v>3056</v>
      </c>
      <c r="C11" s="3326" t="s">
        <v>965</v>
      </c>
      <c r="D11" s="3326" t="s">
        <v>3080</v>
      </c>
      <c r="E11" s="3326" t="s">
        <v>3058</v>
      </c>
      <c r="F11" s="3326" t="s">
        <v>3045</v>
      </c>
      <c r="G11" s="3326" t="s">
        <v>3046</v>
      </c>
      <c r="H11" s="3326" t="s">
        <v>3071</v>
      </c>
      <c r="I11" s="3326" t="s">
        <v>3072</v>
      </c>
      <c r="J11" s="3326" t="s">
        <v>3049</v>
      </c>
    </row>
    <row r="12" spans="1:10">
      <c r="A12" s="3326" t="s">
        <v>3074</v>
      </c>
      <c r="B12" s="3326" t="s">
        <v>3075</v>
      </c>
      <c r="C12" s="3326" t="s">
        <v>965</v>
      </c>
      <c r="D12" s="3326" t="s">
        <v>3081</v>
      </c>
      <c r="E12" s="3326" t="s">
        <v>3077</v>
      </c>
      <c r="F12" s="3326" t="s">
        <v>3045</v>
      </c>
      <c r="G12" s="3326" t="s">
        <v>3046</v>
      </c>
      <c r="H12" s="3326" t="s">
        <v>3059</v>
      </c>
      <c r="I12" s="3326" t="s">
        <v>3082</v>
      </c>
      <c r="J12" s="3326" t="s">
        <v>3049</v>
      </c>
    </row>
    <row r="13" spans="1:10">
      <c r="A13" s="3326" t="s">
        <v>3074</v>
      </c>
      <c r="B13" s="3326" t="s">
        <v>3075</v>
      </c>
      <c r="C13" s="3326" t="s">
        <v>965</v>
      </c>
      <c r="D13" s="3326" t="s">
        <v>3083</v>
      </c>
      <c r="E13" s="3326" t="s">
        <v>3077</v>
      </c>
      <c r="F13" s="3326" t="s">
        <v>3045</v>
      </c>
      <c r="G13" s="3326" t="s">
        <v>3046</v>
      </c>
      <c r="H13" s="3326" t="s">
        <v>3084</v>
      </c>
      <c r="I13" s="3326" t="s">
        <v>3085</v>
      </c>
      <c r="J13" s="3326" t="s">
        <v>3049</v>
      </c>
    </row>
    <row r="14" spans="1:10" s="3325" customFormat="1">
      <c r="A14" s="3327" t="s">
        <v>3086</v>
      </c>
      <c r="B14" s="3327" t="s">
        <v>3042</v>
      </c>
      <c r="C14" s="3327" t="s">
        <v>965</v>
      </c>
      <c r="D14" s="3327" t="s">
        <v>3070</v>
      </c>
      <c r="E14" s="3327" t="s">
        <v>3044</v>
      </c>
      <c r="F14" s="3327" t="s">
        <v>3045</v>
      </c>
      <c r="G14" s="3327" t="s">
        <v>3046</v>
      </c>
      <c r="H14" s="3327" t="s">
        <v>3047</v>
      </c>
      <c r="I14" s="3327" t="s">
        <v>3087</v>
      </c>
      <c r="J14" s="3327" t="s">
        <v>3088</v>
      </c>
    </row>
    <row r="15" spans="1:10" s="3325" customFormat="1">
      <c r="A15" s="3327" t="s">
        <v>3086</v>
      </c>
      <c r="B15" s="3327" t="s">
        <v>3042</v>
      </c>
      <c r="C15" s="3327" t="s">
        <v>965</v>
      </c>
      <c r="D15" s="3327" t="s">
        <v>3057</v>
      </c>
      <c r="E15" s="3327" t="s">
        <v>3044</v>
      </c>
      <c r="F15" s="3327" t="s">
        <v>3045</v>
      </c>
      <c r="G15" s="3327" t="s">
        <v>3046</v>
      </c>
      <c r="H15" s="3327" t="s">
        <v>3089</v>
      </c>
      <c r="I15" s="3327" t="s">
        <v>3090</v>
      </c>
      <c r="J15" s="3327" t="s">
        <v>3091</v>
      </c>
    </row>
    <row r="16" spans="1:10" s="3325" customFormat="1">
      <c r="A16" s="3327" t="s">
        <v>3092</v>
      </c>
      <c r="B16" s="3327" t="s">
        <v>3042</v>
      </c>
      <c r="C16" s="3327" t="s">
        <v>965</v>
      </c>
      <c r="D16" s="3327" t="s">
        <v>3080</v>
      </c>
      <c r="E16" s="3327" t="s">
        <v>3044</v>
      </c>
      <c r="F16" s="3327" t="s">
        <v>3045</v>
      </c>
      <c r="G16" s="3327" t="s">
        <v>3046</v>
      </c>
      <c r="H16" s="3327" t="s">
        <v>3093</v>
      </c>
      <c r="I16" s="3327" t="s">
        <v>3094</v>
      </c>
      <c r="J16" s="3327" t="s">
        <v>3049</v>
      </c>
    </row>
    <row r="17" spans="1:10">
      <c r="A17" s="3326" t="s">
        <v>3095</v>
      </c>
      <c r="B17" s="3326" t="s">
        <v>3056</v>
      </c>
      <c r="C17" s="3326" t="s">
        <v>965</v>
      </c>
      <c r="D17" s="3326" t="s">
        <v>3096</v>
      </c>
      <c r="E17" s="3326" t="s">
        <v>3058</v>
      </c>
      <c r="F17" s="3326" t="s">
        <v>3045</v>
      </c>
      <c r="G17" s="3326" t="s">
        <v>3046</v>
      </c>
      <c r="H17" s="3326" t="s">
        <v>3097</v>
      </c>
      <c r="I17" s="3326" t="s">
        <v>3098</v>
      </c>
      <c r="J17" s="3326" t="s">
        <v>3049</v>
      </c>
    </row>
    <row r="18" spans="1:10">
      <c r="A18" s="3326" t="s">
        <v>3095</v>
      </c>
      <c r="B18" s="3326" t="s">
        <v>3061</v>
      </c>
      <c r="C18" s="3326" t="s">
        <v>965</v>
      </c>
      <c r="D18" s="3326" t="s">
        <v>3099</v>
      </c>
      <c r="E18" s="3326" t="s">
        <v>3063</v>
      </c>
      <c r="F18" s="3326" t="s">
        <v>3045</v>
      </c>
      <c r="G18" s="3326" t="s">
        <v>3046</v>
      </c>
      <c r="H18" s="3326" t="s">
        <v>3064</v>
      </c>
      <c r="I18" s="3326" t="s">
        <v>3065</v>
      </c>
      <c r="J18" s="3326" t="s">
        <v>3049</v>
      </c>
    </row>
    <row r="19" spans="1:10">
      <c r="A19" s="3326" t="s">
        <v>3095</v>
      </c>
      <c r="B19" s="3326" t="s">
        <v>3056</v>
      </c>
      <c r="C19" s="3326" t="s">
        <v>965</v>
      </c>
      <c r="D19" s="3326" t="s">
        <v>3100</v>
      </c>
      <c r="E19" s="3326" t="s">
        <v>3058</v>
      </c>
      <c r="F19" s="3326" t="s">
        <v>3045</v>
      </c>
      <c r="G19" s="3326" t="s">
        <v>3046</v>
      </c>
      <c r="H19" s="3326" t="s">
        <v>3071</v>
      </c>
      <c r="I19" s="3326" t="s">
        <v>3072</v>
      </c>
      <c r="J19" s="3326" t="s">
        <v>3049</v>
      </c>
    </row>
    <row r="20" spans="1:10">
      <c r="A20" s="3326" t="s">
        <v>3095</v>
      </c>
      <c r="B20" s="3326" t="s">
        <v>3056</v>
      </c>
      <c r="C20" s="3326" t="s">
        <v>965</v>
      </c>
      <c r="D20" s="3326" t="s">
        <v>3101</v>
      </c>
      <c r="E20" s="3326" t="s">
        <v>3058</v>
      </c>
      <c r="F20" s="3326" t="s">
        <v>3045</v>
      </c>
      <c r="G20" s="3326" t="s">
        <v>3046</v>
      </c>
      <c r="H20" s="3326" t="s">
        <v>3102</v>
      </c>
      <c r="I20" s="3326" t="s">
        <v>3103</v>
      </c>
      <c r="J20" s="3326" t="s">
        <v>3049</v>
      </c>
    </row>
    <row r="21" spans="1:10">
      <c r="A21" s="3326" t="s">
        <v>3095</v>
      </c>
      <c r="B21" s="3326" t="s">
        <v>3056</v>
      </c>
      <c r="C21" s="3326" t="s">
        <v>965</v>
      </c>
      <c r="D21" s="3326" t="s">
        <v>3104</v>
      </c>
      <c r="E21" s="3326" t="s">
        <v>3058</v>
      </c>
      <c r="F21" s="3326" t="s">
        <v>3045</v>
      </c>
      <c r="G21" s="3326" t="s">
        <v>3046</v>
      </c>
      <c r="H21" s="3326" t="s">
        <v>3105</v>
      </c>
      <c r="I21" s="3326" t="s">
        <v>3106</v>
      </c>
      <c r="J21" s="3326" t="s">
        <v>3049</v>
      </c>
    </row>
    <row r="22" spans="1:10">
      <c r="A22" s="3326" t="s">
        <v>3095</v>
      </c>
      <c r="B22" s="3326" t="s">
        <v>3061</v>
      </c>
      <c r="C22" s="3326" t="s">
        <v>965</v>
      </c>
      <c r="D22" s="3326" t="s">
        <v>3107</v>
      </c>
      <c r="E22" s="3326" t="s">
        <v>3063</v>
      </c>
      <c r="F22" s="3326" t="s">
        <v>3045</v>
      </c>
      <c r="G22" s="3326" t="s">
        <v>3046</v>
      </c>
      <c r="H22" s="3326" t="s">
        <v>3108</v>
      </c>
      <c r="I22" s="3326" t="s">
        <v>3109</v>
      </c>
      <c r="J22" s="3326" t="s">
        <v>3049</v>
      </c>
    </row>
    <row r="23" spans="1:10">
      <c r="A23" s="3326" t="s">
        <v>3095</v>
      </c>
      <c r="B23" s="3326" t="s">
        <v>3051</v>
      </c>
      <c r="C23" s="3326" t="s">
        <v>965</v>
      </c>
      <c r="D23" s="3326" t="s">
        <v>3110</v>
      </c>
      <c r="E23" s="3326" t="s">
        <v>3053</v>
      </c>
      <c r="F23" s="3326" t="s">
        <v>3045</v>
      </c>
      <c r="G23" s="3326" t="s">
        <v>3046</v>
      </c>
      <c r="H23" s="3326" t="s">
        <v>3111</v>
      </c>
      <c r="I23" s="3326" t="s">
        <v>3112</v>
      </c>
      <c r="J23" s="3326" t="s">
        <v>3049</v>
      </c>
    </row>
    <row r="24" spans="1:10">
      <c r="A24" s="3326" t="s">
        <v>3095</v>
      </c>
      <c r="B24" s="3326" t="s">
        <v>3056</v>
      </c>
      <c r="C24" s="3326" t="s">
        <v>965</v>
      </c>
      <c r="D24" s="3326" t="s">
        <v>3113</v>
      </c>
      <c r="E24" s="3326" t="s">
        <v>3058</v>
      </c>
      <c r="F24" s="3326" t="s">
        <v>3045</v>
      </c>
      <c r="G24" s="3326" t="s">
        <v>3046</v>
      </c>
      <c r="H24" s="3326" t="s">
        <v>3059</v>
      </c>
      <c r="I24" s="3326" t="s">
        <v>3060</v>
      </c>
      <c r="J24" s="3326" t="s">
        <v>3049</v>
      </c>
    </row>
    <row r="25" spans="1:10">
      <c r="A25" s="3326" t="s">
        <v>3095</v>
      </c>
      <c r="B25" s="3326" t="s">
        <v>3075</v>
      </c>
      <c r="C25" s="3326" t="s">
        <v>965</v>
      </c>
      <c r="D25" s="3326" t="s">
        <v>3114</v>
      </c>
      <c r="E25" s="3326" t="s">
        <v>3077</v>
      </c>
      <c r="F25" s="3326" t="s">
        <v>3045</v>
      </c>
      <c r="G25" s="3326" t="s">
        <v>3046</v>
      </c>
      <c r="H25" s="3326" t="s">
        <v>3093</v>
      </c>
      <c r="I25" s="3326" t="s">
        <v>3115</v>
      </c>
      <c r="J25" s="3326" t="s">
        <v>3049</v>
      </c>
    </row>
    <row r="26" spans="1:10">
      <c r="A26" s="3326" t="s">
        <v>3095</v>
      </c>
      <c r="B26" s="3326" t="s">
        <v>3061</v>
      </c>
      <c r="C26" s="3326" t="s">
        <v>965</v>
      </c>
      <c r="D26" s="3326" t="s">
        <v>3101</v>
      </c>
      <c r="E26" s="3326" t="s">
        <v>3063</v>
      </c>
      <c r="F26" s="3326" t="s">
        <v>3045</v>
      </c>
      <c r="G26" s="3326" t="s">
        <v>3046</v>
      </c>
      <c r="H26" s="3326" t="s">
        <v>3116</v>
      </c>
      <c r="I26" s="3326" t="s">
        <v>3117</v>
      </c>
      <c r="J26" s="3326" t="s">
        <v>3049</v>
      </c>
    </row>
    <row r="27" spans="1:10">
      <c r="A27" s="3326" t="s">
        <v>3095</v>
      </c>
      <c r="B27" s="3326" t="s">
        <v>3056</v>
      </c>
      <c r="C27" s="3326" t="s">
        <v>965</v>
      </c>
      <c r="D27" s="3326" t="s">
        <v>3118</v>
      </c>
      <c r="E27" s="3326" t="s">
        <v>3058</v>
      </c>
      <c r="F27" s="3326" t="s">
        <v>3045</v>
      </c>
      <c r="G27" s="3326" t="s">
        <v>3046</v>
      </c>
      <c r="H27" s="3326" t="s">
        <v>3071</v>
      </c>
      <c r="I27" s="3326" t="s">
        <v>3072</v>
      </c>
      <c r="J27" s="3326" t="s">
        <v>3049</v>
      </c>
    </row>
    <row r="28" spans="1:10">
      <c r="A28" s="3326" t="s">
        <v>3095</v>
      </c>
      <c r="B28" s="3326" t="s">
        <v>3075</v>
      </c>
      <c r="C28" s="3326" t="s">
        <v>965</v>
      </c>
      <c r="D28" s="3326" t="s">
        <v>3119</v>
      </c>
      <c r="E28" s="3326" t="s">
        <v>3077</v>
      </c>
      <c r="F28" s="3326" t="s">
        <v>3045</v>
      </c>
      <c r="G28" s="3326" t="s">
        <v>3046</v>
      </c>
      <c r="H28" s="3326" t="s">
        <v>3093</v>
      </c>
      <c r="I28" s="3326" t="s">
        <v>3115</v>
      </c>
      <c r="J28" s="3326" t="s">
        <v>3049</v>
      </c>
    </row>
    <row r="29" spans="1:10">
      <c r="A29" s="3326" t="s">
        <v>3095</v>
      </c>
      <c r="B29" s="3326" t="s">
        <v>3056</v>
      </c>
      <c r="C29" s="3326" t="s">
        <v>965</v>
      </c>
      <c r="D29" s="3326" t="s">
        <v>3120</v>
      </c>
      <c r="E29" s="3326" t="s">
        <v>3058</v>
      </c>
      <c r="F29" s="3326" t="s">
        <v>3045</v>
      </c>
      <c r="G29" s="3326" t="s">
        <v>3046</v>
      </c>
      <c r="H29" s="3326" t="s">
        <v>3047</v>
      </c>
      <c r="I29" s="3326" t="s">
        <v>3121</v>
      </c>
      <c r="J29" s="3326" t="s">
        <v>3049</v>
      </c>
    </row>
    <row r="30" spans="1:10">
      <c r="A30" s="3326" t="s">
        <v>3095</v>
      </c>
      <c r="B30" s="3326" t="s">
        <v>3056</v>
      </c>
      <c r="C30" s="3326" t="s">
        <v>965</v>
      </c>
      <c r="D30" s="3326" t="s">
        <v>3099</v>
      </c>
      <c r="E30" s="3326" t="s">
        <v>3058</v>
      </c>
      <c r="F30" s="3326" t="s">
        <v>3045</v>
      </c>
      <c r="G30" s="3326" t="s">
        <v>3046</v>
      </c>
      <c r="H30" s="3326" t="s">
        <v>3047</v>
      </c>
      <c r="I30" s="3326" t="s">
        <v>3121</v>
      </c>
      <c r="J30" s="3326" t="s">
        <v>3049</v>
      </c>
    </row>
    <row r="31" spans="1:10">
      <c r="A31" s="3326" t="s">
        <v>3095</v>
      </c>
      <c r="B31" s="3326" t="s">
        <v>3056</v>
      </c>
      <c r="C31" s="3326" t="s">
        <v>965</v>
      </c>
      <c r="D31" s="3326" t="s">
        <v>3107</v>
      </c>
      <c r="E31" s="3326" t="s">
        <v>3058</v>
      </c>
      <c r="F31" s="3326" t="s">
        <v>3045</v>
      </c>
      <c r="G31" s="3326" t="s">
        <v>3046</v>
      </c>
      <c r="H31" s="3326" t="s">
        <v>3102</v>
      </c>
      <c r="I31" s="3326" t="s">
        <v>3122</v>
      </c>
      <c r="J31" s="3326" t="s">
        <v>3049</v>
      </c>
    </row>
    <row r="32" spans="1:10">
      <c r="A32" s="3326" t="s">
        <v>3095</v>
      </c>
      <c r="B32" s="3326" t="s">
        <v>3056</v>
      </c>
      <c r="C32" s="3326" t="s">
        <v>965</v>
      </c>
      <c r="D32" s="3326" t="s">
        <v>3062</v>
      </c>
      <c r="E32" s="3326" t="s">
        <v>3058</v>
      </c>
      <c r="F32" s="3326" t="s">
        <v>3045</v>
      </c>
      <c r="G32" s="3326" t="s">
        <v>3046</v>
      </c>
      <c r="H32" s="3326" t="s">
        <v>3097</v>
      </c>
      <c r="I32" s="3326" t="s">
        <v>3098</v>
      </c>
      <c r="J32" s="3326" t="s">
        <v>3049</v>
      </c>
    </row>
    <row r="33" spans="1:10">
      <c r="A33" s="3326" t="s">
        <v>3095</v>
      </c>
      <c r="B33" s="3326" t="s">
        <v>3051</v>
      </c>
      <c r="C33" s="3326" t="s">
        <v>965</v>
      </c>
      <c r="D33" s="3326" t="s">
        <v>3123</v>
      </c>
      <c r="E33" s="3326" t="s">
        <v>3053</v>
      </c>
      <c r="F33" s="3326" t="s">
        <v>3045</v>
      </c>
      <c r="G33" s="3326" t="s">
        <v>3046</v>
      </c>
      <c r="H33" s="3326" t="s">
        <v>3124</v>
      </c>
      <c r="I33" s="3326" t="s">
        <v>3125</v>
      </c>
      <c r="J33" s="3326" t="s">
        <v>3049</v>
      </c>
    </row>
    <row r="34" spans="1:10">
      <c r="A34" s="3326" t="s">
        <v>3095</v>
      </c>
      <c r="B34" s="3326" t="s">
        <v>3056</v>
      </c>
      <c r="C34" s="3326" t="s">
        <v>965</v>
      </c>
      <c r="D34" s="3326" t="s">
        <v>3126</v>
      </c>
      <c r="E34" s="3326" t="s">
        <v>3058</v>
      </c>
      <c r="F34" s="3326" t="s">
        <v>3045</v>
      </c>
      <c r="G34" s="3326" t="s">
        <v>3046</v>
      </c>
      <c r="H34" s="3326" t="s">
        <v>3127</v>
      </c>
      <c r="I34" s="3326" t="s">
        <v>3128</v>
      </c>
      <c r="J34" s="3326" t="s">
        <v>3049</v>
      </c>
    </row>
    <row r="35" spans="1:10">
      <c r="A35" s="3326" t="s">
        <v>3095</v>
      </c>
      <c r="B35" s="3326" t="s">
        <v>3061</v>
      </c>
      <c r="C35" s="3326" t="s">
        <v>965</v>
      </c>
      <c r="D35" s="3326" t="s">
        <v>3080</v>
      </c>
      <c r="E35" s="3326" t="s">
        <v>3063</v>
      </c>
      <c r="F35" s="3326" t="s">
        <v>3045</v>
      </c>
      <c r="G35" s="3326" t="s">
        <v>3046</v>
      </c>
      <c r="H35" s="3326" t="s">
        <v>3129</v>
      </c>
      <c r="I35" s="3326" t="s">
        <v>3130</v>
      </c>
      <c r="J35" s="3326" t="s">
        <v>3049</v>
      </c>
    </row>
    <row r="36" spans="1:10">
      <c r="A36" s="3326" t="s">
        <v>3095</v>
      </c>
      <c r="B36" s="3326" t="s">
        <v>3056</v>
      </c>
      <c r="C36" s="3326" t="s">
        <v>965</v>
      </c>
      <c r="D36" s="3326" t="s">
        <v>3131</v>
      </c>
      <c r="E36" s="3326" t="s">
        <v>3058</v>
      </c>
      <c r="F36" s="3326" t="s">
        <v>3045</v>
      </c>
      <c r="G36" s="3326" t="s">
        <v>3046</v>
      </c>
      <c r="H36" s="3326" t="s">
        <v>3132</v>
      </c>
      <c r="I36" s="3326" t="s">
        <v>3133</v>
      </c>
      <c r="J36" s="3326" t="s">
        <v>3049</v>
      </c>
    </row>
    <row r="37" spans="1:10">
      <c r="A37" s="3326" t="s">
        <v>3134</v>
      </c>
      <c r="B37" s="3326" t="s">
        <v>3061</v>
      </c>
      <c r="C37" s="3326" t="s">
        <v>965</v>
      </c>
      <c r="D37" s="3326" t="s">
        <v>3135</v>
      </c>
      <c r="E37" s="3326" t="s">
        <v>3063</v>
      </c>
      <c r="F37" s="3326" t="s">
        <v>3045</v>
      </c>
      <c r="G37" s="3326" t="s">
        <v>3046</v>
      </c>
      <c r="H37" s="3326" t="s">
        <v>3108</v>
      </c>
      <c r="I37" s="3326" t="s">
        <v>3109</v>
      </c>
      <c r="J37" s="3326" t="s">
        <v>3049</v>
      </c>
    </row>
    <row r="38" spans="1:10">
      <c r="A38" s="3326" t="s">
        <v>3134</v>
      </c>
      <c r="B38" s="3326" t="s">
        <v>3061</v>
      </c>
      <c r="C38" s="3326" t="s">
        <v>965</v>
      </c>
      <c r="D38" s="3326" t="s">
        <v>3131</v>
      </c>
      <c r="E38" s="3326" t="s">
        <v>3063</v>
      </c>
      <c r="F38" s="3326" t="s">
        <v>3045</v>
      </c>
      <c r="G38" s="3326" t="s">
        <v>3046</v>
      </c>
      <c r="H38" s="3326" t="s">
        <v>3136</v>
      </c>
      <c r="I38" s="3326" t="s">
        <v>3137</v>
      </c>
      <c r="J38" s="3326" t="s">
        <v>3049</v>
      </c>
    </row>
    <row r="39" spans="1:10">
      <c r="A39" s="3326" t="s">
        <v>3134</v>
      </c>
      <c r="B39" s="3326" t="s">
        <v>3061</v>
      </c>
      <c r="C39" s="3326" t="s">
        <v>965</v>
      </c>
      <c r="D39" s="3326" t="s">
        <v>3138</v>
      </c>
      <c r="E39" s="3326" t="s">
        <v>3063</v>
      </c>
      <c r="F39" s="3326" t="s">
        <v>3045</v>
      </c>
      <c r="G39" s="3326" t="s">
        <v>3046</v>
      </c>
      <c r="H39" s="3326" t="s">
        <v>3064</v>
      </c>
      <c r="I39" s="3326" t="s">
        <v>3065</v>
      </c>
      <c r="J39" s="3326" t="s">
        <v>3049</v>
      </c>
    </row>
    <row r="40" spans="1:10">
      <c r="A40" s="3326" t="s">
        <v>3134</v>
      </c>
      <c r="B40" s="3326" t="s">
        <v>3061</v>
      </c>
      <c r="C40" s="3326" t="s">
        <v>965</v>
      </c>
      <c r="D40" s="3326" t="s">
        <v>3096</v>
      </c>
      <c r="E40" s="3326" t="s">
        <v>3063</v>
      </c>
      <c r="F40" s="3326" t="s">
        <v>3045</v>
      </c>
      <c r="G40" s="3326" t="s">
        <v>3046</v>
      </c>
      <c r="H40" s="3326" t="s">
        <v>3059</v>
      </c>
      <c r="I40" s="3326" t="s">
        <v>3139</v>
      </c>
      <c r="J40" s="3326" t="s">
        <v>3049</v>
      </c>
    </row>
    <row r="41" spans="1:10">
      <c r="A41" s="3326" t="s">
        <v>3134</v>
      </c>
      <c r="B41" s="3326" t="s">
        <v>3061</v>
      </c>
      <c r="C41" s="3326" t="s">
        <v>965</v>
      </c>
      <c r="D41" s="3326" t="s">
        <v>3140</v>
      </c>
      <c r="E41" s="3326" t="s">
        <v>3063</v>
      </c>
      <c r="F41" s="3326" t="s">
        <v>3045</v>
      </c>
      <c r="G41" s="3326" t="s">
        <v>3046</v>
      </c>
      <c r="H41" s="3326" t="s">
        <v>3108</v>
      </c>
      <c r="I41" s="3326" t="s">
        <v>3109</v>
      </c>
      <c r="J41" s="3326" t="s">
        <v>3049</v>
      </c>
    </row>
    <row r="42" spans="1:10">
      <c r="A42" s="3326" t="s">
        <v>3134</v>
      </c>
      <c r="B42" s="3326" t="s">
        <v>3061</v>
      </c>
      <c r="C42" s="3326" t="s">
        <v>965</v>
      </c>
      <c r="D42" s="3326" t="s">
        <v>3070</v>
      </c>
      <c r="E42" s="3326" t="s">
        <v>3063</v>
      </c>
      <c r="F42" s="3326" t="s">
        <v>3045</v>
      </c>
      <c r="G42" s="3326" t="s">
        <v>3046</v>
      </c>
      <c r="H42" s="3326" t="s">
        <v>3141</v>
      </c>
      <c r="I42" s="3326" t="s">
        <v>3142</v>
      </c>
      <c r="J42" s="3326" t="s">
        <v>3049</v>
      </c>
    </row>
    <row r="43" spans="1:10">
      <c r="A43" s="3326" t="s">
        <v>3134</v>
      </c>
      <c r="B43" s="3326" t="s">
        <v>3061</v>
      </c>
      <c r="C43" s="3326" t="s">
        <v>965</v>
      </c>
      <c r="D43" s="3326" t="s">
        <v>3118</v>
      </c>
      <c r="E43" s="3326" t="s">
        <v>3063</v>
      </c>
      <c r="F43" s="3326" t="s">
        <v>3045</v>
      </c>
      <c r="G43" s="3326" t="s">
        <v>3046</v>
      </c>
      <c r="H43" s="3326" t="s">
        <v>3143</v>
      </c>
      <c r="I43" s="3326" t="s">
        <v>3144</v>
      </c>
      <c r="J43" s="3326" t="s">
        <v>3049</v>
      </c>
    </row>
    <row r="44" spans="1:10">
      <c r="A44" s="3326" t="s">
        <v>3145</v>
      </c>
      <c r="B44" s="3326" t="s">
        <v>3075</v>
      </c>
      <c r="C44" s="3326" t="s">
        <v>965</v>
      </c>
      <c r="D44" s="3326" t="s">
        <v>3146</v>
      </c>
      <c r="E44" s="3326" t="s">
        <v>3077</v>
      </c>
      <c r="F44" s="3326" t="s">
        <v>3045</v>
      </c>
      <c r="G44" s="3326" t="s">
        <v>3046</v>
      </c>
      <c r="H44" s="3326" t="s">
        <v>3147</v>
      </c>
      <c r="I44" s="3326" t="s">
        <v>3148</v>
      </c>
      <c r="J44" s="3326" t="s">
        <v>3149</v>
      </c>
    </row>
    <row r="45" spans="1:10">
      <c r="A45" s="3326" t="s">
        <v>3150</v>
      </c>
      <c r="B45" s="3326" t="s">
        <v>3075</v>
      </c>
      <c r="C45" s="3326" t="s">
        <v>965</v>
      </c>
      <c r="D45" s="3326" t="s">
        <v>3151</v>
      </c>
      <c r="E45" s="3326" t="s">
        <v>3077</v>
      </c>
      <c r="F45" s="3326" t="s">
        <v>3045</v>
      </c>
      <c r="G45" s="3326" t="s">
        <v>3046</v>
      </c>
      <c r="H45" s="3326" t="s">
        <v>3084</v>
      </c>
      <c r="I45" s="3326" t="s">
        <v>3152</v>
      </c>
      <c r="J45" s="3326" t="s">
        <v>3153</v>
      </c>
    </row>
    <row r="46" spans="1:10">
      <c r="A46" s="3326" t="s">
        <v>3150</v>
      </c>
      <c r="B46" s="3326" t="s">
        <v>3075</v>
      </c>
      <c r="C46" s="3326" t="s">
        <v>965</v>
      </c>
      <c r="D46" s="3326" t="s">
        <v>3154</v>
      </c>
      <c r="E46" s="3326" t="s">
        <v>3077</v>
      </c>
      <c r="F46" s="3326" t="s">
        <v>3045</v>
      </c>
      <c r="G46" s="3326" t="s">
        <v>3046</v>
      </c>
      <c r="H46" s="3326" t="s">
        <v>3155</v>
      </c>
      <c r="I46" s="3326" t="s">
        <v>3156</v>
      </c>
      <c r="J46" s="3326" t="s">
        <v>3157</v>
      </c>
    </row>
    <row r="47" spans="1:10" s="3325" customFormat="1">
      <c r="A47" s="3327" t="s">
        <v>3150</v>
      </c>
      <c r="B47" s="3327" t="s">
        <v>3042</v>
      </c>
      <c r="C47" s="3327" t="s">
        <v>965</v>
      </c>
      <c r="D47" s="3327" t="s">
        <v>3158</v>
      </c>
      <c r="E47" s="3327" t="s">
        <v>3044</v>
      </c>
      <c r="F47" s="3327" t="s">
        <v>3045</v>
      </c>
      <c r="G47" s="3327" t="s">
        <v>3046</v>
      </c>
      <c r="H47" s="3327" t="s">
        <v>3132</v>
      </c>
      <c r="I47" s="3327" t="s">
        <v>3159</v>
      </c>
      <c r="J47" s="3327" t="s">
        <v>3160</v>
      </c>
    </row>
    <row r="48" spans="1:10" s="3325" customFormat="1">
      <c r="A48" s="3327" t="s">
        <v>3161</v>
      </c>
      <c r="B48" s="3327" t="s">
        <v>3042</v>
      </c>
      <c r="C48" s="3327" t="s">
        <v>965</v>
      </c>
      <c r="D48" s="3327" t="s">
        <v>3073</v>
      </c>
      <c r="E48" s="3327" t="s">
        <v>3044</v>
      </c>
      <c r="F48" s="3327" t="s">
        <v>3045</v>
      </c>
      <c r="G48" s="3327" t="s">
        <v>3046</v>
      </c>
      <c r="H48" s="3327" t="s">
        <v>3047</v>
      </c>
      <c r="I48" s="3327" t="s">
        <v>3162</v>
      </c>
      <c r="J48" s="3327" t="s">
        <v>3163</v>
      </c>
    </row>
    <row r="49" spans="1:10" s="3325" customFormat="1">
      <c r="A49" s="3327" t="s">
        <v>3161</v>
      </c>
      <c r="B49" s="3327" t="s">
        <v>3042</v>
      </c>
      <c r="C49" s="3327" t="s">
        <v>965</v>
      </c>
      <c r="D49" s="3327" t="s">
        <v>3100</v>
      </c>
      <c r="E49" s="3327" t="s">
        <v>3044</v>
      </c>
      <c r="F49" s="3327" t="s">
        <v>3045</v>
      </c>
      <c r="G49" s="3327" t="s">
        <v>3046</v>
      </c>
      <c r="H49" s="3327" t="s">
        <v>3132</v>
      </c>
      <c r="I49" s="3327" t="s">
        <v>3164</v>
      </c>
      <c r="J49" s="3327" t="s">
        <v>3165</v>
      </c>
    </row>
    <row r="50" spans="1:10">
      <c r="A50" s="3326" t="s">
        <v>3031</v>
      </c>
      <c r="B50" s="3326" t="s">
        <v>3032</v>
      </c>
      <c r="C50" s="3326" t="s">
        <v>3033</v>
      </c>
      <c r="D50" s="3326" t="s">
        <v>3034</v>
      </c>
      <c r="E50" s="3326" t="s">
        <v>3035</v>
      </c>
      <c r="F50" s="3326" t="s">
        <v>3036</v>
      </c>
      <c r="G50" s="3326" t="s">
        <v>3037</v>
      </c>
      <c r="H50" s="3326" t="s">
        <v>3038</v>
      </c>
      <c r="I50" s="3326" t="s">
        <v>3039</v>
      </c>
      <c r="J50" s="3326" t="s">
        <v>3040</v>
      </c>
    </row>
    <row r="51" spans="1:10">
      <c r="A51" s="3326" t="s">
        <v>3166</v>
      </c>
      <c r="B51" s="3326" t="s">
        <v>3056</v>
      </c>
      <c r="C51" s="3326" t="s">
        <v>965</v>
      </c>
      <c r="D51" s="3326" t="s">
        <v>3167</v>
      </c>
      <c r="E51" s="3326" t="s">
        <v>3058</v>
      </c>
      <c r="F51" s="3326" t="s">
        <v>3045</v>
      </c>
      <c r="G51" s="3326" t="s">
        <v>3046</v>
      </c>
      <c r="H51" s="3326" t="s">
        <v>3168</v>
      </c>
      <c r="I51" s="3326" t="s">
        <v>3169</v>
      </c>
      <c r="J51" s="3326" t="s">
        <v>3170</v>
      </c>
    </row>
    <row r="52" spans="1:10" s="3325" customFormat="1">
      <c r="A52" s="3327" t="s">
        <v>3171</v>
      </c>
      <c r="B52" s="3327" t="s">
        <v>3042</v>
      </c>
      <c r="C52" s="3327" t="s">
        <v>965</v>
      </c>
      <c r="D52" s="3327" t="s">
        <v>3126</v>
      </c>
      <c r="E52" s="3327" t="s">
        <v>3044</v>
      </c>
      <c r="F52" s="3327" t="s">
        <v>3045</v>
      </c>
      <c r="G52" s="3327" t="s">
        <v>3046</v>
      </c>
      <c r="H52" s="3327" t="s">
        <v>3132</v>
      </c>
      <c r="I52" s="3327" t="s">
        <v>3172</v>
      </c>
      <c r="J52" s="3327" t="s">
        <v>3173</v>
      </c>
    </row>
    <row r="53" spans="1:10" s="3325" customFormat="1">
      <c r="A53" s="3327" t="s">
        <v>3174</v>
      </c>
      <c r="B53" s="3327" t="s">
        <v>3042</v>
      </c>
      <c r="C53" s="3327" t="s">
        <v>965</v>
      </c>
      <c r="D53" s="3327" t="s">
        <v>3131</v>
      </c>
      <c r="E53" s="3327" t="s">
        <v>3044</v>
      </c>
      <c r="F53" s="3327" t="s">
        <v>3045</v>
      </c>
      <c r="G53" s="3327" t="s">
        <v>3046</v>
      </c>
      <c r="H53" s="3327" t="s">
        <v>3089</v>
      </c>
      <c r="I53" s="3327" t="s">
        <v>3175</v>
      </c>
      <c r="J53" s="3327" t="s">
        <v>3173</v>
      </c>
    </row>
    <row r="54" spans="1:10" s="3325" customFormat="1">
      <c r="A54" s="3327" t="s">
        <v>3176</v>
      </c>
      <c r="B54" s="3327" t="s">
        <v>3042</v>
      </c>
      <c r="C54" s="3327" t="s">
        <v>965</v>
      </c>
      <c r="D54" s="3327" t="s">
        <v>3177</v>
      </c>
      <c r="E54" s="3327" t="s">
        <v>3044</v>
      </c>
      <c r="F54" s="3327" t="s">
        <v>3045</v>
      </c>
      <c r="G54" s="3327" t="s">
        <v>3046</v>
      </c>
      <c r="H54" s="3327" t="s">
        <v>3047</v>
      </c>
      <c r="I54" s="3327" t="s">
        <v>3178</v>
      </c>
      <c r="J54" s="3327" t="s">
        <v>3160</v>
      </c>
    </row>
    <row r="55" spans="1:10">
      <c r="A55" s="3326" t="s">
        <v>3176</v>
      </c>
      <c r="B55" s="3326" t="s">
        <v>3075</v>
      </c>
      <c r="C55" s="3326" t="s">
        <v>965</v>
      </c>
      <c r="D55" s="3326" t="s">
        <v>3179</v>
      </c>
      <c r="E55" s="3326" t="s">
        <v>3077</v>
      </c>
      <c r="F55" s="3326" t="s">
        <v>3045</v>
      </c>
      <c r="G55" s="3326" t="s">
        <v>3046</v>
      </c>
      <c r="H55" s="3326" t="s">
        <v>3093</v>
      </c>
      <c r="I55" s="3326" t="s">
        <v>3180</v>
      </c>
      <c r="J55" s="3326" t="s">
        <v>3181</v>
      </c>
    </row>
    <row r="56" spans="1:10" s="3325" customFormat="1">
      <c r="A56" s="3327" t="s">
        <v>3176</v>
      </c>
      <c r="B56" s="3327" t="s">
        <v>3042</v>
      </c>
      <c r="C56" s="3327" t="s">
        <v>965</v>
      </c>
      <c r="D56" s="3327" t="s">
        <v>3113</v>
      </c>
      <c r="E56" s="3327" t="s">
        <v>3044</v>
      </c>
      <c r="F56" s="3327" t="s">
        <v>3045</v>
      </c>
      <c r="G56" s="3327" t="s">
        <v>3046</v>
      </c>
      <c r="H56" s="3327" t="s">
        <v>3047</v>
      </c>
      <c r="I56" s="3327" t="s">
        <v>3182</v>
      </c>
      <c r="J56" s="3327" t="s">
        <v>3183</v>
      </c>
    </row>
    <row r="57" spans="1:10">
      <c r="A57" s="3326" t="s">
        <v>3184</v>
      </c>
      <c r="B57" s="3326" t="s">
        <v>3061</v>
      </c>
      <c r="C57" s="3326" t="s">
        <v>965</v>
      </c>
      <c r="D57" s="3326" t="s">
        <v>3073</v>
      </c>
      <c r="E57" s="3326" t="s">
        <v>3063</v>
      </c>
      <c r="F57" s="3326" t="s">
        <v>3045</v>
      </c>
      <c r="G57" s="3326" t="s">
        <v>3046</v>
      </c>
      <c r="H57" s="3326" t="s">
        <v>3067</v>
      </c>
      <c r="I57" s="3326" t="s">
        <v>3185</v>
      </c>
      <c r="J57" s="3326" t="s">
        <v>3186</v>
      </c>
    </row>
    <row r="58" spans="1:10">
      <c r="A58" s="3326" t="s">
        <v>3187</v>
      </c>
      <c r="B58" s="3326" t="s">
        <v>3188</v>
      </c>
      <c r="C58" s="3326" t="s">
        <v>965</v>
      </c>
      <c r="D58" s="3326" t="s">
        <v>3070</v>
      </c>
      <c r="E58" s="3326" t="s">
        <v>3189</v>
      </c>
      <c r="F58" s="3326" t="s">
        <v>3045</v>
      </c>
      <c r="G58" s="3326" t="s">
        <v>3046</v>
      </c>
      <c r="H58" s="3326" t="s">
        <v>3047</v>
      </c>
      <c r="I58" s="3326" t="s">
        <v>3190</v>
      </c>
      <c r="J58" s="3326" t="s">
        <v>3191</v>
      </c>
    </row>
    <row r="59" spans="1:10">
      <c r="A59" s="3326" t="s">
        <v>3187</v>
      </c>
      <c r="B59" s="3326" t="s">
        <v>3188</v>
      </c>
      <c r="C59" s="3326" t="s">
        <v>965</v>
      </c>
      <c r="D59" s="3326" t="s">
        <v>3073</v>
      </c>
      <c r="E59" s="3326" t="s">
        <v>3189</v>
      </c>
      <c r="F59" s="3326" t="s">
        <v>3045</v>
      </c>
      <c r="G59" s="3326" t="s">
        <v>3046</v>
      </c>
      <c r="H59" s="3326" t="s">
        <v>3192</v>
      </c>
      <c r="I59" s="3326" t="s">
        <v>3193</v>
      </c>
      <c r="J59" s="3326" t="s">
        <v>3191</v>
      </c>
    </row>
    <row r="60" spans="1:10">
      <c r="A60" s="3326" t="s">
        <v>3187</v>
      </c>
      <c r="B60" s="3326" t="s">
        <v>3188</v>
      </c>
      <c r="C60" s="3326" t="s">
        <v>965</v>
      </c>
      <c r="D60" s="3326" t="s">
        <v>3194</v>
      </c>
      <c r="E60" s="3326" t="s">
        <v>3189</v>
      </c>
      <c r="F60" s="3326" t="s">
        <v>3045</v>
      </c>
      <c r="G60" s="3326" t="s">
        <v>3046</v>
      </c>
      <c r="H60" s="3326" t="s">
        <v>3195</v>
      </c>
      <c r="I60" s="3326" t="s">
        <v>3196</v>
      </c>
      <c r="J60" s="3326" t="s">
        <v>3197</v>
      </c>
    </row>
    <row r="61" spans="1:10">
      <c r="A61" s="3326" t="s">
        <v>3187</v>
      </c>
      <c r="B61" s="3326" t="s">
        <v>3188</v>
      </c>
      <c r="C61" s="3326" t="s">
        <v>965</v>
      </c>
      <c r="D61" s="3326" t="s">
        <v>3113</v>
      </c>
      <c r="E61" s="3326" t="s">
        <v>3189</v>
      </c>
      <c r="F61" s="3326" t="s">
        <v>3045</v>
      </c>
      <c r="G61" s="3326" t="s">
        <v>3046</v>
      </c>
      <c r="H61" s="3326" t="s">
        <v>3198</v>
      </c>
      <c r="I61" s="3326" t="s">
        <v>3199</v>
      </c>
      <c r="J61" s="3326" t="s">
        <v>3191</v>
      </c>
    </row>
    <row r="62" spans="1:10">
      <c r="A62" s="3326" t="s">
        <v>3187</v>
      </c>
      <c r="B62" s="3326" t="s">
        <v>3188</v>
      </c>
      <c r="C62" s="3326" t="s">
        <v>965</v>
      </c>
      <c r="D62" s="3326" t="s">
        <v>3118</v>
      </c>
      <c r="E62" s="3326" t="s">
        <v>3189</v>
      </c>
      <c r="F62" s="3326" t="s">
        <v>3045</v>
      </c>
      <c r="G62" s="3326" t="s">
        <v>3046</v>
      </c>
      <c r="H62" s="3326" t="s">
        <v>3192</v>
      </c>
      <c r="I62" s="3326" t="s">
        <v>3193</v>
      </c>
      <c r="J62" s="3326" t="s">
        <v>3191</v>
      </c>
    </row>
    <row r="63" spans="1:10">
      <c r="A63" s="3326" t="s">
        <v>3187</v>
      </c>
      <c r="B63" s="3326" t="s">
        <v>3188</v>
      </c>
      <c r="C63" s="3326" t="s">
        <v>965</v>
      </c>
      <c r="D63" s="3326" t="s">
        <v>3043</v>
      </c>
      <c r="E63" s="3326" t="s">
        <v>3189</v>
      </c>
      <c r="F63" s="3326" t="s">
        <v>3045</v>
      </c>
      <c r="G63" s="3326" t="s">
        <v>3046</v>
      </c>
      <c r="H63" s="3326" t="s">
        <v>3047</v>
      </c>
      <c r="I63" s="3326" t="s">
        <v>3200</v>
      </c>
      <c r="J63" s="3326" t="s">
        <v>3191</v>
      </c>
    </row>
    <row r="64" spans="1:10">
      <c r="A64" s="3326" t="s">
        <v>3187</v>
      </c>
      <c r="B64" s="3326" t="s">
        <v>3188</v>
      </c>
      <c r="C64" s="3326" t="s">
        <v>965</v>
      </c>
      <c r="D64" s="3326" t="s">
        <v>3057</v>
      </c>
      <c r="E64" s="3326" t="s">
        <v>3189</v>
      </c>
      <c r="F64" s="3326" t="s">
        <v>3045</v>
      </c>
      <c r="G64" s="3326" t="s">
        <v>3046</v>
      </c>
      <c r="H64" s="3326" t="s">
        <v>3047</v>
      </c>
      <c r="I64" s="3326" t="s">
        <v>3190</v>
      </c>
      <c r="J64" s="3326" t="s">
        <v>3191</v>
      </c>
    </row>
    <row r="65" spans="1:10">
      <c r="A65" s="3326" t="s">
        <v>3187</v>
      </c>
      <c r="B65" s="3326" t="s">
        <v>3188</v>
      </c>
      <c r="C65" s="3326" t="s">
        <v>965</v>
      </c>
      <c r="D65" s="3326" t="s">
        <v>3100</v>
      </c>
      <c r="E65" s="3326" t="s">
        <v>3189</v>
      </c>
      <c r="F65" s="3326" t="s">
        <v>3045</v>
      </c>
      <c r="G65" s="3326" t="s">
        <v>3046</v>
      </c>
      <c r="H65" s="3326" t="s">
        <v>3047</v>
      </c>
      <c r="I65" s="3326" t="s">
        <v>3201</v>
      </c>
      <c r="J65" s="3326" t="s">
        <v>3191</v>
      </c>
    </row>
    <row r="66" spans="1:10">
      <c r="A66" s="3326" t="s">
        <v>3187</v>
      </c>
      <c r="B66" s="3326" t="s">
        <v>3188</v>
      </c>
      <c r="C66" s="3326" t="s">
        <v>965</v>
      </c>
      <c r="D66" s="3326" t="s">
        <v>3158</v>
      </c>
      <c r="E66" s="3326" t="s">
        <v>3189</v>
      </c>
      <c r="F66" s="3326" t="s">
        <v>3045</v>
      </c>
      <c r="G66" s="3326" t="s">
        <v>3046</v>
      </c>
      <c r="H66" s="3326" t="s">
        <v>3047</v>
      </c>
      <c r="I66" s="3326" t="s">
        <v>3202</v>
      </c>
      <c r="J66" s="3326" t="s">
        <v>3197</v>
      </c>
    </row>
    <row r="67" spans="1:10">
      <c r="A67" s="3326" t="s">
        <v>3187</v>
      </c>
      <c r="B67" s="3326" t="s">
        <v>3188</v>
      </c>
      <c r="C67" s="3326" t="s">
        <v>965</v>
      </c>
      <c r="D67" s="3326" t="s">
        <v>3177</v>
      </c>
      <c r="E67" s="3326" t="s">
        <v>3189</v>
      </c>
      <c r="F67" s="3326" t="s">
        <v>3045</v>
      </c>
      <c r="G67" s="3326" t="s">
        <v>3046</v>
      </c>
      <c r="H67" s="3326" t="s">
        <v>3047</v>
      </c>
      <c r="I67" s="3326" t="s">
        <v>3202</v>
      </c>
      <c r="J67" s="3326" t="s">
        <v>3197</v>
      </c>
    </row>
    <row r="68" spans="1:10">
      <c r="A68" s="3326" t="s">
        <v>3203</v>
      </c>
      <c r="B68" s="3326" t="s">
        <v>3075</v>
      </c>
      <c r="C68" s="3326" t="s">
        <v>965</v>
      </c>
      <c r="D68" s="3326" t="s">
        <v>3204</v>
      </c>
      <c r="E68" s="3326" t="s">
        <v>3077</v>
      </c>
      <c r="F68" s="3326" t="s">
        <v>3045</v>
      </c>
      <c r="G68" s="3326" t="s">
        <v>3046</v>
      </c>
      <c r="H68" s="3326" t="s">
        <v>3205</v>
      </c>
      <c r="I68" s="3326" t="s">
        <v>3206</v>
      </c>
      <c r="J68" s="3326" t="s">
        <v>3207</v>
      </c>
    </row>
    <row r="69" spans="1:10">
      <c r="A69" s="3326" t="s">
        <v>3208</v>
      </c>
      <c r="B69" s="3326" t="s">
        <v>3061</v>
      </c>
      <c r="C69" s="3326" t="s">
        <v>965</v>
      </c>
      <c r="D69" s="3326" t="s">
        <v>3177</v>
      </c>
      <c r="E69" s="3326" t="s">
        <v>3063</v>
      </c>
      <c r="F69" s="3326" t="s">
        <v>3045</v>
      </c>
      <c r="G69" s="3326" t="s">
        <v>3046</v>
      </c>
      <c r="H69" s="3326" t="s">
        <v>3209</v>
      </c>
      <c r="I69" s="3326" t="s">
        <v>3210</v>
      </c>
      <c r="J69" s="3326" t="s">
        <v>3211</v>
      </c>
    </row>
    <row r="70" spans="1:10">
      <c r="A70" s="3326" t="s">
        <v>3212</v>
      </c>
      <c r="B70" s="3326" t="s">
        <v>3075</v>
      </c>
      <c r="C70" s="3326" t="s">
        <v>965</v>
      </c>
      <c r="D70" s="3326" t="s">
        <v>3213</v>
      </c>
      <c r="E70" s="3326" t="s">
        <v>3077</v>
      </c>
      <c r="F70" s="3326" t="s">
        <v>3045</v>
      </c>
      <c r="G70" s="3326" t="s">
        <v>3046</v>
      </c>
      <c r="H70" s="3326" t="s">
        <v>3214</v>
      </c>
      <c r="I70" s="3326" t="s">
        <v>3215</v>
      </c>
      <c r="J70" s="3326" t="s">
        <v>3216</v>
      </c>
    </row>
    <row r="71" spans="1:10">
      <c r="A71" s="3326" t="s">
        <v>3217</v>
      </c>
      <c r="B71" s="3326" t="s">
        <v>3075</v>
      </c>
      <c r="C71" s="3326" t="s">
        <v>965</v>
      </c>
      <c r="D71" s="3326" t="s">
        <v>3218</v>
      </c>
      <c r="E71" s="3326" t="s">
        <v>3077</v>
      </c>
      <c r="F71" s="3326" t="s">
        <v>3045</v>
      </c>
      <c r="G71" s="3326" t="s">
        <v>3046</v>
      </c>
      <c r="H71" s="3326" t="s">
        <v>3219</v>
      </c>
      <c r="I71" s="3326" t="s">
        <v>3220</v>
      </c>
      <c r="J71" s="3326" t="s">
        <v>3216</v>
      </c>
    </row>
    <row r="72" spans="1:10">
      <c r="A72" s="3326" t="s">
        <v>3221</v>
      </c>
      <c r="B72" s="3326" t="s">
        <v>3075</v>
      </c>
      <c r="C72" s="3326" t="s">
        <v>965</v>
      </c>
      <c r="D72" s="3326" t="s">
        <v>3222</v>
      </c>
      <c r="E72" s="3326" t="s">
        <v>3077</v>
      </c>
      <c r="F72" s="3326" t="s">
        <v>3045</v>
      </c>
      <c r="G72" s="3326" t="s">
        <v>3046</v>
      </c>
      <c r="H72" s="3326" t="s">
        <v>3223</v>
      </c>
      <c r="I72" s="3326" t="s">
        <v>3224</v>
      </c>
      <c r="J72" s="3326" t="s">
        <v>3225</v>
      </c>
    </row>
    <row r="73" spans="1:10">
      <c r="A73" s="3326" t="s">
        <v>3226</v>
      </c>
      <c r="B73" s="3326" t="s">
        <v>3056</v>
      </c>
      <c r="C73" s="3326" t="s">
        <v>965</v>
      </c>
      <c r="D73" s="3326" t="s">
        <v>3227</v>
      </c>
      <c r="E73" s="3326" t="s">
        <v>3058</v>
      </c>
      <c r="F73" s="3326" t="s">
        <v>3045</v>
      </c>
      <c r="G73" s="3326" t="s">
        <v>3046</v>
      </c>
      <c r="H73" s="3326" t="s">
        <v>3047</v>
      </c>
      <c r="I73" s="3326" t="s">
        <v>3228</v>
      </c>
      <c r="J73" s="3326" t="s">
        <v>3229</v>
      </c>
    </row>
    <row r="74" spans="1:10">
      <c r="A74" s="3326" t="s">
        <v>3031</v>
      </c>
      <c r="B74" s="3326" t="s">
        <v>3032</v>
      </c>
      <c r="C74" s="3326" t="s">
        <v>3033</v>
      </c>
      <c r="D74" s="3326" t="s">
        <v>3034</v>
      </c>
      <c r="E74" s="3326" t="s">
        <v>3035</v>
      </c>
      <c r="F74" s="3326" t="s">
        <v>3036</v>
      </c>
      <c r="G74" s="3326" t="s">
        <v>3037</v>
      </c>
      <c r="H74" s="3326" t="s">
        <v>3038</v>
      </c>
      <c r="I74" s="3326" t="s">
        <v>3039</v>
      </c>
      <c r="J74" s="3326" t="s">
        <v>3040</v>
      </c>
    </row>
    <row r="75" spans="1:10" s="3329" customFormat="1">
      <c r="A75" s="3328" t="s">
        <v>3230</v>
      </c>
      <c r="B75" s="3328" t="s">
        <v>3042</v>
      </c>
      <c r="C75" s="3328" t="s">
        <v>965</v>
      </c>
      <c r="D75" s="3328" t="s">
        <v>3194</v>
      </c>
      <c r="E75" s="3328" t="s">
        <v>3044</v>
      </c>
      <c r="F75" s="3328" t="s">
        <v>3045</v>
      </c>
      <c r="G75" s="3328" t="s">
        <v>3046</v>
      </c>
      <c r="H75" s="3328" t="s">
        <v>3231</v>
      </c>
      <c r="I75" s="3328" t="s">
        <v>3232</v>
      </c>
      <c r="J75" s="3328" t="s">
        <v>3233</v>
      </c>
    </row>
    <row r="76" spans="1:10">
      <c r="A76" s="3326" t="s">
        <v>3234</v>
      </c>
      <c r="B76" s="3326" t="s">
        <v>3056</v>
      </c>
      <c r="C76" s="3326" t="s">
        <v>965</v>
      </c>
      <c r="D76" s="3326" t="s">
        <v>3138</v>
      </c>
      <c r="E76" s="3326" t="s">
        <v>3058</v>
      </c>
      <c r="F76" s="3326" t="s">
        <v>3045</v>
      </c>
      <c r="G76" s="3326" t="s">
        <v>3046</v>
      </c>
      <c r="H76" s="3326" t="s">
        <v>3127</v>
      </c>
      <c r="I76" s="3326" t="s">
        <v>3235</v>
      </c>
      <c r="J76" s="3326" t="s">
        <v>3229</v>
      </c>
    </row>
    <row r="77" spans="1:10">
      <c r="A77" s="3326" t="s">
        <v>3234</v>
      </c>
      <c r="B77" s="3326" t="s">
        <v>3056</v>
      </c>
      <c r="C77" s="3326" t="s">
        <v>965</v>
      </c>
      <c r="D77" s="3326" t="s">
        <v>3135</v>
      </c>
      <c r="E77" s="3326" t="s">
        <v>3058</v>
      </c>
      <c r="F77" s="3326" t="s">
        <v>3045</v>
      </c>
      <c r="G77" s="3326" t="s">
        <v>3046</v>
      </c>
      <c r="H77" s="3326" t="s">
        <v>3236</v>
      </c>
      <c r="I77" s="3326" t="s">
        <v>3237</v>
      </c>
      <c r="J77" s="3326" t="s">
        <v>3238</v>
      </c>
    </row>
    <row r="78" spans="1:10">
      <c r="A78" s="3326" t="s">
        <v>3239</v>
      </c>
      <c r="B78" s="3326" t="s">
        <v>3051</v>
      </c>
      <c r="C78" s="3326" t="s">
        <v>965</v>
      </c>
      <c r="D78" s="3326" t="s">
        <v>3240</v>
      </c>
      <c r="E78" s="3326" t="s">
        <v>3053</v>
      </c>
      <c r="F78" s="3326" t="s">
        <v>3045</v>
      </c>
      <c r="G78" s="3326" t="s">
        <v>3046</v>
      </c>
      <c r="H78" s="3326" t="s">
        <v>3241</v>
      </c>
      <c r="I78" s="3326" t="s">
        <v>3242</v>
      </c>
      <c r="J78" s="3326" t="s">
        <v>3243</v>
      </c>
    </row>
    <row r="79" spans="1:10" s="3325" customFormat="1">
      <c r="A79" s="3327" t="s">
        <v>3244</v>
      </c>
      <c r="B79" s="3327" t="s">
        <v>3042</v>
      </c>
      <c r="C79" s="3327" t="s">
        <v>965</v>
      </c>
      <c r="D79" s="3327" t="s">
        <v>3118</v>
      </c>
      <c r="E79" s="3327" t="s">
        <v>3044</v>
      </c>
      <c r="F79" s="3327" t="s">
        <v>3045</v>
      </c>
      <c r="G79" s="3327" t="s">
        <v>3046</v>
      </c>
      <c r="H79" s="3327" t="s">
        <v>3089</v>
      </c>
      <c r="I79" s="3327" t="s">
        <v>3245</v>
      </c>
      <c r="J79" s="3327" t="s">
        <v>3088</v>
      </c>
    </row>
    <row r="80" spans="1:10">
      <c r="A80" s="3326" t="s">
        <v>3246</v>
      </c>
      <c r="B80" s="3326" t="s">
        <v>3061</v>
      </c>
      <c r="C80" s="3326" t="s">
        <v>965</v>
      </c>
      <c r="D80" s="3326" t="s">
        <v>3100</v>
      </c>
      <c r="E80" s="3326" t="s">
        <v>3063</v>
      </c>
      <c r="F80" s="3326" t="s">
        <v>3045</v>
      </c>
      <c r="G80" s="3326" t="s">
        <v>3046</v>
      </c>
      <c r="H80" s="3326" t="s">
        <v>3143</v>
      </c>
      <c r="I80" s="3326" t="s">
        <v>3247</v>
      </c>
      <c r="J80" s="3326" t="s">
        <v>3248</v>
      </c>
    </row>
    <row r="81" spans="1:10">
      <c r="A81" s="3326" t="s">
        <v>3249</v>
      </c>
      <c r="B81" s="3326" t="s">
        <v>3061</v>
      </c>
      <c r="C81" s="3326" t="s">
        <v>965</v>
      </c>
      <c r="D81" s="3326" t="s">
        <v>3113</v>
      </c>
      <c r="E81" s="3326" t="s">
        <v>3063</v>
      </c>
      <c r="F81" s="3326" t="s">
        <v>3045</v>
      </c>
      <c r="G81" s="3326" t="s">
        <v>3046</v>
      </c>
      <c r="H81" s="3326" t="s">
        <v>3250</v>
      </c>
      <c r="I81" s="3326" t="s">
        <v>3251</v>
      </c>
      <c r="J81" s="3326" t="s">
        <v>3252</v>
      </c>
    </row>
    <row r="82" spans="1:10">
      <c r="A82" s="3326" t="s">
        <v>3253</v>
      </c>
      <c r="B82" s="3326" t="s">
        <v>3061</v>
      </c>
      <c r="C82" s="3326" t="s">
        <v>965</v>
      </c>
      <c r="D82" s="3326" t="s">
        <v>3194</v>
      </c>
      <c r="E82" s="3326" t="s">
        <v>3063</v>
      </c>
      <c r="F82" s="3326" t="s">
        <v>3045</v>
      </c>
      <c r="G82" s="3326" t="s">
        <v>3046</v>
      </c>
      <c r="H82" s="3326" t="s">
        <v>3254</v>
      </c>
      <c r="I82" s="3326" t="s">
        <v>3255</v>
      </c>
      <c r="J82" s="3326" t="s">
        <v>3256</v>
      </c>
    </row>
    <row r="83" spans="1:10">
      <c r="A83" s="3326" t="s">
        <v>3253</v>
      </c>
      <c r="B83" s="3326" t="s">
        <v>3061</v>
      </c>
      <c r="C83" s="3326" t="s">
        <v>965</v>
      </c>
      <c r="D83" s="3326" t="s">
        <v>3057</v>
      </c>
      <c r="E83" s="3326" t="s">
        <v>3063</v>
      </c>
      <c r="F83" s="3326" t="s">
        <v>3045</v>
      </c>
      <c r="G83" s="3326" t="s">
        <v>3046</v>
      </c>
      <c r="H83" s="3326" t="s">
        <v>3257</v>
      </c>
      <c r="I83" s="3326" t="s">
        <v>3258</v>
      </c>
      <c r="J83" s="3326" t="s">
        <v>3259</v>
      </c>
    </row>
    <row r="84" spans="1:10">
      <c r="A84" s="3326" t="s">
        <v>3253</v>
      </c>
      <c r="B84" s="3326" t="s">
        <v>3056</v>
      </c>
      <c r="C84" s="3326" t="s">
        <v>965</v>
      </c>
      <c r="D84" s="3326" t="s">
        <v>3140</v>
      </c>
      <c r="E84" s="3326" t="s">
        <v>3058</v>
      </c>
      <c r="F84" s="3326" t="s">
        <v>3045</v>
      </c>
      <c r="G84" s="3326" t="s">
        <v>3046</v>
      </c>
      <c r="H84" s="3326" t="s">
        <v>3097</v>
      </c>
      <c r="I84" s="3326" t="s">
        <v>3260</v>
      </c>
      <c r="J84" s="3326" t="s">
        <v>3261</v>
      </c>
    </row>
    <row r="85" spans="1:10">
      <c r="A85" s="3326" t="s">
        <v>3253</v>
      </c>
      <c r="B85" s="3326" t="s">
        <v>3061</v>
      </c>
      <c r="C85" s="3326" t="s">
        <v>965</v>
      </c>
      <c r="D85" s="3326" t="s">
        <v>3227</v>
      </c>
      <c r="E85" s="3326" t="s">
        <v>3063</v>
      </c>
      <c r="F85" s="3326" t="s">
        <v>3045</v>
      </c>
      <c r="G85" s="3326" t="s">
        <v>3046</v>
      </c>
      <c r="H85" s="3326" t="s">
        <v>3262</v>
      </c>
      <c r="I85" s="3326" t="s">
        <v>3263</v>
      </c>
      <c r="J85" s="3326" t="s">
        <v>3264</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199.15</v>
      </c>
      <c r="D6" s="3346"/>
      <c r="E6" s="1287"/>
    </row>
    <row r="7" spans="1:5" ht="14.25">
      <c r="A7" s="1287"/>
      <c r="B7" s="3340" t="s">
        <v>594</v>
      </c>
      <c r="C7" s="1293" t="str">
        <f>IF('数据-取费表'!B3="万元","总价（万元）","总价（元）")</f>
        <v>总价（万元）</v>
      </c>
      <c r="D7" s="1294">
        <f ca="1">IF('数据-取费表'!E3="否",结果表!I102,'结果表 (1修多)'!I104)</f>
        <v>458</v>
      </c>
      <c r="E7" s="1287"/>
    </row>
    <row r="8" spans="1:5" ht="14.25">
      <c r="A8" s="1287"/>
      <c r="B8" s="3340"/>
      <c r="C8" s="1295" t="s">
        <v>924</v>
      </c>
      <c r="D8" s="1296" t="str">
        <f ca="1">IF('数据-取费表'!B3="万元",NUMBERSTRING(INT(D7*10000),2)&amp;"元整",NUMBERSTRING(INT(D7),2)&amp;"元整")</f>
        <v>肆佰伍拾捌万元整</v>
      </c>
      <c r="E8" s="1287"/>
    </row>
    <row r="9" spans="1:5" ht="14.25">
      <c r="A9" s="1287"/>
      <c r="B9" s="3340"/>
      <c r="C9" s="1297" t="s">
        <v>1020</v>
      </c>
      <c r="D9" s="1294">
        <f ca="1">IF('数据-取费表'!E3="否",结果表!I103,'结果表 (1修多)'!I105)</f>
        <v>22979</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458</v>
      </c>
      <c r="E15" s="1287"/>
    </row>
    <row r="16" spans="1:5" ht="14.25">
      <c r="A16" s="1287"/>
      <c r="B16" s="3347"/>
      <c r="C16" s="1295" t="s">
        <v>924</v>
      </c>
      <c r="D16" s="1294" t="str">
        <f ca="1">IF('数据-取费表'!B3="万元",NUMBERSTRING(INT(D15*10000),2)&amp;"元整",NUMBERSTRING(INT(D15),2)&amp;"元整")</f>
        <v>肆佰伍拾捌万元整</v>
      </c>
      <c r="E16" s="1287"/>
    </row>
    <row r="17" spans="1:5" ht="14.25">
      <c r="A17" s="1287"/>
      <c r="B17" s="3347"/>
      <c r="C17" s="1297" t="s">
        <v>1020</v>
      </c>
      <c r="D17" s="1294">
        <f ca="1">IF('数据-取费表'!E3="否",结果表!I111,'结果表 (1修多)'!I113)</f>
        <v>22979</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5" t="s">
        <v>1021</v>
      </c>
      <c r="C25" s="3355"/>
      <c r="D25" s="3355"/>
      <c r="E25" s="1287"/>
    </row>
    <row r="26" spans="1:5" ht="18.75" customHeight="1" thickTop="1">
      <c r="A26" s="1287"/>
      <c r="B26" s="3358" t="s">
        <v>923</v>
      </c>
      <c r="C26" s="3359"/>
      <c r="D26" s="3356" t="s">
        <v>922</v>
      </c>
      <c r="E26" s="1287"/>
    </row>
    <row r="27" spans="1:5" ht="18.75" customHeight="1">
      <c r="A27" s="1287"/>
      <c r="B27" s="3360"/>
      <c r="C27" s="3361"/>
      <c r="D27" s="3357"/>
      <c r="E27" s="1287"/>
    </row>
    <row r="28" spans="1:5" ht="14.25">
      <c r="A28" s="1287"/>
      <c r="B28" s="3348" t="s">
        <v>594</v>
      </c>
      <c r="C28" s="1304" t="s">
        <v>925</v>
      </c>
      <c r="D28" s="1305">
        <f ca="1">IF('数据-取费表'!E3="否",结果表!I102,'结果表 (1修多)'!I104)</f>
        <v>458</v>
      </c>
      <c r="E28" s="1287"/>
    </row>
    <row r="29" spans="1:5" ht="14.25">
      <c r="A29" s="1287"/>
      <c r="B29" s="3349"/>
      <c r="C29" s="1306" t="s">
        <v>924</v>
      </c>
      <c r="D29" s="1307" t="str">
        <f ca="1">IF('数据-取费表'!B3="万元",NUMBERSTRING(INT(D28*10000),2)&amp;"元整",NUMBERSTRING(INT(D28),2)&amp;"元整")</f>
        <v>肆佰伍拾捌万元整</v>
      </c>
      <c r="E29" s="1287"/>
    </row>
    <row r="30" spans="1:5" ht="14.25">
      <c r="A30" s="1287"/>
      <c r="B30" s="3350"/>
      <c r="C30" s="1297" t="s">
        <v>927</v>
      </c>
      <c r="D30" s="1308">
        <f ca="1">IF('数据-取费表'!E3="否",结果表!I103,'结果表 (1修多)'!I105)</f>
        <v>22979</v>
      </c>
      <c r="E30" s="1287"/>
    </row>
    <row r="31" spans="1:5" ht="14.25">
      <c r="A31" s="1287"/>
      <c r="B31" s="3353" t="str">
        <f>B10</f>
        <v>2.估价师所知悉的法定优先受偿款</v>
      </c>
      <c r="C31" s="1309" t="s">
        <v>926</v>
      </c>
      <c r="D31" s="1310">
        <f>IF('数据-取费表'!E3="否",结果表!I105,'结果表 (1修多)'!I107)</f>
        <v>0</v>
      </c>
      <c r="E31" s="1287"/>
    </row>
    <row r="32" spans="1:5" ht="14.25">
      <c r="A32" s="1287"/>
      <c r="B32" s="336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1" t="str">
        <f>B15</f>
        <v>3.房地产抵押价值</v>
      </c>
      <c r="C36" s="1309" t="str">
        <f>C28</f>
        <v>总价</v>
      </c>
      <c r="D36" s="1310">
        <f ca="1">IF('数据-取费表'!E3="否",结果表!I110,'结果表 (1修多)'!I112)</f>
        <v>458</v>
      </c>
      <c r="E36" s="1287"/>
    </row>
    <row r="37" spans="1:5" ht="14.25">
      <c r="A37" s="1287"/>
      <c r="B37" s="3351"/>
      <c r="C37" s="1306" t="s">
        <v>924</v>
      </c>
      <c r="D37" s="1311" t="str">
        <f ca="1">IF('数据-取费表'!B3="万元",NUMBERSTRING(INT(D36*10000),2)&amp;"元整",NUMBERSTRING(INT(D36),2)&amp;"元整")</f>
        <v>肆佰伍拾捌万元整</v>
      </c>
      <c r="E37" s="1287"/>
    </row>
    <row r="38" spans="1:5" ht="14.25">
      <c r="A38" s="1287"/>
      <c r="B38" s="3351"/>
      <c r="C38" s="1297" t="s">
        <v>928</v>
      </c>
      <c r="D38" s="1308">
        <f ca="1">IF('数据-取费表'!E3="否",结果表!D113,'结果表 (1修多)'!D117)</f>
        <v>22979</v>
      </c>
      <c r="E38" s="1287"/>
    </row>
    <row r="39" spans="1:5" ht="14.25">
      <c r="A39" s="1287"/>
      <c r="B39" s="3352" t="str">
        <f>B18</f>
        <v>——</v>
      </c>
      <c r="C39" s="1309" t="str">
        <f>C28</f>
        <v>总价</v>
      </c>
      <c r="D39" s="1310" t="str">
        <f>IF('数据-取费表'!E3="否",结果表!I112,'结果表 (1修多)'!I114)</f>
        <v>——</v>
      </c>
      <c r="E39" s="1287"/>
    </row>
    <row r="40" spans="1:5" ht="14.25">
      <c r="A40" s="1287"/>
      <c r="B40" s="3352"/>
      <c r="C40" s="1306" t="s">
        <v>924</v>
      </c>
      <c r="D40" s="1311" t="e">
        <f>IF('数据-取费表'!B3="万元",NUMBERSTRING(INT(D39*10000),2)&amp;"元整",NUMBERSTRING(INT(D39),2)&amp;"元整")</f>
        <v>#VALUE!</v>
      </c>
      <c r="E40" s="1287"/>
    </row>
    <row r="41" spans="1:5" ht="14.25">
      <c r="A41" s="1287"/>
      <c r="B41" s="3352"/>
      <c r="C41" s="1297" t="s">
        <v>928</v>
      </c>
      <c r="D41" s="1308" t="str">
        <f>IF('数据-取费表'!E3="否",结果表!D115,'结果表 (1修多)'!D119)</f>
        <v>——</v>
      </c>
      <c r="E41" s="1287"/>
    </row>
    <row r="42" spans="1:5" ht="14.25">
      <c r="A42" s="1287"/>
      <c r="B42" s="3351" t="str">
        <f>B21</f>
        <v>——</v>
      </c>
      <c r="C42" s="1309" t="str">
        <f>C28</f>
        <v>总价</v>
      </c>
      <c r="D42" s="1310" t="str">
        <f>IF('数据-取费表'!E3="否",结果表!I114,'结果表 (1修多)'!I116)</f>
        <v>——</v>
      </c>
      <c r="E42" s="1287"/>
    </row>
    <row r="43" spans="1:5" ht="14.25">
      <c r="A43" s="1287"/>
      <c r="B43" s="3353"/>
      <c r="C43" s="1306" t="s">
        <v>924</v>
      </c>
      <c r="D43" s="1312" t="e">
        <f>IF('数据-取费表'!B3="万元",NUMBERSTRING(INT(D42*10000),2)&amp;"元整",NUMBERSTRING(INT(D42),2)&amp;"元整")</f>
        <v>#VALUE!</v>
      </c>
      <c r="E43" s="1287"/>
    </row>
    <row r="44" spans="1:5" ht="15" thickBot="1">
      <c r="A44" s="1287"/>
      <c r="B44" s="335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9" t="str">
        <f>IF(项目基本情况!D5="房地产市场价值","估价结果一览表","结果表-2")</f>
        <v>结果表-2</v>
      </c>
      <c r="B1" s="3369"/>
      <c r="C1" s="3369"/>
      <c r="D1" s="3369"/>
      <c r="E1" s="3369"/>
      <c r="F1" s="3369"/>
      <c r="G1" s="3369"/>
      <c r="H1" s="3369"/>
      <c r="I1" s="3369"/>
    </row>
    <row r="2" spans="1:9" ht="30" customHeight="1" thickTop="1">
      <c r="A2" s="3370" t="s">
        <v>1022</v>
      </c>
      <c r="B2" s="3370" t="s">
        <v>1023</v>
      </c>
      <c r="C2" s="3370" t="s">
        <v>1024</v>
      </c>
      <c r="D2" s="3370" t="str">
        <f>IF('数据-取费表'!E3="否",结果表!D119,'结果表 (1修多)'!D123)</f>
        <v>出让国有建设用地使用权价值</v>
      </c>
      <c r="E2" s="3370"/>
      <c r="F2" s="3370" t="s">
        <v>1025</v>
      </c>
      <c r="G2" s="3370"/>
      <c r="H2" s="3370" t="s">
        <v>1026</v>
      </c>
      <c r="I2" s="3370"/>
    </row>
    <row r="3" spans="1:9" ht="15">
      <c r="A3" s="3365"/>
      <c r="B3" s="3365"/>
      <c r="C3" s="3365"/>
      <c r="D3" s="776" t="s">
        <v>1027</v>
      </c>
      <c r="E3" s="776" t="s">
        <v>1028</v>
      </c>
      <c r="F3" s="776" t="s">
        <v>1027</v>
      </c>
      <c r="G3" s="776" t="s">
        <v>1029</v>
      </c>
      <c r="H3" s="776" t="s">
        <v>1027</v>
      </c>
      <c r="I3" s="776" t="s">
        <v>1029</v>
      </c>
    </row>
    <row r="4" spans="1:9" ht="46.5" customHeight="1">
      <c r="A4" s="776" t="str">
        <f>项目基本情况!I1</f>
        <v>北京市房地产</v>
      </c>
      <c r="B4" s="776">
        <f>结果表!B121</f>
        <v>199.15</v>
      </c>
      <c r="C4" s="776">
        <f>结果表!C121</f>
        <v>0</v>
      </c>
      <c r="D4" s="776">
        <f ca="1">IF('数据-取费表'!E3="否",结果表!D121,'结果表 (1修多)'!D125)</f>
        <v>346</v>
      </c>
      <c r="E4" s="776">
        <f ca="1">IF('数据-取费表'!E3="否",结果表!E121,'结果表 (1修多)'!E125)</f>
        <v>17395</v>
      </c>
      <c r="F4" s="776">
        <f ca="1">IF('数据-取费表'!E3="否",结果表!F121,'结果表 (1修多)'!F125)</f>
        <v>111</v>
      </c>
      <c r="G4" s="776">
        <f ca="1">IF('数据-取费表'!E3="否",结果表!G121,'结果表 (1修多)'!G125)</f>
        <v>5584</v>
      </c>
      <c r="H4" s="776">
        <f ca="1">IF('数据-取费表'!E3="否",结果表!H121,'结果表 (1修多)'!H125)</f>
        <v>458</v>
      </c>
      <c r="I4" s="776">
        <f ca="1">IF('数据-取费表'!E3="否",结果表!I121,'结果表 (1修多)'!I125)</f>
        <v>22979</v>
      </c>
    </row>
    <row r="5" spans="1:9" ht="15">
      <c r="A5" s="3365" t="s">
        <v>1030</v>
      </c>
      <c r="B5" s="3365"/>
      <c r="C5" s="3365"/>
      <c r="D5" s="3363" t="str">
        <f ca="1">IF('数据-取费表'!E3="否",结果表!D122,'结果表 (1修多)'!D126)</f>
        <v>叁佰肆拾陆万元整</v>
      </c>
      <c r="E5" s="3363"/>
      <c r="F5" s="3363" t="str">
        <f ca="1">IF('数据-取费表'!E3="否",结果表!F122,'结果表 (1修多)'!F126)</f>
        <v>壹佰壹拾壹万元整</v>
      </c>
      <c r="G5" s="3363"/>
      <c r="H5" s="3363" t="str">
        <f ca="1">IF('数据-取费表'!E3="否",结果表!H122,'结果表 (1修多)'!H126)</f>
        <v>肆佰伍拾捌万元整</v>
      </c>
      <c r="I5" s="3363"/>
    </row>
    <row r="6" spans="1:9" ht="15.75">
      <c r="A6" s="3364" t="str">
        <f>IF('数据-取费表'!E3="否",结果表!A123,'结果表 (1修多)'!A127)</f>
        <v>估价师所知悉的法定优先受偿款</v>
      </c>
      <c r="B6" s="3364"/>
      <c r="C6" s="3364"/>
      <c r="D6" s="3364">
        <f>IF('数据-取费表'!E3="否",结果表!D123,'结果表 (1修多)'!D127)</f>
        <v>0</v>
      </c>
      <c r="E6" s="3364"/>
      <c r="F6" s="3364"/>
      <c r="G6" s="3364"/>
      <c r="H6" s="3364"/>
      <c r="I6" s="3364"/>
    </row>
    <row r="7" spans="1:9" ht="15">
      <c r="A7" s="3365" t="s">
        <v>1030</v>
      </c>
      <c r="B7" s="3365"/>
      <c r="C7" s="3365"/>
      <c r="D7" s="3366">
        <f>IF('数据-取费表'!E3="否",结果表!D124,'结果表 (1修多)'!D128)</f>
        <v>0</v>
      </c>
      <c r="E7" s="3367"/>
      <c r="F7" s="3367"/>
      <c r="G7" s="3367"/>
      <c r="H7" s="3367"/>
      <c r="I7" s="3368"/>
    </row>
    <row r="8" spans="1:9" ht="15.75">
      <c r="A8" s="3364" t="str">
        <f>IF('数据-取费表'!E3="否",结果表!A125,'结果表 (1修多)'!A129)</f>
        <v>房地产抵押价值</v>
      </c>
      <c r="B8" s="3364"/>
      <c r="C8" s="3364"/>
      <c r="D8" s="3364">
        <f ca="1">IF('数据-取费表'!E3="否",结果表!D125,'结果表 (1修多)'!D129)</f>
        <v>458</v>
      </c>
      <c r="E8" s="3364"/>
      <c r="F8" s="3364"/>
      <c r="G8" s="3364"/>
      <c r="H8" s="3364"/>
      <c r="I8" s="3364"/>
    </row>
    <row r="9" spans="1:9" ht="15">
      <c r="A9" s="3365" t="s">
        <v>1030</v>
      </c>
      <c r="B9" s="3365"/>
      <c r="C9" s="3365"/>
      <c r="D9" s="3363">
        <f ca="1">IF('数据-取费表'!E3="否",结果表!D126,'结果表 (1修多)'!D130)</f>
        <v>22979</v>
      </c>
      <c r="E9" s="3363"/>
      <c r="F9" s="3363"/>
      <c r="G9" s="3363"/>
      <c r="H9" s="3363"/>
      <c r="I9" s="3363"/>
    </row>
    <row r="10" spans="1:9" ht="15.75">
      <c r="A10" s="3364" t="str">
        <f>IF('数据-取费表'!E3="否",结果表!A127,'结果表 (1修多)'!A131)</f>
        <v/>
      </c>
      <c r="B10" s="3364"/>
      <c r="C10" s="3364"/>
      <c r="D10" s="3364" t="str">
        <f>IF('数据-取费表'!E3="否",结果表!D127,'结果表 (1修多)'!D130)</f>
        <v>——</v>
      </c>
      <c r="E10" s="3364"/>
      <c r="F10" s="3364"/>
      <c r="G10" s="3364"/>
      <c r="H10" s="3364"/>
      <c r="I10" s="3364"/>
    </row>
    <row r="11" spans="1:9" ht="15">
      <c r="A11" s="3365" t="s">
        <v>1030</v>
      </c>
      <c r="B11" s="3365"/>
      <c r="C11" s="3365"/>
      <c r="D11" s="3363" t="str">
        <f>IF('数据-取费表'!E3="否",结果表!D128,'结果表 (1修多)'!D132)</f>
        <v>——</v>
      </c>
      <c r="E11" s="3363"/>
      <c r="F11" s="3363"/>
      <c r="G11" s="3363"/>
      <c r="H11" s="3363"/>
      <c r="I11" s="3363"/>
    </row>
    <row r="12" spans="1:9" ht="15.75">
      <c r="A12" s="3364" t="str">
        <f>IF('数据-取费表'!E3="否",结果表!A129,'结果表 (1修多)'!A133)</f>
        <v/>
      </c>
      <c r="B12" s="3364"/>
      <c r="C12" s="3364"/>
      <c r="D12" s="3364" t="str">
        <f>IF('数据-取费表'!E3="否",结果表!D129,'结果表 (1修多)'!D133)</f>
        <v>——</v>
      </c>
      <c r="E12" s="3364"/>
      <c r="F12" s="3364"/>
      <c r="G12" s="3364"/>
      <c r="H12" s="3364"/>
      <c r="I12" s="3364"/>
    </row>
    <row r="13" spans="1:9" ht="15.75" thickBot="1">
      <c r="A13" s="3371" t="s">
        <v>1030</v>
      </c>
      <c r="B13" s="3371"/>
      <c r="C13" s="3371"/>
      <c r="D13" s="3372">
        <f>IF('数据-取费表'!E3="否",结果表!D130,'结果表 (1修多)'!D134)</f>
        <v>0</v>
      </c>
      <c r="E13" s="3372"/>
      <c r="F13" s="3372"/>
      <c r="G13" s="3372"/>
      <c r="H13" s="3372"/>
      <c r="I13" s="3372"/>
    </row>
    <row r="14" spans="1:9" ht="15" thickTop="1">
      <c r="A14" s="3373" t="str">
        <f>IF('数据-取费表'!E3="否",结果表!A131,'结果表 (1修多)'!A135)</f>
        <v>单位：平方米、万元、元/平方米（币种：人民币）</v>
      </c>
      <c r="B14" s="3373"/>
      <c r="C14" s="3373"/>
      <c r="D14" s="3373"/>
      <c r="E14" s="3373"/>
      <c r="F14" s="3373"/>
      <c r="G14" s="3373"/>
      <c r="H14" s="3373"/>
      <c r="I14" s="337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8" t="s">
        <v>1043</v>
      </c>
      <c r="B1" s="3378"/>
      <c r="C1" s="3378"/>
      <c r="D1" s="3378"/>
    </row>
    <row r="2" spans="1:4" ht="18">
      <c r="A2" s="3377" t="s">
        <v>1032</v>
      </c>
      <c r="B2" s="3377"/>
      <c r="C2" s="3377"/>
      <c r="D2" s="337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7" t="s">
        <v>1037</v>
      </c>
      <c r="B7" s="3377"/>
      <c r="C7" s="3377"/>
      <c r="D7" s="337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4" t="s">
        <v>2496</v>
      </c>
      <c r="B12" s="3376"/>
      <c r="C12" s="3376"/>
      <c r="D12" s="3376"/>
    </row>
    <row r="13" spans="1:4" ht="15.75">
      <c r="A13" s="33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6"/>
      <c r="C13" s="3376"/>
      <c r="D13" s="3376"/>
    </row>
    <row r="14" spans="1:4" ht="30" customHeight="1">
      <c r="A14" s="337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6"/>
      <c r="C14" s="3376"/>
      <c r="D14" s="3376"/>
    </row>
    <row r="15" spans="1:4" ht="15.75" customHeight="1">
      <c r="A15" s="3374" t="str">
        <f>IF(项目基本情况!D4="抵押","4.本次评估估价师所知悉的法定优先受偿款情况说明如下：","——")</f>
        <v>4.本次评估估价师所知悉的法定优先受偿款情况说明如下：</v>
      </c>
      <c r="B15" s="3376"/>
      <c r="C15" s="3376"/>
      <c r="D15" s="3376"/>
    </row>
    <row r="16" spans="1:4" ht="75" customHeight="1">
      <c r="A16" s="337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4"/>
      <c r="C16" s="3374"/>
      <c r="D16" s="3374"/>
    </row>
    <row r="17" spans="1:4" ht="63.75" customHeight="1">
      <c r="A17" s="3375" t="s">
        <v>1045</v>
      </c>
      <c r="B17" s="3375"/>
      <c r="C17" s="3375"/>
      <c r="D17" s="3375"/>
    </row>
    <row r="18" spans="1:4" ht="15.75" customHeight="1">
      <c r="A18" s="3374" t="str">
        <f>IF(项目基本情况!D4="抵押",结果表!L106,"——")</f>
        <v>本次评估不存在估价师所知悉的法定优先受偿款。</v>
      </c>
      <c r="B18" s="3374"/>
      <c r="C18" s="3374"/>
      <c r="D18" s="3374"/>
    </row>
    <row r="19" spans="1:4" ht="46.5" customHeight="1">
      <c r="A19" s="33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spans="1:4" ht="15">
      <c r="A20" s="3375" t="s">
        <v>2497</v>
      </c>
      <c r="B20" s="3375"/>
      <c r="C20" s="3375"/>
      <c r="D20" s="337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4" t="s">
        <v>1124</v>
      </c>
      <c r="B15" s="3379" t="s">
        <v>1125</v>
      </c>
      <c r="C15" s="3380"/>
    </row>
    <row r="16" spans="1:7" ht="14.25">
      <c r="A16" s="3385"/>
      <c r="B16" s="3379" t="s">
        <v>1126</v>
      </c>
      <c r="C16" s="3380"/>
    </row>
    <row r="17" spans="1:3" ht="14.25">
      <c r="A17" s="3385"/>
      <c r="B17" s="3379" t="s">
        <v>1127</v>
      </c>
      <c r="C17" s="3380"/>
    </row>
    <row r="18" spans="1:3" ht="14.25">
      <c r="A18" s="3386"/>
      <c r="B18" s="3381" t="s">
        <v>1128</v>
      </c>
      <c r="C18" s="3380"/>
    </row>
    <row r="19" spans="1:3" ht="14.25">
      <c r="A19" s="1340" t="s">
        <v>1129</v>
      </c>
      <c r="B19" s="1341"/>
      <c r="C19" s="1342"/>
    </row>
    <row r="20" spans="1:3" ht="14.25">
      <c r="A20" s="3382" t="s">
        <v>1130</v>
      </c>
      <c r="B20" s="3381" t="s">
        <v>1131</v>
      </c>
      <c r="C20" s="3380"/>
    </row>
    <row r="21" spans="1:3" ht="14.25">
      <c r="A21" s="3382"/>
      <c r="B21" s="3381" t="s">
        <v>1132</v>
      </c>
      <c r="C21" s="3380"/>
    </row>
    <row r="22" spans="1:3" ht="14.25">
      <c r="A22" s="3382"/>
      <c r="B22" s="3381" t="s">
        <v>1133</v>
      </c>
      <c r="C22" s="3380"/>
    </row>
    <row r="23" spans="1:3" ht="14.25">
      <c r="A23" s="3382"/>
      <c r="B23" s="3383" t="s">
        <v>1134</v>
      </c>
      <c r="C23" s="1343" t="s">
        <v>1135</v>
      </c>
    </row>
    <row r="24" spans="1:3" ht="14.25">
      <c r="A24" s="3382"/>
      <c r="B24" s="3383"/>
      <c r="C24" s="1343" t="s">
        <v>1136</v>
      </c>
    </row>
    <row r="25" spans="1:3" ht="14.25">
      <c r="A25" s="3382"/>
      <c r="B25" s="3383"/>
      <c r="C25" s="1343" t="s">
        <v>1137</v>
      </c>
    </row>
    <row r="26" spans="1:3" ht="14.25">
      <c r="A26" s="3382"/>
      <c r="B26" s="3383"/>
      <c r="C26" s="1343" t="s">
        <v>1138</v>
      </c>
    </row>
    <row r="27" spans="1:3" ht="14.25">
      <c r="A27" s="3382"/>
      <c r="B27" s="3383"/>
      <c r="C27" s="1343" t="s">
        <v>1139</v>
      </c>
    </row>
    <row r="28" spans="1:3" ht="14.25">
      <c r="A28" s="3382"/>
      <c r="B28" s="3383"/>
      <c r="C28" s="1343" t="s">
        <v>1140</v>
      </c>
    </row>
    <row r="29" spans="1:3" ht="14.25">
      <c r="A29" s="3382"/>
      <c r="B29" s="3383"/>
      <c r="C29" s="1343" t="s">
        <v>1141</v>
      </c>
    </row>
    <row r="30" spans="1:3" ht="14.25">
      <c r="A30" s="3382"/>
      <c r="B30" s="3383"/>
      <c r="C30" s="1343" t="s">
        <v>1142</v>
      </c>
    </row>
    <row r="31" spans="1:3" ht="14.25">
      <c r="A31" s="3382"/>
      <c r="B31" s="338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7" t="s">
        <v>582</v>
      </c>
      <c r="B17" s="3387"/>
      <c r="C17" s="3387"/>
      <c r="D17" s="3387"/>
      <c r="E17" s="3387"/>
      <c r="F17" s="3387"/>
      <c r="G17" s="3387"/>
      <c r="H17" s="3387"/>
    </row>
    <row r="18" spans="1:8" ht="24" customHeight="1">
      <c r="A18" s="3388" t="s">
        <v>583</v>
      </c>
      <c r="B18" s="3388"/>
      <c r="C18" s="3388"/>
      <c r="D18" s="2987"/>
      <c r="E18" s="3389" t="s">
        <v>584</v>
      </c>
      <c r="F18" s="3388"/>
      <c r="G18" s="338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row>
    <row r="54" spans="1:4">
      <c r="A54" s="3390"/>
      <c r="B54" s="9" t="s">
        <v>1280</v>
      </c>
      <c r="C54" s="9" t="s">
        <v>1281</v>
      </c>
    </row>
    <row r="55" spans="1:4">
      <c r="A55" s="3390"/>
      <c r="B55" s="9" t="s">
        <v>1282</v>
      </c>
      <c r="C55" s="9" t="s">
        <v>1283</v>
      </c>
    </row>
    <row r="56" spans="1:4">
      <c r="A56" s="3390"/>
      <c r="B56" s="9" t="s">
        <v>1284</v>
      </c>
      <c r="C56" s="9" t="s">
        <v>1285</v>
      </c>
    </row>
    <row r="57" spans="1:4">
      <c r="A57" s="339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2022-06-23T09:25:08Z</dcterms:modified>
</cp:coreProperties>
</file>