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成都询价\"/>
    </mc:Choice>
  </mc:AlternateContent>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案例" sheetId="77" r:id="rId24"/>
    <sheet name="租金"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V18" i="1" l="1"/>
  <c r="Z6" i="1"/>
  <c r="E10" i="78" l="1"/>
  <c r="R6" i="1" l="1"/>
  <c r="F34" i="6"/>
  <c r="F10" i="78"/>
  <c r="D10" i="78"/>
  <c r="D15" i="74"/>
  <c r="G15" i="74"/>
  <c r="B15" i="74"/>
  <c r="C3" i="78"/>
  <c r="B7" i="78"/>
  <c r="B6" i="78"/>
  <c r="B5" i="78"/>
  <c r="N18" i="1"/>
  <c r="Y6" i="1"/>
  <c r="F19" i="6"/>
  <c r="I7" i="37"/>
  <c r="G7" i="37"/>
  <c r="E7" i="37"/>
  <c r="D3" i="4"/>
  <c r="A6" i="1"/>
  <c r="G1" i="67"/>
  <c r="F6" i="1"/>
  <c r="F7" i="1"/>
  <c r="M47" i="67"/>
  <c r="B24" i="1"/>
  <c r="J50" i="67"/>
  <c r="J51" i="67"/>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15"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s="1"/>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s="1"/>
  <c r="R42" i="37" s="1"/>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s="1"/>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W32"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M16" i="1" s="1"/>
  <c r="O6" i="1"/>
  <c r="P6" i="1"/>
  <c r="P16" i="1" s="1"/>
  <c r="C11" i="12" s="1"/>
  <c r="C15" i="12" s="1"/>
  <c r="F30" i="68"/>
  <c r="F30" i="11"/>
  <c r="C48" i="11"/>
  <c r="F28" i="67"/>
  <c r="F52" i="9"/>
  <c r="M18" i="67"/>
  <c r="F32" i="67"/>
  <c r="F60" i="67"/>
  <c r="F30" i="69"/>
  <c r="C48" i="69"/>
  <c r="F32" i="15"/>
  <c r="F60" i="15"/>
  <c r="M18" i="15"/>
  <c r="F28" i="15"/>
  <c r="E63" i="39"/>
  <c r="T11" i="1"/>
  <c r="D9" i="69"/>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S20" i="6"/>
  <c r="I19" i="6"/>
  <c r="M27" i="6"/>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c r="F11" i="12"/>
  <c r="C23" i="12" s="1"/>
  <c r="F34" i="68"/>
  <c r="C36" i="68" s="1"/>
  <c r="H19" i="6"/>
  <c r="S19" i="6"/>
  <c r="S27" i="6"/>
  <c r="I27" i="6"/>
  <c r="C47" i="11"/>
  <c r="D45" i="11"/>
  <c r="C29" i="11"/>
  <c r="D27" i="11"/>
  <c r="R26" i="6"/>
  <c r="R23" i="6"/>
  <c r="R24" i="6"/>
  <c r="R21" i="6"/>
  <c r="R8" i="1"/>
  <c r="R22" i="6"/>
  <c r="D30" i="6"/>
  <c r="D16" i="6"/>
  <c r="A7" i="51"/>
  <c r="B7" i="72" s="1"/>
  <c r="C4" i="52"/>
  <c r="B45" i="72"/>
  <c r="A10" i="51"/>
  <c r="B9" i="72" s="1"/>
  <c r="D27" i="6"/>
  <c r="H27" i="6"/>
  <c r="R19" i="6"/>
  <c r="D31" i="6"/>
  <c r="I6" i="6"/>
  <c r="R27" i="6"/>
  <c r="I5" i="6"/>
  <c r="E2" i="70"/>
  <c r="C34" i="69"/>
  <c r="C38" i="69" s="1"/>
  <c r="D10" i="69"/>
  <c r="C10" i="69" s="1"/>
  <c r="S16" i="1"/>
  <c r="AE7" i="1"/>
  <c r="T16"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K1" i="73"/>
  <c r="C65" i="40"/>
  <c r="D63" i="40"/>
  <c r="G16" i="1"/>
  <c r="J1" i="73"/>
  <c r="AA7" i="33"/>
  <c r="R48" i="3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AB3" i="71"/>
  <c r="X3" i="71"/>
  <c r="C8" i="71"/>
  <c r="E8" i="71"/>
  <c r="E7" i="71"/>
  <c r="AF3" i="71"/>
  <c r="P24" i="43"/>
  <c r="B66" i="40"/>
  <c r="P21" i="43"/>
  <c r="P22" i="43"/>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S7" i="37"/>
  <c r="AA7" i="37"/>
  <c r="U10" i="40"/>
  <c r="AB10" i="40"/>
  <c r="AA10" i="40"/>
  <c r="S10" i="40"/>
  <c r="S10" i="39"/>
  <c r="AA10" i="39"/>
  <c r="E53" i="33"/>
  <c r="F53" i="33"/>
  <c r="E52" i="33"/>
  <c r="F52" i="33"/>
  <c r="E6" i="71"/>
  <c r="E5" i="71"/>
  <c r="V7" i="71"/>
  <c r="P23" i="43"/>
  <c r="B71" i="39"/>
  <c r="C7" i="71"/>
  <c r="D8" i="71"/>
  <c r="P25" i="43"/>
  <c r="E65" i="40"/>
  <c r="F63" i="40"/>
  <c r="E41" i="43"/>
  <c r="C41" i="43"/>
  <c r="C20" i="43"/>
  <c r="I42" i="35"/>
  <c r="J42" i="35"/>
  <c r="G42" i="35"/>
  <c r="H42" i="35"/>
  <c r="G43" i="35"/>
  <c r="H43" i="35"/>
  <c r="F68" i="39"/>
  <c r="E70" i="39"/>
  <c r="G40" i="36"/>
  <c r="H40" i="36"/>
  <c r="G41" i="36"/>
  <c r="H41" i="36"/>
  <c r="U7" i="21"/>
  <c r="AB7" i="21"/>
  <c r="T48" i="21"/>
  <c r="G48" i="21"/>
  <c r="I40" i="36"/>
  <c r="J40" i="36"/>
  <c r="E36" i="36"/>
  <c r="R37" i="36"/>
  <c r="AC7" i="21"/>
  <c r="V48" i="21"/>
  <c r="I48" i="21"/>
  <c r="W7" i="21"/>
  <c r="I59" i="34"/>
  <c r="J59" i="34"/>
  <c r="K59" i="34"/>
  <c r="L59" i="34"/>
  <c r="M59" i="34"/>
  <c r="N59" i="34"/>
  <c r="O59" i="34"/>
  <c r="J7" i="34"/>
  <c r="F7" i="34"/>
  <c r="E38" i="35"/>
  <c r="R39" i="35"/>
  <c r="S7" i="21"/>
  <c r="AA7" i="21"/>
  <c r="R48" i="21"/>
  <c r="C6" i="71"/>
  <c r="C5" i="71"/>
  <c r="D5" i="71"/>
  <c r="T7" i="71"/>
  <c r="D6" i="71"/>
  <c r="D7" i="71"/>
  <c r="F65" i="40"/>
  <c r="G63" i="40"/>
  <c r="AC7" i="34"/>
  <c r="V49" i="34"/>
  <c r="I49" i="34"/>
  <c r="W7" i="34"/>
  <c r="E43" i="35"/>
  <c r="F43" i="35"/>
  <c r="E42" i="35"/>
  <c r="F42" i="35"/>
  <c r="C36" i="36"/>
  <c r="C37" i="36"/>
  <c r="G52" i="21"/>
  <c r="H52" i="21"/>
  <c r="G53" i="21"/>
  <c r="H53" i="21"/>
  <c r="I43" i="35"/>
  <c r="J43" i="35"/>
  <c r="H7" i="34"/>
  <c r="E48" i="21"/>
  <c r="R49" i="21"/>
  <c r="C38" i="35"/>
  <c r="C39" i="35"/>
  <c r="S7" i="34"/>
  <c r="AA7" i="34"/>
  <c r="R49" i="34"/>
  <c r="I52" i="21"/>
  <c r="J52" i="21"/>
  <c r="I53" i="21"/>
  <c r="J53" i="21"/>
  <c r="E40" i="36"/>
  <c r="F40" i="36"/>
  <c r="E41" i="36"/>
  <c r="F41" i="36"/>
  <c r="I41" i="36"/>
  <c r="J41" i="36"/>
  <c r="G68" i="39"/>
  <c r="F70" i="39"/>
  <c r="M20" i="43"/>
  <c r="C19" i="43"/>
  <c r="T14" i="43"/>
  <c r="V14" i="43"/>
  <c r="U7"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F7" i="15"/>
  <c r="D5" i="73"/>
  <c r="F13" i="15"/>
  <c r="F38" i="15"/>
  <c r="L48" i="15"/>
  <c r="L48" i="67"/>
  <c r="M23" i="15"/>
  <c r="D3" i="73"/>
  <c r="E13" i="76"/>
  <c r="AO8" i="1"/>
  <c r="M29" i="67"/>
  <c r="D2" i="35"/>
  <c r="M24" i="15"/>
  <c r="B12" i="76"/>
  <c r="E10" i="76"/>
  <c r="M6" i="67"/>
  <c r="F6" i="67"/>
  <c r="F40" i="67"/>
  <c r="E2" i="68"/>
  <c r="J15" i="15"/>
  <c r="AO9" i="1"/>
  <c r="B11" i="76"/>
  <c r="C76" i="67"/>
  <c r="M28" i="67"/>
  <c r="E8" i="76"/>
  <c r="F16" i="15"/>
  <c r="F26" i="15"/>
  <c r="M8" i="15"/>
  <c r="L47" i="15"/>
  <c r="M27" i="67"/>
  <c r="F20" i="31"/>
  <c r="F7" i="73"/>
  <c r="F6" i="73"/>
  <c r="M21" i="67"/>
  <c r="F7" i="67"/>
  <c r="F37" i="67"/>
  <c r="D4" i="73"/>
  <c r="F43" i="15"/>
  <c r="F41" i="67"/>
  <c r="E11" i="76"/>
  <c r="E9" i="76"/>
  <c r="F9" i="67"/>
  <c r="AO11" i="1"/>
  <c r="E6" i="76"/>
  <c r="M9" i="15"/>
  <c r="D2" i="21"/>
  <c r="D2" i="36"/>
  <c r="B6" i="76"/>
  <c r="D2" i="34"/>
  <c r="F16" i="67"/>
  <c r="B13" i="76"/>
  <c r="F6" i="15"/>
  <c r="F35" i="15"/>
  <c r="F36" i="15"/>
  <c r="F37" i="15"/>
  <c r="F42" i="15"/>
  <c r="M6" i="15"/>
  <c r="F43" i="67"/>
  <c r="F8" i="67"/>
  <c r="C76" i="15"/>
  <c r="B10" i="76"/>
  <c r="B8" i="76"/>
  <c r="AO7" i="1"/>
  <c r="L47" i="67"/>
  <c r="M26" i="15"/>
  <c r="M29" i="15"/>
  <c r="F36" i="67"/>
  <c r="AO12" i="1"/>
  <c r="D2" i="37"/>
  <c r="E2" i="69"/>
  <c r="F35" i="67"/>
  <c r="M28" i="15"/>
  <c r="M22" i="15"/>
  <c r="AO13" i="1"/>
  <c r="B9" i="76"/>
  <c r="B7" i="76"/>
  <c r="F9" i="15"/>
  <c r="G1" i="73"/>
  <c r="F40" i="15"/>
  <c r="F26" i="67"/>
  <c r="M9" i="67"/>
  <c r="F3" i="73"/>
  <c r="F5" i="73"/>
  <c r="M22" i="67"/>
  <c r="M23" i="67"/>
  <c r="E12" i="76"/>
  <c r="M24" i="67"/>
  <c r="F38" i="67"/>
  <c r="F4" i="73"/>
  <c r="D2" i="33"/>
  <c r="M21" i="15"/>
  <c r="AO10" i="1"/>
  <c r="F42" i="67"/>
  <c r="F13" i="67"/>
  <c r="D6" i="73"/>
  <c r="F8" i="15"/>
  <c r="J15" i="67"/>
  <c r="M26" i="67"/>
  <c r="D7" i="73"/>
  <c r="C14" i="15"/>
  <c r="E7" i="76"/>
  <c r="M8" i="67"/>
  <c r="V42" i="37" l="1"/>
  <c r="I42" i="37" s="1"/>
  <c r="C34" i="11"/>
  <c r="N16" i="1"/>
  <c r="L16" i="1"/>
  <c r="C34" i="68"/>
  <c r="C38" i="68" s="1"/>
  <c r="E42" i="37"/>
  <c r="I46" i="37"/>
  <c r="J46" i="37" s="1"/>
  <c r="U36" i="37"/>
  <c r="AB36" i="37"/>
  <c r="T42" i="37" s="1"/>
  <c r="G42" i="37" s="1"/>
  <c r="W36" i="37"/>
  <c r="S36" i="37"/>
  <c r="E5" i="49"/>
  <c r="C18" i="12"/>
  <c r="E13" i="49"/>
  <c r="B9" i="49"/>
  <c r="E4" i="49"/>
  <c r="D19" i="68"/>
  <c r="D37" i="68" s="1"/>
  <c r="C37" i="68" s="1"/>
  <c r="C12" i="12"/>
  <c r="C35" i="68"/>
  <c r="E9" i="49"/>
  <c r="B14" i="49"/>
  <c r="B5" i="49"/>
  <c r="E6" i="49"/>
  <c r="E16" i="49"/>
  <c r="B13" i="49"/>
  <c r="E10" i="49"/>
  <c r="C35" i="69"/>
  <c r="C47" i="68"/>
  <c r="D45" i="68" s="1"/>
  <c r="C14" i="12"/>
  <c r="R16" i="1"/>
  <c r="B2" i="34"/>
  <c r="B3" i="34" s="1"/>
  <c r="C15" i="15"/>
  <c r="C18" i="15"/>
  <c r="B2" i="76"/>
  <c r="B2" i="36"/>
  <c r="B3" i="36" s="1"/>
  <c r="B2" i="21"/>
  <c r="B3" i="21" s="1"/>
  <c r="F51" i="15"/>
  <c r="E2" i="76"/>
  <c r="B11" i="70"/>
  <c r="F70" i="67"/>
  <c r="B10" i="70"/>
  <c r="J20" i="15"/>
  <c r="F69" i="67"/>
  <c r="B2" i="33"/>
  <c r="B3" i="33" s="1"/>
  <c r="F71" i="15"/>
  <c r="I1" i="73"/>
  <c r="B39" i="1" s="1"/>
  <c r="E20" i="43"/>
  <c r="F66" i="67"/>
  <c r="F65" i="67"/>
  <c r="M7" i="67"/>
  <c r="J6" i="67" s="1"/>
  <c r="F50" i="67"/>
  <c r="J20" i="67"/>
  <c r="B20" i="31"/>
  <c r="L58" i="15"/>
  <c r="M59" i="15"/>
  <c r="L59" i="15"/>
  <c r="N59" i="15"/>
  <c r="C27" i="67"/>
  <c r="F68" i="15"/>
  <c r="C27" i="15"/>
  <c r="B40" i="1"/>
  <c r="Q71" i="67"/>
  <c r="B13" i="70"/>
  <c r="B9" i="70"/>
  <c r="F63" i="67"/>
  <c r="C62" i="67" s="1"/>
  <c r="C34" i="67"/>
  <c r="F68" i="67"/>
  <c r="C6" i="67"/>
  <c r="B12" i="70"/>
  <c r="F64" i="67"/>
  <c r="L59" i="67"/>
  <c r="N59" i="67"/>
  <c r="L58" i="67"/>
  <c r="M59" i="67"/>
  <c r="B2" i="35"/>
  <c r="B3" i="35" s="1"/>
  <c r="B7" i="70"/>
  <c r="B8" i="70"/>
  <c r="Q71" i="15"/>
  <c r="F51" i="67"/>
  <c r="F71" i="67"/>
  <c r="I54" i="67"/>
  <c r="J53" i="67"/>
  <c r="J57" i="67"/>
  <c r="J55" i="67" s="1"/>
  <c r="J58" i="67" s="1"/>
  <c r="Q50" i="67" s="1"/>
  <c r="L56" i="67"/>
  <c r="J60" i="15"/>
  <c r="Q48" i="15" s="1"/>
  <c r="J57" i="15"/>
  <c r="J55" i="15" s="1"/>
  <c r="J58" i="15" s="1"/>
  <c r="Q50" i="15" s="1"/>
  <c r="L57" i="15"/>
  <c r="L60" i="15"/>
  <c r="J59" i="15"/>
  <c r="L56" i="15"/>
  <c r="I54" i="15"/>
  <c r="J53" i="15"/>
  <c r="L46" i="15"/>
  <c r="F66" i="15"/>
  <c r="F65" i="15"/>
  <c r="F64" i="15"/>
  <c r="C34" i="15"/>
  <c r="F63" i="15"/>
  <c r="C62" i="15" s="1"/>
  <c r="M7" i="15"/>
  <c r="J6" i="15" s="1"/>
  <c r="F50" i="15"/>
  <c r="C6" i="15"/>
  <c r="E17" i="49"/>
  <c r="E7" i="49"/>
  <c r="B6" i="49"/>
  <c r="B7" i="49"/>
  <c r="E14" i="49"/>
  <c r="B4" i="49"/>
  <c r="E22" i="49"/>
  <c r="E11" i="49"/>
  <c r="B10" i="49"/>
  <c r="E8" i="49"/>
  <c r="B8" i="49"/>
  <c r="E21" i="49"/>
  <c r="B11" i="49"/>
  <c r="B16" i="49"/>
  <c r="E15" i="49"/>
  <c r="B22" i="49"/>
  <c r="C47" i="69"/>
  <c r="D45" i="69" s="1"/>
  <c r="C29" i="69"/>
  <c r="D27" i="69" s="1"/>
  <c r="C9" i="69"/>
  <c r="C8" i="69" s="1"/>
  <c r="C5" i="69" s="1"/>
  <c r="D19" i="69"/>
  <c r="C16" i="15"/>
  <c r="C14" i="67"/>
  <c r="C17" i="15"/>
  <c r="C17" i="67"/>
  <c r="C16" i="67"/>
  <c r="F50" i="11" l="1"/>
  <c r="F50" i="68"/>
  <c r="F50" i="69"/>
  <c r="C38" i="11"/>
  <c r="C35" i="11"/>
  <c r="C33" i="11"/>
  <c r="C19" i="68"/>
  <c r="G46" i="37"/>
  <c r="H46" i="37" s="1"/>
  <c r="G47" i="37"/>
  <c r="H47" i="37" s="1"/>
  <c r="E47" i="37"/>
  <c r="F47" i="37" s="1"/>
  <c r="E46" i="37"/>
  <c r="F46" i="37" s="1"/>
  <c r="I47" i="37"/>
  <c r="J47" i="37" s="1"/>
  <c r="R43" i="37"/>
  <c r="C16" i="12"/>
  <c r="C21" i="12" s="1"/>
  <c r="C22" i="12" s="1"/>
  <c r="C33" i="68"/>
  <c r="C39" i="68" s="1"/>
  <c r="C49" i="67"/>
  <c r="C18" i="67"/>
  <c r="C15" i="67"/>
  <c r="C19" i="15"/>
  <c r="J18" i="15"/>
  <c r="D37" i="69"/>
  <c r="C37" i="69" s="1"/>
  <c r="C33" i="69" s="1"/>
  <c r="C19" i="69"/>
  <c r="F1" i="67"/>
  <c r="Q52" i="67"/>
  <c r="Q73" i="67"/>
  <c r="Q60" i="67"/>
  <c r="Q74" i="67"/>
  <c r="Q61" i="67"/>
  <c r="J18" i="67"/>
  <c r="C32" i="67"/>
  <c r="F24" i="15"/>
  <c r="C24" i="15" s="1"/>
  <c r="F24" i="67"/>
  <c r="C24" i="67" s="1"/>
  <c r="F25" i="12"/>
  <c r="F22" i="69"/>
  <c r="F22" i="68"/>
  <c r="F22" i="11"/>
  <c r="P28" i="43"/>
  <c r="O28" i="43"/>
  <c r="M28" i="43"/>
  <c r="N28" i="43"/>
  <c r="B3" i="76"/>
  <c r="C23" i="69"/>
  <c r="C20" i="68"/>
  <c r="C25" i="68" s="1"/>
  <c r="C33" i="15"/>
  <c r="C32" i="15"/>
  <c r="F1" i="15"/>
  <c r="Q52" i="15"/>
  <c r="Q66" i="15"/>
  <c r="Q57" i="15"/>
  <c r="Q61" i="15"/>
  <c r="Q74" i="15"/>
  <c r="Q73" i="15"/>
  <c r="Q60" i="15"/>
  <c r="F11" i="15"/>
  <c r="M11" i="15"/>
  <c r="J10" i="15" s="1"/>
  <c r="J5" i="15" s="1"/>
  <c r="F11" i="67"/>
  <c r="M11" i="67"/>
  <c r="J10" i="67" s="1"/>
  <c r="J5" i="67" s="1"/>
  <c r="C49" i="15"/>
  <c r="AE6" i="1"/>
  <c r="F41" i="15"/>
  <c r="C39" i="11" l="1"/>
  <c r="C46" i="11"/>
  <c r="C45" i="11" s="1"/>
  <c r="C43" i="37"/>
  <c r="C42" i="37"/>
  <c r="C53" i="15"/>
  <c r="C48" i="15" s="1"/>
  <c r="C60" i="15" s="1"/>
  <c r="AG6" i="1"/>
  <c r="C30" i="12"/>
  <c r="C28" i="12" s="1"/>
  <c r="C24" i="69"/>
  <c r="C10" i="15"/>
  <c r="C5" i="15" s="1"/>
  <c r="C38" i="15" s="1"/>
  <c r="C20" i="69"/>
  <c r="C25" i="69" s="1"/>
  <c r="C19" i="67"/>
  <c r="C20" i="67" s="1"/>
  <c r="C26" i="67" s="1"/>
  <c r="F69" i="15"/>
  <c r="J26" i="67"/>
  <c r="J29" i="67" s="1"/>
  <c r="J24" i="67"/>
  <c r="J24" i="15"/>
  <c r="C26" i="68"/>
  <c r="D22" i="68" s="1"/>
  <c r="C23" i="68"/>
  <c r="C44" i="68"/>
  <c r="D41" i="68" s="1"/>
  <c r="C26" i="12"/>
  <c r="D25" i="12" s="1"/>
  <c r="C27" i="12"/>
  <c r="C25" i="12" s="1"/>
  <c r="C43" i="68"/>
  <c r="C53" i="67"/>
  <c r="C48" i="67" s="1"/>
  <c r="C10" i="67"/>
  <c r="C5" i="67" s="1"/>
  <c r="C31" i="15"/>
  <c r="C24" i="68"/>
  <c r="C28" i="68"/>
  <c r="C27" i="68" s="1"/>
  <c r="C44" i="11"/>
  <c r="D41" i="11" s="1"/>
  <c r="C26" i="11"/>
  <c r="D22" i="11" s="1"/>
  <c r="C23" i="11"/>
  <c r="C43" i="11"/>
  <c r="C42" i="11"/>
  <c r="C25" i="11"/>
  <c r="C24" i="11"/>
  <c r="C26" i="69"/>
  <c r="D22" i="69" s="1"/>
  <c r="C44" i="69"/>
  <c r="D41" i="69" s="1"/>
  <c r="C42" i="69"/>
  <c r="C39" i="69"/>
  <c r="C43" i="69" s="1"/>
  <c r="C46" i="68"/>
  <c r="C45" i="68" s="1"/>
  <c r="C42" i="68"/>
  <c r="C20" i="15"/>
  <c r="C26" i="15" s="1"/>
  <c r="M27" i="15"/>
  <c r="B2" i="37" l="1"/>
  <c r="B3" i="37"/>
  <c r="C41" i="68"/>
  <c r="C49" i="68" s="1"/>
  <c r="C51" i="68" s="1"/>
  <c r="C66" i="15"/>
  <c r="C23" i="67"/>
  <c r="C29" i="67" s="1"/>
  <c r="C32" i="12"/>
  <c r="B2" i="12" s="1"/>
  <c r="B3" i="12" s="1"/>
  <c r="C23" i="15"/>
  <c r="C29" i="15" s="1"/>
  <c r="C28" i="69"/>
  <c r="C27" i="69" s="1"/>
  <c r="C22" i="69"/>
  <c r="C41" i="11"/>
  <c r="C49" i="11" s="1"/>
  <c r="C51" i="11" s="1"/>
  <c r="C41" i="69"/>
  <c r="C22" i="11"/>
  <c r="C31" i="11" s="1"/>
  <c r="C52" i="11" s="1"/>
  <c r="B2" i="11" s="1"/>
  <c r="B3" i="11" s="1"/>
  <c r="C38" i="67"/>
  <c r="C46" i="69"/>
  <c r="C45" i="69" s="1"/>
  <c r="C66" i="67"/>
  <c r="C60" i="67"/>
  <c r="C22" i="68"/>
  <c r="C31" i="68" s="1"/>
  <c r="C19" i="9"/>
  <c r="C20" i="9"/>
  <c r="C21" i="9" l="1"/>
  <c r="C102" i="9"/>
  <c r="C103" i="9"/>
  <c r="C13" i="15"/>
  <c r="C75" i="15" s="1"/>
  <c r="J14" i="15"/>
  <c r="J22" i="15" s="1"/>
  <c r="C36" i="15"/>
  <c r="C57" i="15"/>
  <c r="C61" i="15" s="1"/>
  <c r="C59" i="15" s="1"/>
  <c r="J19" i="67"/>
  <c r="J17" i="67" s="1"/>
  <c r="C33" i="67"/>
  <c r="C31" i="67" s="1"/>
  <c r="C57" i="67"/>
  <c r="C61" i="67" s="1"/>
  <c r="C59" i="67" s="1"/>
  <c r="C36" i="67"/>
  <c r="J59" i="67"/>
  <c r="J60" i="67" s="1"/>
  <c r="L46" i="67" s="1"/>
  <c r="Q49" i="67"/>
  <c r="J14" i="67"/>
  <c r="J22" i="67" s="1"/>
  <c r="C13" i="67"/>
  <c r="C37" i="67" s="1"/>
  <c r="C30" i="67" s="1"/>
  <c r="C39" i="67" s="1"/>
  <c r="J19" i="15"/>
  <c r="J17" i="15" s="1"/>
  <c r="Q49" i="15"/>
  <c r="C49" i="69"/>
  <c r="C51" i="69" s="1"/>
  <c r="C56" i="11"/>
  <c r="C57" i="11" s="1"/>
  <c r="C31" i="69"/>
  <c r="C52" i="68"/>
  <c r="B2" i="68" s="1"/>
  <c r="B3" i="68" s="1"/>
  <c r="Q48" i="67"/>
  <c r="C52" i="69" l="1"/>
  <c r="B2" i="69" s="1"/>
  <c r="B3" i="69" s="1"/>
  <c r="J13" i="67"/>
  <c r="J23" i="67" s="1"/>
  <c r="J16" i="67" s="1"/>
  <c r="J25" i="67" s="1"/>
  <c r="Q70" i="15"/>
  <c r="C75" i="67"/>
  <c r="C80" i="67" s="1"/>
  <c r="C79" i="67" s="1"/>
  <c r="C57" i="68"/>
  <c r="C56" i="68" s="1"/>
  <c r="C56" i="15"/>
  <c r="C65" i="15" s="1"/>
  <c r="C64" i="67"/>
  <c r="C64" i="15"/>
  <c r="C58" i="15" s="1"/>
  <c r="C67" i="15" s="1"/>
  <c r="C68" i="15" s="1"/>
  <c r="C71" i="15" s="1"/>
  <c r="J13" i="15"/>
  <c r="J23" i="15" s="1"/>
  <c r="J16" i="15" s="1"/>
  <c r="J25" i="15" s="1"/>
  <c r="J26" i="15" s="1"/>
  <c r="J29" i="15" s="1"/>
  <c r="Q70" i="67"/>
  <c r="C56" i="67"/>
  <c r="C65" i="67" s="1"/>
  <c r="C37" i="15"/>
  <c r="C30" i="15" s="1"/>
  <c r="C39" i="15" s="1"/>
  <c r="Q69" i="15" s="1"/>
  <c r="Q69" i="67"/>
  <c r="C40" i="67"/>
  <c r="C57" i="69"/>
  <c r="C56" i="69" s="1"/>
  <c r="L51" i="67"/>
  <c r="L51" i="15"/>
  <c r="Q68" i="15" l="1"/>
  <c r="C58" i="67"/>
  <c r="C67" i="67" s="1"/>
  <c r="C68" i="67" s="1"/>
  <c r="C71" i="67" s="1"/>
  <c r="C80" i="15"/>
  <c r="C79" i="15" s="1"/>
  <c r="Q68" i="67"/>
  <c r="C40" i="15"/>
  <c r="C46" i="15" s="1"/>
  <c r="C45" i="67"/>
  <c r="C46" i="67" s="1"/>
  <c r="Q67" i="67"/>
  <c r="L57" i="67"/>
  <c r="L60" i="67" s="1"/>
  <c r="Q67" i="15"/>
  <c r="Q56" i="67"/>
  <c r="C43" i="67"/>
  <c r="Q65" i="67"/>
  <c r="Q47" i="67"/>
  <c r="Q53" i="67" s="1"/>
  <c r="D2" i="67"/>
  <c r="C83" i="67"/>
  <c r="C82" i="67" s="1"/>
  <c r="C43" i="15" l="1"/>
  <c r="C83" i="15"/>
  <c r="C82" i="15" s="1"/>
  <c r="Q65" i="15"/>
  <c r="Q75" i="15" s="1"/>
  <c r="Q56" i="15"/>
  <c r="Q62" i="15" s="1"/>
  <c r="Q47" i="15"/>
  <c r="Q53" i="15" s="1"/>
  <c r="B2" i="15"/>
  <c r="B3" i="15" s="1"/>
  <c r="B3" i="67"/>
  <c r="B2" i="67"/>
  <c r="Q66" i="67"/>
  <c r="Q75" i="67" s="1"/>
  <c r="Q57" i="67"/>
  <c r="Q62" i="67" s="1"/>
  <c r="D19" i="9"/>
  <c r="D34" i="9"/>
  <c r="D20" i="9"/>
  <c r="AO6" i="1"/>
  <c r="D35" i="9"/>
  <c r="B6" i="70" l="1"/>
  <c r="B2" i="70" s="1"/>
  <c r="B3" i="70" s="1"/>
  <c r="D21" i="9"/>
  <c r="G19" i="9"/>
  <c r="E11" i="78" s="1"/>
  <c r="H11" i="78" s="1"/>
  <c r="D102" i="9"/>
  <c r="D22" i="9"/>
  <c r="D103" i="9"/>
  <c r="G20" i="9"/>
  <c r="E15" i="78" l="1"/>
  <c r="C32" i="9"/>
  <c r="H118" i="9" s="1"/>
  <c r="G21" i="9"/>
  <c r="C35" i="9" l="1"/>
  <c r="F118" i="9" s="1"/>
  <c r="F4" i="52" s="1"/>
  <c r="B51" i="72" s="1"/>
  <c r="D14" i="74"/>
  <c r="H119" i="9"/>
  <c r="H5" i="52" s="1"/>
  <c r="H4" i="52"/>
  <c r="I118" i="9"/>
  <c r="H101" i="9"/>
  <c r="C104" i="9"/>
  <c r="F119" i="9" l="1"/>
  <c r="F5" i="52" s="1"/>
  <c r="B53" i="72" s="1"/>
  <c r="G118" i="9"/>
  <c r="G4" i="52" s="1"/>
  <c r="B52" i="72" s="1"/>
  <c r="C34" i="9"/>
  <c r="D118" i="9" s="1"/>
  <c r="D119" i="9" s="1"/>
  <c r="D5" i="52" s="1"/>
  <c r="B49" i="72" s="1"/>
  <c r="H107" i="9"/>
  <c r="D5" i="53"/>
  <c r="D45" i="9"/>
  <c r="M48" i="9"/>
  <c r="E14" i="74"/>
  <c r="F14" i="74"/>
  <c r="B5" i="74"/>
  <c r="C105" i="9"/>
  <c r="H102" i="9"/>
  <c r="D7" i="53" s="1"/>
  <c r="B21" i="72" s="1"/>
  <c r="I4" i="52"/>
  <c r="E118" i="9"/>
  <c r="E4" i="52" s="1"/>
  <c r="B48" i="72" s="1"/>
  <c r="D4" i="52" l="1"/>
  <c r="B47" i="72" s="1"/>
  <c r="D6" i="53"/>
  <c r="B22" i="72" s="1"/>
  <c r="B20" i="72"/>
  <c r="C5" i="74"/>
  <c r="D5" i="74"/>
  <c r="D55" i="9"/>
  <c r="M53" i="9" s="1"/>
  <c r="C64" i="9"/>
  <c r="C63" i="9" s="1"/>
  <c r="C67" i="9" s="1"/>
  <c r="C68" i="9" s="1"/>
  <c r="D54" i="9" s="1"/>
  <c r="C78" i="9"/>
  <c r="C73" i="9" s="1"/>
  <c r="C85" i="9"/>
  <c r="C72" i="9"/>
  <c r="C79" i="9" s="1"/>
  <c r="C93" i="9"/>
  <c r="C86" i="9" s="1"/>
  <c r="D53" i="9"/>
  <c r="D52" i="9"/>
  <c r="H108" i="9"/>
  <c r="D15" i="53" s="1"/>
  <c r="B31" i="72" s="1"/>
  <c r="D122" i="9"/>
  <c r="D13" i="53"/>
  <c r="D14" i="53" l="1"/>
  <c r="B32" i="72" s="1"/>
  <c r="B30" i="72"/>
  <c r="C80" i="9"/>
  <c r="E80" i="9" s="1"/>
  <c r="E81" i="9" s="1"/>
  <c r="G14" i="74"/>
  <c r="B6" i="74" s="1"/>
  <c r="D8" i="52"/>
  <c r="D123" i="9"/>
  <c r="D9" i="52" s="1"/>
  <c r="C95" i="9"/>
  <c r="C81" i="9" l="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<sst xmlns="http://schemas.openxmlformats.org/spreadsheetml/2006/main" count="7298" uniqueCount="3087">
  <si>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</si>
  <si>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</si>
  <si>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</si>
  <si>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</si>
  <si>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</si>
  <si>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</si>
  <si>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</si>
  <si>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</si>
  <si>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</si>
  <si>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</si>
  <si>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</si>
  <si>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</si>
  <si>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</si>
  <si>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</si>
  <si>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</si>
  <si>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</si>
  <si>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</si>
  <si>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</si>
  <si>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</si>
  <si>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</si>
  <si>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</si>
  <si>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</si>
  <si>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</si>
  <si>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</si>
  <si>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</si>
  <si>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</si>
  <si>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</si>
  <si>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</si>
  <si>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</si>
  <si>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</si>
  <si>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</si>
  <si>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</si>
  <si>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</si>
  <si>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</si>
  <si>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</si>
  <si>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</si>
  <si>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</si>
  <si>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</si>
  <si>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</si>
  <si>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</si>
  <si>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</si>
  <si>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</si>
  <si>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</si>
  <si>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</si>
  <si>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</si>
  <si>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</si>
  <si>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</si>
  <si>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</si>
  <si>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</si>
  <si>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</si>
  <si>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</si>
  <si>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</si>
  <si>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</si>
  <si>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</si>
  <si>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</si>
  <si>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</si>
  <si>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</si>
  <si>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</si>
  <si>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</si>
  <si>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</si>
  <si>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</si>
  <si>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</si>
  <si>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</si>
  <si>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</si>
  <si>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</si>
  <si>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</si>
  <si>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</si>
  <si>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</si>
  <si>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</si>
  <si>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</si>
  <si>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</si>
  <si>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</si>
  <si>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</si>
  <si>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</si>
  <si>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</si>
  <si>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</si>
  <si>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</si>
  <si>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</si>
  <si>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</si>
  <si>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</si>
  <si>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</si>
  <si>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</si>
  <si>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</si>
  <si>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</si>
  <si>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</si>
  <si>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</si>
  <si>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</si>
  <si>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</si>
  <si>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</si>
  <si>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</si>
  <si>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</si>
  <si>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</si>
  <si>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</si>
  <si>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</si>
  <si>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</si>
  <si>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</si>
  <si>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</si>
  <si>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</si>
  <si>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</si>
  <si>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</si>
  <si>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</si>
  <si>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</si>
  <si>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</si>
  <si>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</si>
  <si>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</si>
  <si>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</si>
  <si>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</si>
  <si>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</si>
  <si>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</si>
  <si>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</si>
  <si>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</si>
  <si>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</si>
  <si>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</si>
  <si>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</si>
  <si>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</si>
  <si>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</si>
  <si>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</si>
  <si>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</si>
  <si>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</si>
  <si>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</si>
  <si>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</si>
  <si>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</si>
  <si>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</si>
  <si>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</si>
  <si>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</si>
  <si>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</si>
  <si>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</si>
  <si>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</si>
  <si>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</si>
  <si>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</si>
  <si>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</si>
  <si>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</si>
  <si>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</si>
  <si>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</si>
  <si>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</si>
  <si>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</si>
  <si>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</si>
  <si>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</si>
  <si>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</si>
  <si>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</si>
  <si>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</si>
  <si>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</si>
  <si>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</si>
  <si>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</si>
  <si>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</si>
  <si>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</si>
  <si>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</si>
  <si>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</si>
  <si>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</si>
  <si>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</si>
  <si>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</si>
  <si>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</si>
  <si>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</si>
  <si>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</si>
  <si>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</si>
  <si>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</si>
  <si>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</si>
  <si>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</si>
  <si>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</si>
  <si>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</si>
  <si>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</si>
  <si>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</si>
  <si>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</si>
  <si>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</si>
  <si>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</si>
  <si>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</si>
  <si>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</si>
  <si>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</si>
  <si>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</si>
  <si>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</si>
  <si>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</si>
  <si>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</si>
  <si>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</si>
  <si>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</si>
  <si>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</si>
  <si>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</si>
  <si>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</si>
  <si>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</si>
  <si>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</si>
  <si>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</si>
  <si>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</si>
  <si>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</si>
  <si>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</si>
  <si>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</si>
  <si>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</si>
  <si>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</si>
  <si>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</si>
  <si>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</si>
  <si>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</si>
  <si>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</si>
  <si>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</si>
  <si>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</si>
  <si>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</si>
  <si>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</si>
  <si>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</si>
  <si>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</si>
  <si>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</si>
  <si>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</si>
  <si>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</si>
  <si>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</si>
  <si>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</si>
  <si>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</si>
  <si>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</si>
  <si>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</si>
  <si>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</si>
  <si>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</si>
  <si>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</si>
  <si>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</si>
  <si>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</si>
  <si>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</si>
  <si>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</si>
  <si>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</si>
  <si>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</si>
  <si>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</si>
  <si>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</si>
  <si>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</si>
  <si>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</si>
  <si>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</si>
  <si>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</si>
  <si>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</si>
  <si>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</si>
  <si>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</si>
  <si>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</si>
  <si>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</si>
  <si>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</si>
  <si>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</si>
  <si>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</si>
  <si>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</si>
  <si>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</si>
  <si>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</si>
  <si>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</si>
  <si>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</si>
  <si>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</si>
  <si>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</si>
  <si>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</si>
  <si>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</si>
  <si>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</si>
  <si>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</si>
  <si>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</si>
  <si>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</si>
  <si>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</si>
  <si>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</si>
  <si>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</si>
  <si>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</si>
  <si>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</si>
  <si>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</si>
  <si>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</si>
  <si>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</si>
  <si>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</si>
  <si>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</si>
  <si>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</si>
  <si>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</si>
  <si>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</si>
  <si>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</si>
  <si>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</si>
  <si>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</si>
  <si>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</si>
  <si>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</si>
  <si>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</si>
  <si>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</si>
  <si>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</si>
  <si>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</si>
  <si>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</si>
  <si>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</si>
  <si>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</si>
  <si>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</si>
  <si>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</si>
  <si>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</si>
  <si>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</si>
  <si>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</si>
  <si>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</si>
  <si>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</si>
  <si>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</si>
  <si>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</si>
  <si>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</si>
  <si>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</si>
  <si>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</si>
  <si>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</si>
  <si>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</si>
  <si>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</si>
  <si>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</si>
  <si>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</si>
  <si>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</si>
  <si>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</si>
  <si>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</si>
  <si>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</si>
  <si>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</si>
  <si>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</si>
  <si>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</si>
  <si>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</si>
  <si>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</si>
  <si>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</si>
  <si>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</si>
  <si>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</si>
  <si>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</si>
  <si>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</si>
  <si>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</si>
  <si>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</si>
  <si>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</si>
  <si>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</si>
  <si>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</si>
  <si>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</si>
  <si>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</si>
  <si>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</si>
  <si>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</si>
  <si>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</si>
  <si>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</si>
  <si>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</si>
  <si>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</si>
  <si>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</si>
  <si>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</si>
  <si>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</si>
  <si>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</si>
  <si>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</si>
  <si>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</si>
  <si>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</si>
  <si>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</si>
  <si>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</si>
  <si>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</si>
  <si>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</si>
  <si>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</si>
  <si>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</si>
  <si>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</si>
  <si>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</si>
  <si>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</si>
  <si>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</si>
  <si>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</si>
  <si>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</si>
  <si>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</si>
  <si>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</si>
  <si>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</si>
  <si>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</si>
  <si>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</si>
  <si>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</si>
  <si>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</si>
  <si>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</si>
  <si>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</si>
  <si>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</si>
  <si>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</si>
  <si>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</si>
  <si>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</si>
  <si>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</si>
  <si>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</si>
  <si>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</si>
  <si>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</si>
  <si>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</si>
  <si>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</si>
  <si>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</si>
  <si>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</si>
  <si>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</si>
  <si>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</si>
  <si>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</si>
  <si>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</si>
  <si>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</si>
  <si>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</si>
  <si>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</si>
  <si>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</si>
  <si>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</si>
  <si>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</si>
  <si>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</si>
  <si>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</si>
  <si>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</si>
  <si>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</si>
  <si>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</si>
  <si>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</si>
  <si>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</si>
  <si>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</si>
  <si>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</si>
  <si>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</si>
  <si>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</si>
  <si>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</si>
  <si>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</si>
  <si>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</si>
  <si>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</si>
  <si>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</si>
  <si>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</si>
  <si>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</si>
  <si>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</si>
  <si>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</si>
  <si>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</si>
  <si>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</si>
  <si>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</si>
  <si>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</si>
  <si>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</si>
  <si>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</si>
  <si>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</si>
  <si>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</si>
  <si>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</si>
  <si>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</si>
  <si>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</si>
  <si>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</si>
  <si>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</si>
  <si>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</si>
  <si>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</si>
  <si>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</si>
  <si>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</si>
  <si>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</si>
  <si>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</si>
  <si>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</si>
  <si>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</si>
  <si>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</si>
  <si>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</si>
  <si>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</si>
  <si>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</si>
  <si>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</si>
  <si>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</si>
  <si>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</si>
  <si>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</si>
  <si>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</si>
  <si>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</si>
  <si>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</si>
  <si>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</si>
  <si>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</si>
  <si>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</si>
  <si>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</si>
  <si>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</si>
  <si>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</si>
  <si>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</si>
  <si>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</si>
  <si>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</si>
  <si>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</si>
  <si>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</si>
  <si>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</si>
  <si>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</si>
  <si>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</si>
  <si>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</si>
  <si>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</si>
  <si>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</si>
  <si>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</si>
  <si>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</si>
  <si>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</si>
  <si>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</si>
  <si>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</si>
  <si>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</si>
  <si>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</si>
  <si>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</si>
  <si>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</si>
  <si>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</si>
  <si>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</si>
  <si>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</si>
  <si>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</si>
  <si>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</si>
  <si>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</si>
  <si>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</si>
  <si>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</si>
  <si>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</si>
  <si>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</si>
  <si>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</si>
  <si>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</si>
  <si>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</si>
  <si>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</si>
  <si>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</si>
  <si>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</si>
  <si>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</si>
  <si>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</si>
  <si>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</si>
  <si>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</si>
  <si>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</si>
  <si>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</si>
  <si>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</si>
  <si>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</si>
  <si>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</si>
  <si>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</si>
  <si>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</si>
  <si>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</si>
  <si>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</si>
  <si>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</si>
  <si>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</si>
  <si>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</si>
  <si>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</si>
  <si>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</si>
  <si>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</si>
  <si>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</si>
  <si>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</si>
  <si>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</si>
  <si>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</si>
  <si>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</si>
  <si>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</si>
  <si>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</si>
  <si>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</si>
  <si>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</si>
  <si>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</si>
  <si>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</si>
  <si>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</si>
  <si>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</si>
  <si>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</si>
  <si>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</si>
  <si>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</si>
  <si>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</si>
  <si>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</si>
  <si>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</si>
  <si>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</si>
  <si>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</si>
  <si>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</si>
  <si>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</si>
  <si>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</si>
  <si>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</si>
  <si>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</si>
  <si>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</si>
  <si>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</si>
  <si>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</si>
  <si>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</si>
  <si>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</si>
  <si>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</si>
  <si>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</si>
  <si>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</si>
  <si>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</si>
  <si>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</si>
  <si>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</si>
  <si>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</si>
  <si>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</si>
  <si>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</si>
  <si>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</si>
  <si>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</si>
  <si>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</si>
  <si>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</si>
  <si>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</si>
  <si>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</si>
  <si>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</si>
  <si>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</si>
  <si>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</si>
  <si>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</si>
  <si>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</si>
  <si>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</si>
  <si>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</si>
  <si>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</si>
  <si>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</si>
  <si>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</si>
  <si>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</si>
  <si>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</si>
  <si>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</si>
  <si>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</si>
  <si>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</si>
  <si>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</si>
  <si>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</si>
  <si>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</si>
  <si>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</si>
  <si>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</si>
  <si>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</si>
  <si>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</si>
  <si>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</si>
  <si>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</si>
  <si>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</si>
  <si>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</si>
  <si>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</si>
  <si>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</si>
  <si>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</si>
  <si>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</si>
  <si>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</si>
  <si>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</si>
  <si>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</si>
  <si>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</si>
  <si>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</si>
  <si>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</si>
  <si>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</si>
  <si>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</si>
  <si>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</si>
  <si>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</si>
  <si>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</si>
  <si>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</si>
  <si>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</si>
  <si>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</si>
  <si>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</si>
  <si>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</si>
  <si>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</si>
  <si>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</si>
  <si>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</si>
  <si>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</si>
  <si>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</si>
  <si>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</si>
  <si>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</si>
  <si>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</si>
  <si>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</si>
  <si>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</si>
  <si>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</si>
  <si>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</si>
  <si>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</si>
  <si>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</si>
  <si>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</si>
  <si>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</si>
  <si>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</si>
  <si>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</si>
  <si>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</si>
  <si>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</si>
  <si>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</si>
  <si>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</si>
  <si>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</si>
  <si>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</si>
  <si>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</si>
  <si>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</si>
  <si>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</si>
  <si>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</si>
  <si>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</si>
  <si>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</si>
  <si>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</si>
  <si>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</si>
  <si>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</si>
  <si>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</si>
  <si>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</si>
  <si>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</si>
  <si>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</si>
  <si>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</si>
  <si>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</si>
  <si>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</si>
  <si>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</si>
  <si>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</si>
  <si>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</si>
  <si>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</si>
  <si>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</si>
  <si>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</si>
  <si>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</si>
  <si>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</si>
  <si>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</si>
  <si>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</si>
  <si>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</si>
  <si>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</si>
  <si>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</si>
  <si>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</si>
  <si>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</si>
  <si>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</si>
  <si>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</si>
  <si>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</si>
  <si>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</si>
  <si>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</si>
  <si>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</si>
  <si>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</si>
  <si>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</si>
  <si>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</si>
  <si>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</si>
  <si>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</si>
  <si>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</si>
  <si>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</si>
  <si>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</si>
  <si>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</si>
  <si>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</si>
  <si>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</si>
  <si>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</si>
  <si>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</si>
  <si>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</si>
  <si>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</si>
  <si>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</si>
  <si>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</si>
  <si>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</si>
  <si>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</si>
  <si>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</si>
  <si>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</si>
  <si>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</si>
  <si>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</si>
  <si>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</si>
  <si>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</si>
  <si>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</si>
  <si>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</si>
  <si>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</si>
  <si>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</si>
  <si>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</si>
  <si>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</si>
  <si>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</si>
  <si>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</si>
  <si>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</si>
  <si>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</si>
  <si>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</si>
  <si>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</si>
  <si>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</si>
  <si>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</si>
  <si>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</si>
  <si>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</si>
  <si>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</si>
  <si>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</si>
  <si>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</si>
  <si>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</si>
  <si>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</si>
  <si>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</si>
  <si>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</si>
  <si>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</si>
  <si>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</si>
  <si>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</si>
  <si>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</si>
  <si>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</si>
  <si>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</si>
  <si>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</si>
  <si>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</si>
  <si>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</si>
  <si>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</si>
  <si>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</si>
  <si>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</si>
  <si>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</si>
  <si>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</si>
  <si>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</si>
  <si>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</si>
  <si>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</si>
  <si>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</si>
  <si>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</si>
  <si>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</si>
  <si>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</si>
  <si>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</si>
  <si>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</si>
  <si>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</si>
  <si>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</si>
  <si>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</si>
  <si>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</si>
  <si>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</si>
  <si>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</si>
  <si>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</si>
  <si>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</si>
  <si>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</si>
  <si>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</si>
  <si>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</si>
  <si>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</si>
  <si>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</si>
  <si>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</si>
  <si>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</si>
  <si>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</si>
  <si>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</si>
  <si>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</si>
  <si>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</si>
  <si>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</si>
  <si>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</si>
  <si>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</si>
  <si>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</si>
  <si>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</si>
  <si>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</si>
  <si>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</si>
  <si>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</si>
  <si>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</si>
  <si>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</si>
  <si>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</si>
  <si>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</si>
  <si>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</si>
  <si>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</si>
  <si>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</si>
  <si>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</si>
  <si>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</si>
  <si>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</si>
  <si>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</si>
  <si>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</si>
  <si>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</si>
  <si>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</si>
  <si>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</si>
  <si>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</si>
  <si>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</si>
  <si>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</si>
  <si>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</si>
  <si>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</si>
  <si>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</si>
  <si>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</si>
  <si>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</si>
  <si>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</si>
  <si>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</si>
  <si>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</si>
  <si>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</si>
  <si>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</si>
  <si>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</si>
  <si>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</si>
  <si>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</si>
  <si>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</si>
  <si>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</si>
  <si>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</si>
  <si>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</si>
  <si>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</si>
  <si>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</si>
  <si>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</si>
  <si>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</si>
  <si>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</si>
  <si>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</si>
  <si>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</si>
  <si>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</si>
  <si>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</si>
  <si>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</si>
  <si>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</si>
  <si>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</si>
  <si>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</si>
  <si>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</si>
  <si>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</si>
  <si>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</si>
  <si>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</si>
  <si>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</si>
  <si>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</si>
  <si>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</si>
  <si>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</si>
  <si>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</si>
  <si>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</si>
  <si>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</si>
  <si>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</si>
  <si>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</si>
  <si>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</si>
  <si>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</si>
  <si>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</si>
  <si>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</si>
  <si>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</si>
  <si>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</si>
  <si>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</si>
  <si>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</si>
  <si>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</si>
  <si>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</si>
  <si>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</si>
  <si>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</si>
  <si>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</si>
  <si>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</si>
  <si>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</si>
  <si>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</si>
  <si>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</si>
  <si>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</si>
  <si>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</si>
  <si>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</si>
  <si>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</si>
  <si>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</si>
  <si>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</si>
  <si>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</si>
  <si>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</si>
  <si>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</si>
  <si>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</si>
  <si>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</si>
  <si>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</si>
  <si>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</si>
  <si>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</si>
  <si>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</si>
  <si>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</si>
  <si>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</si>
  <si>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</si>
  <si>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</si>
  <si>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</si>
  <si>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</si>
  <si>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</si>
  <si>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</si>
  <si>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</si>
  <si>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</si>
  <si>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</si>
  <si>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</si>
  <si>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</si>
  <si>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</si>
  <si>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</si>
  <si>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</si>
  <si>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</si>
  <si>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</si>
  <si>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</si>
  <si>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</si>
  <si>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</si>
  <si>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</si>
  <si>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</si>
  <si>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</si>
  <si>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</si>
  <si>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</si>
  <si>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</si>
  <si>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</si>
  <si>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</si>
  <si>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</si>
  <si>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</si>
  <si>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</si>
  <si>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</si>
  <si>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</si>
  <si>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</si>
  <si>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</si>
  <si>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</si>
  <si>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</si>
  <si>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</si>
  <si>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</si>
  <si>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</si>
  <si>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</si>
  <si>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</si>
  <si>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</si>
  <si>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</si>
  <si>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</si>
  <si>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</si>
  <si>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</si>
  <si>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</si>
  <si>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</si>
  <si>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</si>
  <si>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</si>
  <si>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</si>
  <si>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</si>
  <si>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</si>
  <si>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</si>
  <si>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</si>
  <si>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</si>
  <si>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</si>
  <si>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</si>
  <si>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</si>
  <si>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</si>
  <si>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</si>
  <si>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</si>
  <si>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</si>
  <si>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</si>
  <si>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</si>
  <si>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</si>
  <si>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</si>
  <si>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</si>
  <si>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</si>
  <si>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</si>
  <si>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</si>
  <si>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</si>
  <si>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</si>
  <si>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</si>
  <si>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</si>
  <si>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</si>
  <si>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</si>
  <si>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</si>
  <si>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</si>
  <si>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</si>
  <si>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</si>
  <si>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</si>
  <si>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</si>
  <si>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</si>
  <si>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</si>
  <si>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</si>
  <si>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</si>
  <si>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</si>
  <si>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</si>
  <si>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</si>
  <si>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</si>
  <si>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</si>
  <si>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</si>
  <si>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</si>
  <si>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</si>
  <si>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</si>
  <si>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</si>
  <si>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</si>
  <si>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</si>
  <si>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</si>
  <si>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</si>
  <si>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</si>
  <si>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</si>
  <si>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</si>
  <si>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</si>
  <si>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</si>
  <si>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</si>
  <si>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</si>
  <si>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</si>
  <si>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</si>
  <si>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</si>
  <si>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</si>
  <si>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</si>
  <si>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</si>
  <si>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</si>
  <si>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</si>
  <si>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</si>
  <si>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</si>
  <si>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</si>
  <si>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</si>
  <si>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</si>
  <si>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</si>
  <si>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</si>
  <si>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</si>
  <si>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</si>
  <si>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</si>
  <si>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</si>
  <si>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</si>
  <si>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</si>
  <si>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</si>
  <si>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</si>
  <si>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</si>
  <si>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</si>
  <si>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</si>
  <si>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</si>
  <si>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</si>
  <si>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</si>
  <si>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</si>
  <si>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</si>
  <si>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</si>
  <si>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</si>
  <si>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</si>
  <si>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</si>
  <si>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</si>
  <si>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</si>
  <si>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</si>
  <si>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</si>
  <si>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</si>
  <si>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</si>
  <si>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</si>
  <si>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</si>
  <si>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</si>
  <si>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</si>
  <si>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</si>
  <si>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</si>
  <si>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</si>
  <si>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</si>
  <si>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</si>
  <si>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</si>
  <si>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</si>
  <si>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</si>
  <si>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</si>
  <si>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</si>
  <si>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</si>
  <si>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</si>
  <si>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</si>
  <si>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</si>
  <si>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</si>
  <si>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</si>
  <si>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</si>
  <si>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</si>
  <si>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</si>
  <si>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</si>
  <si>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</si>
  <si>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</si>
  <si>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</si>
  <si>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</si>
  <si>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</si>
  <si>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</si>
  <si>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</si>
  <si>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</si>
  <si>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</si>
  <si>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</si>
  <si>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</si>
  <si>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</si>
  <si>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</si>
  <si>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</si>
  <si>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</si>
  <si>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</si>
  <si>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</si>
  <si>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</si>
  <si>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</si>
  <si>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</si>
  <si>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</si>
  <si>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</si>
  <si>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</si>
  <si>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</si>
  <si>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</si>
  <si>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</si>
  <si>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</si>
  <si>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</si>
  <si>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</si>
  <si>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</si>
  <si>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</si>
  <si>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</si>
  <si>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</si>
  <si>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</si>
  <si>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</si>
  <si>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</si>
  <si>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</si>
  <si>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</si>
  <si>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</si>
  <si>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</si>
  <si>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</si>
  <si>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</si>
  <si>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</si>
  <si>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</si>
  <si>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</si>
  <si>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</si>
  <si>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</si>
  <si>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</si>
  <si>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</si>
  <si>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</si>
  <si>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</si>
  <si>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</si>
  <si>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</si>
  <si>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</si>
  <si>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</si>
  <si>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</si>
  <si>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</si>
  <si>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</si>
  <si>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</si>
  <si>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</si>
  <si>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</si>
  <si>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</si>
  <si>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</si>
  <si>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</si>
  <si>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</si>
  <si>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</si>
  <si>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</si>
  <si>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</si>
  <si>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</si>
  <si>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</si>
  <si>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</si>
  <si>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</si>
  <si>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</si>
  <si>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</si>
  <si>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</si>
  <si>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</si>
  <si>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</si>
  <si>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</si>
  <si>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</si>
  <si>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</si>
  <si>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</si>
  <si>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</si>
  <si>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</si>
  <si>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</si>
  <si>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</si>
  <si>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</si>
  <si>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</si>
  <si>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</si>
  <si>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</si>
  <si>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</si>
  <si>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</si>
  <si>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</si>
  <si>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</si>
  <si>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</si>
  <si>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</si>
  <si>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</si>
  <si>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</si>
  <si>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</si>
  <si>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</si>
  <si>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</si>
  <si>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</si>
  <si>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</si>
  <si>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</si>
  <si>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</si>
  <si>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</si>
  <si>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</si>
  <si>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</si>
  <si>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</si>
  <si>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</si>
  <si>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</si>
  <si>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</si>
  <si>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</si>
  <si>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</si>
  <si>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</si>
  <si>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</si>
  <si>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</si>
  <si>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</si>
  <si>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</si>
  <si>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</si>
  <si>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</si>
  <si>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</si>
  <si>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</si>
  <si>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</si>
  <si>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</si>
  <si>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</si>
  <si>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</si>
  <si>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</si>
  <si>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</si>
  <si>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</si>
  <si>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</si>
  <si>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</si>
  <si>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</si>
  <si>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</si>
  <si>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</si>
  <si>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</si>
  <si>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</si>
  <si>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</si>
  <si>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</si>
  <si>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</si>
  <si>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</si>
  <si>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</si>
  <si>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</si>
  <si>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</si>
  <si>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</si>
  <si>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</si>
  <si>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</si>
  <si>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</si>
  <si>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</si>
  <si>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</si>
  <si>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</si>
  <si>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</si>
  <si>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</si>
  <si>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</si>
  <si>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</si>
  <si>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</si>
  <si>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</si>
  <si>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</si>
  <si>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</si>
  <si>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</si>
  <si>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</si>
  <si>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</si>
  <si>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</si>
  <si>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</si>
  <si>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</si>
  <si>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</si>
  <si>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</si>
  <si>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</si>
  <si>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</si>
  <si>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</si>
  <si>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</si>
  <si>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</si>
  <si>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</si>
  <si>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</si>
  <si>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</si>
  <si>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</si>
  <si>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</si>
  <si>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</si>
  <si>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</si>
  <si>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</si>
  <si>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</si>
  <si>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</si>
  <si>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</si>
  <si>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</si>
  <si>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</si>
  <si>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</si>
  <si>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</si>
  <si>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</si>
  <si>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</si>
  <si>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</si>
  <si>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</si>
  <si>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</si>
  <si>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</si>
  <si>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</si>
  <si>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</si>
  <si>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</si>
  <si>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</si>
  <si>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</si>
  <si>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</si>
  <si>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</si>
  <si>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</si>
  <si>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</si>
  <si>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</si>
  <si>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</si>
  <si>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</si>
  <si>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</si>
  <si>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</si>
  <si>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</si>
  <si>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</si>
  <si>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</si>
  <si>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</si>
  <si>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</si>
  <si>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</si>
  <si>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</si>
  <si>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</si>
  <si>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</si>
  <si>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</si>
  <si>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</si>
  <si>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</si>
  <si>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</si>
  <si>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</si>
  <si>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</si>
  <si>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</si>
  <si>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</si>
  <si>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</si>
  <si>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</si>
  <si>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</si>
  <si>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</si>
  <si>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</si>
  <si>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</si>
  <si>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</si>
  <si>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</si>
  <si>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</si>
  <si>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</si>
  <si>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</si>
  <si>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</si>
  <si>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</si>
  <si>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</si>
  <si>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</si>
  <si>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</si>
  <si>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</si>
  <si>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</si>
  <si>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</si>
  <si>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</si>
  <si>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</si>
  <si>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</si>
  <si>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</si>
  <si>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</si>
  <si>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</si>
  <si>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</si>
  <si>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</si>
  <si>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</si>
  <si>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</si>
  <si>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</si>
  <si>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</si>
  <si>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</si>
  <si>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</si>
  <si>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</si>
  <si>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</si>
  <si>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</si>
  <si>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</si>
  <si>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</si>
  <si>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</si>
  <si>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</si>
  <si>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</si>
  <si>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</si>
  <si>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</si>
  <si>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</si>
  <si>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</si>
  <si>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</si>
  <si>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</si>
  <si>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</si>
  <si>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</si>
  <si>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</si>
  <si>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</si>
  <si>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</si>
  <si>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</si>
  <si>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</si>
  <si>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</si>
  <si>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</si>
  <si>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</si>
  <si>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</si>
  <si>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</si>
  <si>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</si>
  <si>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</si>
  <si>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</si>
  <si>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</si>
  <si>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</si>
  <si>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</si>
  <si>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</si>
  <si>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</si>
  <si>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</si>
  <si>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</si>
  <si>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</si>
  <si>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</si>
  <si>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</si>
  <si>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</si>
  <si>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</si>
  <si>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</si>
  <si>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</si>
  <si>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</si>
  <si>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</si>
  <si>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</si>
  <si>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</si>
  <si>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</si>
  <si>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</si>
  <si>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</si>
  <si>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</si>
  <si>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</si>
  <si>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</si>
  <si>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</si>
  <si>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</si>
  <si>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</si>
  <si>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</si>
  <si>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</si>
  <si>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</si>
  <si>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</si>
  <si>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</si>
  <si>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</si>
  <si>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</si>
  <si>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</si>
  <si>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</si>
  <si>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</si>
  <si>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</si>
  <si>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</si>
  <si>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</si>
  <si>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</si>
  <si>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</si>
  <si>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</si>
  <si>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</si>
  <si>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</si>
  <si>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</si>
  <si>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</si>
  <si>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</si>
  <si>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</si>
  <si>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</si>
  <si>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</si>
  <si>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</si>
  <si>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</si>
  <si>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</si>
  <si>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</si>
  <si>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</si>
  <si>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</si>
  <si>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</si>
  <si>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</si>
  <si>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</si>
  <si>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</si>
  <si>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</si>
  <si>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</si>
  <si>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</si>
  <si>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</si>
  <si>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</si>
  <si>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</si>
  <si>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</si>
  <si>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</si>
  <si>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</si>
  <si>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</si>
  <si>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</si>
  <si>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</si>
  <si>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</si>
  <si>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</si>
  <si>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</si>
  <si>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</si>
  <si>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</si>
  <si>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</si>
  <si>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</si>
  <si>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</si>
  <si>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</si>
  <si>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</si>
  <si>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</si>
  <si>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</si>
  <si>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</si>
  <si>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</si>
  <si>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</si>
  <si>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</si>
  <si>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</si>
  <si>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</si>
  <si>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</si>
  <si>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</si>
  <si>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</si>
  <si>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</si>
  <si>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</si>
  <si>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</si>
  <si>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</si>
  <si>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</si>
  <si>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</si>
  <si>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</si>
  <si>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</si>
  <si>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</si>
  <si>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</si>
  <si>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</si>
  <si>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</si>
  <si>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</si>
  <si>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</si>
  <si>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</si>
  <si>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</si>
  <si>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</si>
  <si>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</si>
  <si>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</si>
  <si>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</si>
  <si>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</si>
  <si>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</si>
  <si>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</si>
  <si>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</si>
  <si>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</si>
  <si>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</si>
  <si>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</si>
  <si>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</si>
  <si>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</si>
  <si>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</si>
  <si>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</si>
  <si>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</si>
  <si>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</si>
  <si>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</si>
  <si>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</si>
  <si>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</si>
  <si>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</si>
  <si>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</si>
  <si>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</si>
  <si>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</si>
  <si>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</si>
  <si>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</si>
  <si>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</si>
  <si>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</si>
  <si>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</si>
  <si>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</si>
  <si>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</si>
  <si>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</si>
  <si>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</si>
  <si>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</si>
  <si>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</si>
  <si>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</si>
  <si>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</si>
  <si>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</si>
  <si>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</si>
  <si>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</si>
  <si>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</si>
  <si>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</si>
  <si>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</si>
  <si>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</si>
  <si>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</si>
  <si>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</si>
  <si>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</si>
  <si>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</si>
  <si>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</si>
  <si>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</si>
  <si>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</si>
  <si>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</si>
  <si>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</si>
  <si>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</si>
  <si>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</si>
  <si>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</si>
  <si>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</si>
  <si>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</si>
  <si>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</si>
  <si>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</si>
  <si>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</si>
  <si>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</si>
  <si>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</si>
  <si>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</si>
  <si>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</si>
  <si>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</si>
  <si>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</si>
  <si>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</si>
  <si>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</si>
  <si>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</si>
  <si>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</si>
  <si>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</si>
  <si>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</si>
  <si>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</si>
  <si>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</si>
  <si>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</si>
  <si>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</si>
  <si>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</si>
  <si>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</si>
  <si>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</si>
  <si>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</si>
  <si>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</si>
  <si>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</si>
  <si>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</si>
  <si>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</si>
  <si>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</si>
  <si>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</si>
  <si>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</si>
  <si>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</si>
  <si>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</si>
  <si>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</si>
  <si>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</si>
  <si>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</si>
  <si>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</si>
  <si>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</si>
  <si>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</si>
  <si>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</si>
  <si>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</si>
  <si>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</si>
  <si>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</si>
  <si>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</si>
  <si>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</si>
  <si>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</si>
  <si>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</si>
  <si>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</si>
  <si>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</si>
  <si>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</si>
  <si>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</si>
  <si>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</si>
  <si>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</si>
  <si>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</si>
  <si>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</si>
  <si>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</si>
  <si>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</si>
  <si>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</si>
  <si>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</si>
  <si>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</si>
  <si>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</si>
  <si>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</si>
  <si>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</si>
  <si>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</si>
  <si>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</si>
  <si>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</si>
  <si>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</si>
  <si>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</si>
  <si>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</si>
  <si>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</si>
  <si>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</si>
  <si>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</si>
  <si>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</si>
  <si>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</si>
  <si>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</si>
  <si>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</si>
  <si>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</si>
  <si>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</si>
  <si>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</si>
  <si>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</si>
  <si>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</si>
  <si>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</si>
  <si>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</si>
  <si>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</si>
  <si>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</si>
  <si>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</si>
  <si>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</si>
  <si>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</si>
  <si>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</si>
  <si>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</si>
  <si>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</si>
  <si>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</si>
  <si>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</si>
  <si>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</si>
  <si>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</si>
  <si>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</si>
  <si>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</si>
  <si>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</si>
  <si>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</si>
  <si>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</si>
  <si>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</si>
  <si>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</si>
  <si>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</si>
  <si>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</si>
  <si>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</si>
  <si>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</si>
  <si>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</si>
  <si>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</si>
  <si>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</si>
  <si>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</si>
  <si>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</si>
  <si>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</si>
  <si>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</si>
  <si>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</si>
  <si>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</si>
  <si>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</si>
  <si>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</si>
  <si>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</si>
  <si>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</si>
  <si>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</si>
  <si>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</si>
  <si>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</si>
  <si>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</si>
  <si>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</si>
  <si>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</si>
  <si>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</si>
  <si>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</si>
  <si>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</si>
  <si>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</si>
  <si>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</si>
  <si>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</si>
  <si>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</si>
  <si>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</si>
  <si>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</si>
  <si>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</si>
  <si>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</si>
  <si>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</si>
  <si>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</si>
  <si>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</si>
  <si>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</si>
  <si>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</si>
  <si>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</si>
  <si>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</si>
  <si>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</si>
  <si>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</si>
  <si>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</si>
  <si>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</si>
  <si>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</si>
  <si>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</si>
  <si>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</si>
  <si>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</si>
  <si>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</si>
  <si>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</si>
  <si>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</si>
  <si>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</si>
  <si>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</si>
  <si>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</si>
  <si>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</si>
  <si>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</si>
  <si>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</si>
  <si>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</si>
  <si>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</si>
  <si>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</si>
  <si>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</si>
  <si>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</si>
  <si>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</si>
  <si>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</si>
  <si>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</si>
  <si>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</si>
  <si>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</si>
  <si>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</si>
  <si>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</si>
  <si>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</si>
  <si>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</si>
  <si>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</si>
  <si>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</si>
  <si>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</si>
  <si>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</si>
  <si>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</si>
  <si>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</si>
  <si>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</si>
  <si>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</si>
  <si>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</si>
  <si>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</si>
  <si>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</si>
  <si>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</si>
  <si>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</si>
  <si>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</si>
  <si>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</si>
  <si>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</si>
  <si>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</si>
  <si>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</si>
  <si>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</si>
  <si>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</si>
  <si>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</si>
  <si>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</si>
  <si>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</si>
  <si>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</si>
  <si>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</si>
  <si>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</si>
  <si>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</si>
  <si>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</si>
  <si>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</si>
  <si>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</si>
  <si>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</si>
  <si>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</si>
  <si>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</si>
  <si>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</si>
  <si>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</si>
  <si>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</si>
  <si>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</si>
  <si>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</si>
  <si>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</si>
  <si>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</si>
  <si>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</si>
  <si>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</si>
  <si>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</si>
  <si>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</si>
  <si>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</si>
  <si>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</si>
  <si>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</si>
  <si>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</si>
  <si>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</si>
  <si>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</si>
  <si>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</si>
  <si>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</si>
  <si>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</si>
  <si>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</si>
  <si>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</si>
  <si>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</si>
  <si>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</si>
  <si>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</si>
  <si>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</si>
  <si>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</si>
  <si>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</si>
  <si>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</si>
  <si>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</si>
  <si>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</si>
  <si>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</si>
  <si>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</si>
  <si>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</si>
  <si>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</si>
  <si>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</si>
  <si>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</si>
  <si>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</si>
  <si>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</si>
  <si>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</si>
  <si>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</si>
  <si>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</si>
  <si>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</si>
  <si>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</si>
  <si>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</si>
  <si>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</si>
  <si>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</si>
  <si>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</si>
  <si>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</si>
  <si>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</si>
  <si>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</si>
  <si>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</si>
  <si>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</si>
  <si>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</si>
  <si>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</si>
  <si>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</si>
  <si>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</si>
  <si>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</si>
  <si>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</si>
  <si>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</si>
  <si>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</si>
  <si>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</si>
  <si>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</si>
  <si>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</si>
  <si>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</si>
  <si>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</si>
  <si>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</si>
  <si>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</si>
  <si>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</si>
  <si>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</si>
  <si>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</si>
  <si>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</si>
  <si>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</si>
  <si>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</si>
  <si>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</si>
  <si>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</si>
  <si>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</si>
  <si>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</si>
  <si>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</si>
  <si>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</si>
  <si>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</si>
  <si>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</si>
  <si>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</si>
  <si>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</si>
  <si>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</si>
  <si>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</si>
  <si>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</si>
  <si>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</si>
  <si>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</si>
  <si>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</si>
  <si>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</si>
  <si>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</si>
  <si>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</si>
  <si>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</si>
  <si>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</si>
  <si>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</si>
  <si>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</si>
  <si>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</si>
  <si>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</si>
  <si>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</si>
  <si>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</si>
  <si>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</si>
  <si>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</si>
  <si>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</si>
  <si>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</si>
  <si>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</si>
  <si>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</si>
  <si>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</si>
  <si>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</si>
  <si>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</si>
  <si>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</si>
  <si>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</si>
  <si>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</si>
  <si>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</si>
  <si>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</si>
  <si>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</si>
  <si>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</si>
  <si>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</si>
  <si>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</si>
  <si>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</si>
  <si>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</si>
  <si>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</si>
  <si>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</si>
  <si>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</si>
  <si>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</si>
  <si>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</si>
  <si>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</si>
  <si>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</si>
  <si>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</si>
  <si>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</si>
  <si>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</si>
  <si>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</si>
  <si>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</si>
  <si>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</si>
  <si>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</si>
  <si>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</si>
  <si>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</si>
  <si>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</si>
  <si>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</si>
  <si>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</si>
  <si>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</si>
  <si>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</si>
  <si>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</si>
  <si>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</si>
  <si>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</si>
  <si>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</si>
  <si>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</si>
  <si>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</si>
  <si>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</si>
  <si>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</si>
  <si>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</si>
  <si>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</si>
  <si>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</si>
  <si>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</si>
  <si>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</si>
  <si>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</si>
  <si>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</si>
  <si>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</si>
  <si>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</si>
  <si>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</si>
  <si>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</si>
  <si>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</si>
  <si>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</si>
  <si>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</si>
  <si>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</si>
  <si>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</si>
  <si>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</si>
  <si>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</si>
  <si>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</si>
  <si>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</si>
  <si>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</si>
  <si>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</si>
  <si>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</si>
  <si>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</si>
  <si>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</si>
  <si>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</si>
  <si>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</si>
  <si>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</si>
  <si>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</si>
  <si>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</si>
  <si>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</si>
  <si>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</si>
  <si>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</si>
  <si>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</si>
  <si>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</si>
  <si>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</si>
  <si>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</si>
  <si>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</si>
  <si>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</si>
  <si>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</si>
  <si>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</si>
  <si>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</si>
  <si>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</si>
  <si>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</si>
  <si>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</si>
  <si>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</si>
  <si>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</si>
  <si>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</si>
  <si>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</si>
  <si>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</si>
  <si>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</si>
  <si>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</si>
  <si>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</si>
  <si>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</si>
  <si>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</si>
  <si>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</si>
  <si>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</si>
  <si>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</si>
  <si>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</si>
  <si>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</si>
  <si>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</si>
  <si>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</si>
  <si>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</si>
  <si>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</si>
  <si>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</si>
  <si>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</si>
  <si>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</si>
  <si>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</si>
  <si>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</si>
  <si>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</si>
  <si>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</si>
  <si>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</si>
  <si>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</si>
  <si>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</si>
  <si>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</si>
  <si>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</si>
  <si>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</si>
  <si>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</si>
  <si>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</si>
  <si>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</si>
  <si>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</si>
  <si>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</si>
  <si>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</si>
  <si>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</si>
  <si>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</si>
  <si>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</si>
  <si>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</si>
  <si>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</si>
  <si>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</si>
  <si>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</si>
  <si>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</si>
  <si>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</si>
  <si>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</si>
  <si>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</si>
  <si>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</si>
  <si>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</si>
  <si>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</si>
  <si>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</si>
  <si>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</si>
  <si>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</si>
  <si>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</si>
  <si>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</si>
  <si>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</si>
  <si>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</si>
  <si>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</si>
  <si>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</si>
  <si>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</si>
  <si>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</si>
  <si>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</si>
  <si>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</si>
  <si>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</si>
  <si>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</si>
  <si>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</si>
  <si>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</si>
  <si>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</si>
  <si>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</si>
  <si>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</si>
  <si>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</si>
  <si>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</si>
  <si>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</si>
  <si>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</si>
  <si>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</si>
  <si>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</si>
  <si>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</si>
  <si>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</si>
  <si>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</si>
  <si>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</si>
  <si>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</si>
  <si>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</si>
  <si>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</si>
  <si>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</si>
  <si>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</si>
  <si>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</si>
  <si>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</si>
  <si>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</si>
  <si>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</si>
  <si>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</si>
  <si>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</si>
  <si>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</si>
  <si>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</si>
  <si>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</si>
  <si>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</si>
  <si>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</si>
  <si>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</si>
  <si>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</si>
  <si>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</si>
  <si>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</si>
  <si>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</si>
  <si>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</si>
  <si>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</si>
  <si>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</si>
  <si>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</si>
  <si>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</si>
  <si>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</si>
  <si>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</si>
  <si>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</si>
  <si>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</si>
  <si>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</si>
  <si>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</si>
  <si>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</si>
  <si>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</si>
  <si>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</si>
  <si>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</si>
  <si>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</si>
  <si>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</si>
  <si>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</si>
  <si>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</si>
  <si>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</si>
  <si>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</si>
  <si>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</si>
  <si>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</si>
  <si>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</si>
  <si>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</si>
  <si>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</si>
  <si>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</si>
  <si>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</si>
  <si>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</si>
  <si>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</si>
  <si>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</si>
  <si>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</si>
  <si>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</si>
  <si>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</si>
  <si>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</si>
  <si>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</si>
  <si>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</si>
  <si>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</si>
  <si>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</si>
  <si>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</si>
  <si>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</si>
  <si>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</si>
  <si>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</si>
  <si>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</si>
  <si>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</si>
  <si>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</si>
  <si>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</si>
  <si>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</si>
  <si>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</si>
  <si>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</si>
  <si>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</si>
  <si>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</si>
  <si>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</si>
  <si>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</si>
  <si>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</si>
  <si>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</si>
  <si>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</si>
  <si>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</si>
  <si>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</si>
  <si>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</si>
  <si>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</si>
  <si>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</si>
  <si>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</si>
  <si>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</si>
  <si>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</si>
  <si>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</si>
  <si>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</si>
  <si>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</si>
  <si>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</si>
  <si>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</si>
  <si>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</si>
  <si>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</si>
  <si>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</si>
  <si>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</si>
  <si>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</si>
  <si>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</si>
  <si>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</si>
  <si>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</si>
  <si>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</si>
  <si>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</si>
  <si>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</si>
  <si>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</si>
  <si>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</si>
  <si>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</si>
  <si>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</si>
  <si>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</si>
  <si>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</si>
  <si>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</si>
  <si>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</si>
  <si>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</si>
  <si>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</si>
  <si>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</si>
  <si>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</si>
  <si>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</si>
  <si>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</si>
  <si>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</si>
  <si>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</si>
  <si>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</si>
  <si>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</si>
  <si>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</si>
  <si>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</si>
  <si>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</si>
  <si>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</si>
  <si>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</si>
  <si>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</si>
  <si>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</si>
  <si>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</si>
  <si>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</si>
  <si>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</si>
  <si>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</si>
  <si>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</si>
  <si>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</si>
  <si>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</si>
  <si>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</si>
  <si>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</si>
  <si>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</si>
  <si>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</si>
  <si>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</si>
  <si>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</si>
  <si>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</si>
  <si>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</si>
  <si>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</si>
  <si>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</si>
  <si>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</si>
  <si>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</si>
  <si>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</si>
  <si>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</si>
  <si>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</si>
  <si>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</si>
  <si>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</si>
  <si>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</si>
  <si>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</si>
  <si>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</si>
  <si>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</si>
  <si>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</si>
  <si>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</si>
  <si>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</si>
  <si>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</si>
  <si>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</si>
  <si>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</si>
  <si>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</si>
  <si>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</si>
  <si>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</si>
  <si>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</si>
  <si>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</si>
  <si>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</si>
  <si>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</si>
  <si>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</si>
  <si>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</si>
  <si>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</si>
  <si>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</si>
  <si>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</si>
  <si>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</si>
  <si>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</si>
  <si>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</si>
  <si>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</si>
  <si>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</si>
  <si>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</si>
  <si>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</si>
  <si>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</si>
  <si>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</si>
  <si>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</si>
  <si>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</si>
  <si>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</si>
  <si>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</si>
  <si>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</si>
  <si>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</si>
  <si>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</si>
  <si>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</si>
  <si>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</si>
  <si>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</si>
  <si>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</si>
  <si>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</si>
  <si>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</si>
  <si>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</si>
  <si>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</si>
  <si>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</si>
  <si>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</si>
  <si>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</si>
  <si>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</si>
  <si>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</si>
  <si>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</si>
  <si>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</si>
  <si>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</si>
  <si>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</si>
  <si>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</si>
  <si>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</si>
  <si>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</si>
  <si>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</si>
  <si>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</si>
  <si>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</si>
  <si>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</si>
  <si>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</si>
  <si>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</si>
  <si>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</si>
  <si>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</si>
  <si>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</si>
  <si>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</si>
  <si>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</si>
  <si>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</si>
  <si>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</si>
  <si>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</si>
  <si>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</si>
  <si>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</si>
  <si>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</si>
  <si>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</si>
  <si>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</si>
  <si>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</si>
  <si>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</si>
  <si>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</si>
  <si>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</si>
  <si>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</si>
  <si>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</si>
  <si>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</si>
  <si>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</si>
  <si>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</si>
  <si>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</si>
  <si>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</si>
  <si>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</si>
  <si>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</si>
  <si>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</si>
  <si>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</si>
  <si>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</si>
  <si>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</si>
  <si>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</si>
  <si>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</si>
  <si>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</si>
  <si>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</si>
  <si>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</si>
  <si>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</si>
  <si>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</si>
  <si>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</si>
  <si>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</si>
  <si>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</si>
  <si>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</si>
  <si>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</si>
  <si>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</si>
  <si>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</si>
  <si>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</si>
  <si>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</si>
  <si>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</si>
  <si>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</si>
  <si>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</si>
  <si>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</si>
  <si>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</si>
  <si>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</si>
  <si>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</si>
  <si>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</si>
  <si>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</si>
  <si>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</si>
  <si>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</si>
  <si>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</si>
  <si>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</si>
  <si>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</si>
  <si>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</si>
  <si>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</si>
  <si>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</si>
  <si>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</si>
  <si>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</si>
  <si>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</si>
  <si>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</si>
  <si>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</si>
  <si>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</si>
  <si>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</si>
  <si>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</si>
  <si>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</si>
  <si>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</si>
  <si>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</si>
  <si>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</si>
  <si>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</si>
  <si>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</si>
  <si>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</si>
  <si>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</si>
  <si>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</si>
  <si>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</si>
  <si>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</si>
  <si>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</si>
  <si>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</si>
  <si>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</si>
  <si>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</si>
  <si>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</si>
  <si>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</si>
  <si>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</si>
  <si>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</si>
  <si>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</si>
  <si>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</si>
  <si>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</si>
  <si>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</si>
  <si>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</si>
  <si>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</si>
  <si>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</si>
  <si>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</si>
  <si>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</si>
  <si>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</si>
  <si>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</si>
  <si>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</si>
  <si>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</si>
  <si>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</si>
  <si>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</si>
  <si>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</si>
  <si>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</si>
  <si>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</si>
  <si>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</si>
  <si>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</si>
  <si>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</si>
  <si>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</si>
  <si>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</si>
  <si>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</si>
  <si>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</si>
  <si>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</si>
  <si>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</si>
  <si>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</si>
  <si>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</si>
  <si>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</si>
  <si>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</si>
  <si>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</si>
  <si>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</si>
  <si>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</si>
  <si>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</si>
  <si>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</si>
  <si>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</si>
  <si>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</si>
  <si>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</si>
  <si>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</si>
  <si>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</si>
  <si>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</si>
  <si>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</si>
  <si>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</si>
  <si>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</si>
  <si>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</si>
  <si>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</si>
  <si>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</si>
  <si>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</si>
  <si>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</si>
  <si>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</si>
  <si>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</si>
  <si>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</si>
  <si>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</si>
  <si>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</si>
  <si>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</si>
  <si>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</si>
  <si>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</si>
  <si>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</si>
  <si>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</si>
  <si>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</si>
  <si>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</si>
  <si>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</si>
  <si>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</si>
  <si>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</si>
  <si>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</si>
  <si>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</si>
  <si>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</si>
  <si>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</si>
  <si>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</si>
  <si>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</si>
  <si>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</si>
  <si>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</si>
  <si>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</si>
  <si>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</si>
  <si>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</si>
  <si>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</si>
  <si>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</si>
  <si>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</si>
  <si>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</si>
  <si>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</si>
  <si>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</si>
  <si>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</si>
  <si>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</si>
  <si>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</si>
  <si>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</si>
  <si>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</si>
  <si>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</si>
  <si>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</si>
  <si>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</si>
  <si>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</si>
  <si>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</si>
  <si>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</si>
  <si>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</si>
  <si>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</si>
  <si>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</si>
  <si>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</si>
  <si>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</si>
  <si>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</si>
  <si>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</si>
  <si>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</si>
  <si>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</si>
  <si>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</si>
  <si>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</si>
  <si>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</si>
  <si>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</si>
  <si>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</si>
  <si>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</si>
  <si>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</si>
  <si>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</si>
  <si>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</si>
  <si>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</si>
  <si>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</si>
  <si>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</si>
  <si>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</si>
  <si>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</si>
  <si>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</si>
  <si>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</si>
  <si>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</si>
  <si>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</si>
  <si>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</si>
  <si>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</si>
  <si>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</si>
  <si>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</si>
  <si>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</si>
  <si>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</si>
  <si>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</si>
  <si>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</si>
  <si>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</si>
  <si>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</si>
  <si>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</si>
  <si>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</si>
  <si>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</si>
  <si>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</si>
  <si>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</si>
  <si>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</si>
  <si>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</si>
  <si>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</si>
  <si>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</si>
  <si>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</si>
  <si>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</si>
  <si>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</si>
  <si>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</si>
  <si>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</si>
  <si>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</si>
  <si>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</si>
  <si>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</si>
  <si>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</si>
  <si>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</si>
  <si>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</si>
  <si>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</si>
  <si>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</si>
  <si>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</si>
  <si>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</si>
  <si>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</si>
  <si>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</si>
  <si>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</si>
  <si>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</si>
  <si>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</si>
  <si>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</si>
  <si>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</si>
  <si>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</si>
  <si>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</si>
  <si>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</si>
  <si>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</si>
  <si>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</si>
  <si>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</si>
  <si>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</si>
  <si>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</si>
  <si>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</si>
  <si>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</si>
  <si>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</si>
  <si>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</si>
  <si>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</si>
  <si>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</si>
  <si>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</si>
  <si>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</si>
  <si>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</si>
  <si>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</si>
  <si>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</si>
  <si>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</si>
  <si>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</si>
  <si>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</si>
  <si>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</si>
  <si>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</si>
  <si>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</si>
  <si>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</si>
  <si>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</si>
  <si>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</si>
  <si>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</si>
  <si>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</si>
  <si>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</si>
  <si>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</si>
  <si>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</si>
  <si>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</si>
  <si>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</si>
  <si>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</si>
  <si>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</si>
  <si>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</si>
  <si>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</si>
  <si>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</si>
  <si>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</si>
  <si>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</si>
  <si>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</si>
  <si>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</si>
  <si>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</si>
  <si>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</si>
  <si>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</si>
  <si>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</si>
  <si>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</si>
  <si>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</si>
  <si>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</si>
  <si>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</si>
  <si>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</si>
  <si>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</si>
  <si>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</si>
  <si>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</si>
  <si>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</si>
  <si>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</si>
  <si>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</si>
  <si>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</si>
  <si>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</si>
  <si>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</si>
  <si>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</si>
  <si>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</si>
  <si>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</si>
  <si>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</si>
  <si>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</si>
  <si>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</si>
  <si>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</si>
  <si>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</si>
  <si>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</si>
  <si>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</si>
  <si>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</si>
  <si>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</si>
  <si>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</si>
  <si>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</si>
  <si>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</si>
  <si>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</si>
  <si>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</si>
  <si>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</si>
  <si>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</si>
  <si>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</si>
  <si>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</si>
  <si>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</si>
  <si>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</si>
  <si>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</si>
  <si>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</si>
  <si>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</si>
  <si>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</si>
  <si>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</si>
  <si>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</si>
  <si>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</si>
  <si>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</si>
  <si>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</si>
  <si>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</si>
  <si>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</si>
  <si>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</si>
  <si>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</si>
  <si>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</si>
  <si>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</si>
  <si>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</si>
  <si>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</si>
  <si>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</si>
  <si>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</si>
  <si>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</si>
  <si>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</si>
  <si>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</si>
  <si>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</si>
  <si>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</si>
  <si>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</si>
  <si>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</si>
  <si>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</si>
  <si>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</si>
  <si>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</si>
  <si>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</si>
  <si>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</si>
  <si>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</si>
  <si>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</si>
  <si>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</si>
  <si>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</si>
  <si>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</si>
  <si>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</si>
  <si>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</si>
  <si>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</si>
  <si>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</si>
  <si>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</si>
  <si>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</si>
  <si>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</si>
  <si>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</si>
  <si>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</si>
  <si>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</si>
  <si>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</si>
  <si>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</si>
  <si>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</si>
  <si>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</si>
  <si>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</si>
  <si>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</si>
  <si>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</si>
  <si>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</si>
  <si>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</si>
  <si>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</si>
  <si>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</si>
  <si>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</si>
  <si>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</si>
  <si>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</si>
  <si>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</si>
  <si>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</si>
  <si>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</si>
  <si>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</si>
  <si>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</si>
  <si>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</si>
  <si>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</si>
  <si>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</si>
  <si>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</si>
  <si>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</si>
  <si>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</si>
  <si>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</si>
  <si>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</si>
  <si>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</si>
  <si>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</si>
  <si>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</si>
  <si>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</si>
  <si>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</si>
  <si>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</si>
  <si>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</si>
  <si>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</si>
  <si>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</si>
  <si>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</si>
  <si>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</si>
  <si>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</si>
  <si>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</si>
  <si>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</si>
  <si>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</si>
  <si>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</si>
  <si>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</si>
  <si>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</si>
  <si>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</si>
  <si>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</si>
  <si>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</si>
  <si>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</si>
  <si>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</si>
  <si>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</si>
  <si>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</si>
  <si>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</si>
  <si>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</si>
  <si>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</si>
  <si>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</si>
  <si>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</si>
  <si>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</si>
  <si>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</si>
  <si>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</si>
  <si>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</si>
  <si>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</si>
  <si>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</si>
  <si>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</si>
  <si>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</si>
  <si>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</si>
  <si>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</si>
  <si>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</si>
  <si>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</si>
  <si>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</si>
  <si>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</si>
  <si>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</si>
  <si>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</si>
  <si>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</si>
  <si>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</si>
  <si>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</si>
  <si>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</si>
  <si>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</si>
  <si>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</si>
  <si>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</si>
  <si>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</si>
  <si>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</si>
  <si>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</si>
  <si>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</si>
  <si>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</si>
  <si>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</si>
  <si>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</si>
  <si>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</si>
  <si>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</si>
  <si>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</si>
  <si>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</si>
  <si>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</si>
  <si>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</si>
  <si>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</si>
  <si>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</si>
  <si>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</si>
  <si>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</si>
  <si>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</si>
  <si>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</si>
  <si>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</si>
  <si>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</si>
  <si>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</si>
  <si>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</si>
  <si>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</si>
  <si>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</si>
  <si>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</si>
  <si>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</si>
  <si>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</si>
  <si>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</si>
  <si>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</si>
  <si>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</si>
  <si>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</si>
  <si>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</si>
  <si>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</si>
  <si>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</si>
  <si>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</si>
  <si>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</si>
  <si>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</si>
  <si>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</si>
  <si>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</si>
  <si>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</si>
  <si>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</si>
  <si>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</si>
  <si>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</si>
  <si>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</si>
  <si>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</si>
  <si>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</si>
  <si>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</si>
  <si>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</si>
  <si>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</si>
  <si>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</si>
  <si>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</si>
  <si>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</si>
  <si>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</si>
  <si>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</si>
  <si>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</si>
  <si>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</si>
  <si>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</si>
  <si>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</si>
  <si>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</si>
  <si>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</si>
  <si>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</si>
  <si>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</si>
  <si>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</si>
  <si>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</si>
  <si>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</si>
  <si>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</si>
  <si>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</si>
  <si>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</si>
  <si>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</si>
  <si>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</si>
  <si>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</si>
  <si>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</si>
  <si>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</si>
  <si>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</si>
  <si>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</si>
  <si>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</si>
  <si>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</si>
  <si>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</si>
  <si>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</si>
  <si>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</si>
  <si>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</si>
  <si>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</si>
  <si>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</si>
  <si>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</si>
  <si>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</si>
  <si>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</si>
  <si>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</si>
  <si>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</si>
  <si>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</si>
  <si>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</si>
  <si>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</si>
  <si>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</si>
  <si>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</si>
  <si>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</si>
  <si>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</si>
  <si>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</si>
  <si>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</si>
  <si>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</si>
  <si>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</si>
  <si>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</si>
  <si>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</si>
  <si>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</si>
  <si>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</si>
  <si>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</si>
  <si>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</si>
  <si>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</si>
  <si>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</si>
  <si>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</si>
  <si>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</si>
  <si>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</si>
  <si>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</si>
  <si>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</si>
  <si>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</si>
  <si>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</si>
  <si>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</si>
  <si>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</si>
  <si>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</si>
  <si>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</si>
  <si>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</si>
  <si>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</si>
  <si>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</si>
  <si>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</si>
  <si>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</si>
  <si>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</si>
  <si>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</si>
  <si>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</si>
  <si>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</si>
  <si>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</si>
  <si>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</si>
  <si>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</si>
  <si>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</si>
  <si>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</si>
  <si>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</si>
  <si>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</si>
  <si>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</si>
  <si>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</si>
  <si>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</si>
  <si>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</si>
  <si>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</si>
  <si>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</si>
  <si>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</si>
  <si>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</si>
  <si>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</si>
  <si>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</si>
  <si>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</si>
  <si>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</si>
  <si>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</si>
  <si>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</si>
  <si>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</si>
  <si>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</si>
  <si>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</si>
  <si>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</si>
  <si>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</si>
  <si>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</si>
  <si>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</si>
  <si>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</si>
  <si>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</si>
  <si>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</si>
  <si>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</si>
  <si>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</si>
  <si>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</si>
  <si>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</si>
  <si>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</si>
  <si>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</si>
  <si>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</si>
  <si>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</si>
  <si>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</si>
  <si>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</si>
  <si>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</si>
  <si>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</si>
  <si>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</si>
  <si>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</si>
  <si>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</si>
  <si>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</si>
  <si>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</si>
  <si>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</si>
  <si>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</si>
  <si>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</si>
  <si>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</si>
  <si>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</si>
  <si>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</si>
  <si>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</si>
  <si>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</si>
  <si>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</si>
  <si>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</si>
  <si>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</si>
  <si>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</si>
  <si>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</si>
  <si>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</si>
  <si>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</si>
  <si>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</si>
  <si>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</si>
  <si>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</si>
  <si>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</si>
  <si>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</si>
  <si>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</si>
  <si>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</si>
  <si>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</si>
  <si>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</si>
  <si>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</si>
  <si>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</si>
  <si>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</si>
  <si>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</si>
  <si>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</si>
  <si>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</si>
  <si>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</si>
  <si>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</si>
  <si>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</si>
  <si>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</si>
  <si>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</si>
  <si>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</si>
  <si>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</si>
  <si>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</si>
  <si>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</si>
  <si>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</si>
  <si>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</si>
  <si>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</si>
  <si>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</si>
  <si>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</si>
  <si>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</si>
  <si>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</si>
  <si>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</si>
  <si>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</si>
  <si>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</si>
  <si>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</si>
  <si>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</si>
  <si>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</si>
  <si>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</si>
  <si>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</si>
  <si>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</si>
  <si>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</si>
  <si>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</si>
  <si>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</si>
  <si>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</si>
  <si>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</si>
  <si>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</si>
  <si>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</si>
  <si>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</si>
  <si>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</si>
  <si>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</si>
  <si>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</si>
  <si>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</si>
  <si>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</si>
  <si>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</si>
  <si>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</si>
  <si>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</si>
  <si>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</si>
  <si>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</si>
  <si>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</si>
  <si>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</si>
  <si>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</si>
  <si>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</si>
  <si>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</si>
  <si>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</si>
  <si>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</si>
  <si>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</si>
  <si>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</si>
  <si>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</si>
  <si>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</si>
  <si>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</si>
  <si>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</si>
  <si>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</si>
  <si>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</si>
  <si>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</si>
  <si>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</si>
  <si>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</si>
  <si>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</si>
  <si>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</si>
  <si>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</si>
  <si>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</si>
  <si>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</si>
  <si>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</si>
  <si>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</si>
  <si>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</si>
  <si>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</si>
  <si>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</si>
  <si>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</si>
  <si>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</si>
  <si>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</si>
  <si>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</si>
  <si>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</si>
  <si>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</si>
  <si>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</si>
  <si>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</si>
  <si>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</si>
  <si>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</si>
  <si>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</si>
  <si>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</si>
  <si>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</si>
  <si>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</si>
  <si>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</si>
  <si>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</si>
  <si>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</si>
  <si>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</si>
  <si>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</si>
  <si>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</si>
  <si>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</si>
  <si>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</si>
  <si>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</si>
  <si>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</si>
  <si>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</si>
  <si>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</si>
  <si>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</si>
  <si>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</si>
  <si>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</si>
  <si>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</si>
  <si>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</si>
  <si>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</si>
  <si>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</si>
  <si>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</si>
  <si>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</si>
  <si>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</si>
  <si>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</si>
  <si>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</si>
  <si>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</si>
  <si>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</si>
  <si>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</si>
  <si>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</si>
  <si>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</si>
  <si>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</si>
  <si>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</si>
  <si>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</si>
  <si>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</si>
  <si>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</si>
  <si>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</si>
  <si>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</si>
  <si>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</si>
  <si>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</si>
  <si>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</si>
  <si>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</si>
  <si>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</si>
  <si>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</si>
  <si>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</si>
  <si>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</si>
  <si>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</si>
  <si>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</si>
  <si>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</si>
  <si>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</si>
  <si>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</si>
  <si>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</si>
  <si>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</si>
  <si>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</si>
  <si>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</si>
  <si>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</si>
  <si>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</si>
  <si>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</si>
  <si>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</si>
  <si>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</si>
  <si>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</si>
  <si>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</si>
  <si>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</si>
  <si>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</si>
  <si>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</si>
  <si>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</si>
  <si>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</si>
  <si>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</si>
  <si>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</si>
  <si>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</si>
  <si>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</si>
  <si>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</si>
  <si>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</si>
  <si>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</si>
  <si>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</si>
  <si>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</si>
  <si>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</si>
  <si>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</si>
  <si>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</si>
  <si>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</si>
  <si>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</si>
  <si>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</si>
  <si>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</si>
  <si>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</si>
  <si>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</si>
  <si>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</si>
  <si>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</si>
  <si>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</si>
  <si>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</si>
  <si>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</si>
  <si>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</si>
  <si>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</si>
  <si>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</si>
  <si>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</si>
  <si>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</si>
  <si>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</si>
  <si>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</si>
  <si>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</si>
  <si>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</si>
  <si>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</si>
  <si>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</si>
  <si>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</si>
  <si>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</si>
  <si>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</si>
  <si>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</si>
  <si>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</si>
  <si>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</si>
  <si>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</si>
  <si>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</si>
  <si>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</si>
  <si>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</si>
  <si>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</si>
  <si>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</si>
  <si>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</si>
  <si>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</si>
  <si>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</si>
  <si>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</si>
  <si>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</si>
  <si>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</si>
  <si>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</si>
  <si>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</si>
  <si>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</si>
  <si>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</si>
  <si>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</si>
  <si>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</si>
  <si>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</si>
  <si>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</si>
  <si>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</si>
  <si>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</si>
  <si>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</si>
  <si>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</si>
  <si>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</si>
  <si>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</si>
  <si>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</si>
  <si>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</si>
  <si>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</si>
  <si>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</si>
  <si>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</si>
  <si>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</si>
  <si>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</si>
  <si>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</si>
  <si>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</si>
  <si>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</si>
  <si>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</si>
  <si>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</si>
  <si>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</si>
  <si>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</si>
  <si>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</si>
  <si>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</si>
  <si>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</si>
  <si>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</si>
  <si>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</si>
  <si>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</si>
  <si>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</si>
  <si>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</si>
  <si>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</si>
  <si>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</si>
  <si>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</si>
  <si>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</si>
  <si>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</si>
  <si>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</si>
  <si>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</si>
  <si>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</si>
  <si>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</si>
  <si>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</si>
  <si>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</si>
  <si>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</si>
  <si>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</si>
  <si>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</si>
  <si>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</si>
  <si>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</si>
  <si>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</si>
  <si>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</si>
  <si>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</si>
  <si>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</si>
  <si>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</si>
  <si>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</si>
  <si>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</si>
  <si>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</si>
  <si>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</si>
  <si>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</si>
  <si>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精装修</t>
  </si>
  <si>
    <t>精装修</t>
    <phoneticPr fontId="32" type="noConversion"/>
  </si>
  <si>
    <t>普通装修</t>
    <phoneticPr fontId="32" type="noConversion"/>
  </si>
  <si>
    <t>简单装修</t>
    <phoneticPr fontId="32" type="noConversion"/>
  </si>
  <si>
    <t>毛坯</t>
  </si>
  <si>
    <t>毛坯</t>
    <phoneticPr fontId="32" type="noConversion"/>
  </si>
  <si>
    <t>现房</t>
  </si>
  <si>
    <t>单价</t>
    <phoneticPr fontId="143" type="noConversion"/>
  </si>
  <si>
    <t>总价</t>
    <phoneticPr fontId="143" type="noConversion"/>
  </si>
  <si>
    <t>总价含装修</t>
    <phoneticPr fontId="143" type="noConversion"/>
  </si>
  <si>
    <t>单价含装修</t>
    <phoneticPr fontId="143" type="noConversion"/>
  </si>
  <si>
    <t>评估单价</t>
    <phoneticPr fontId="143" type="noConversion"/>
  </si>
  <si>
    <t>涨幅</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</si>
</sst>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9" borderId="0" xfId="0" applyFill="1" applyAlignment="1">
      <alignment horizontal="center" vertical="center"/>
    </xf>
    <xf numFmtId="10" fontId="0" fillId="0" borderId="0" xfId="0" applyNumberForma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8145;&#22323;/&#35810;&#20215;&#28145;&#22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收益法"/>
      <sheetName val="案例"/>
      <sheetName val="Sheet1"/>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1144.1500000000001</v>
          </cell>
          <cell r="D14">
            <v>2567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估价对象为房地产，为所有。根据《国有土地使用证》[]，估价对象（分摊）出让国有建设用地使用权面积为0平方米，建筑面积为5775.17平方米。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估价对象为房地产,属开发建设的，该项目尚在开发建设中。根据《国有土地使用证》[]，估价对象（分摊）出让国有建设用地使用权面积为0平方米，规划建筑面积为5775.17平方米。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2019年9月10日（评估专业人员实地查勘之日）</v>
      </c>
    </row>
    <row r="13" spans="1:2" s="1593" customFormat="1">
      <c r="A13" s="1591" t="s">
        <v>1223</v>
      </c>
      <c r="B13" s="1592" t="str">
        <f>'预评函-1'!A18</f>
        <v>本次估价的“房地产价值”是指在正常市场情况下，在价值时点2019年9月10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6530</v>
      </c>
    </row>
    <row r="21" spans="1:2" s="1593" customFormat="1">
      <c r="A21" s="1591" t="s">
        <v>1231</v>
      </c>
      <c r="B21" s="1592">
        <f ca="1">'预评函-2'!D7</f>
        <v>11307</v>
      </c>
    </row>
    <row r="22" spans="1:2" s="1593" customFormat="1">
      <c r="A22" s="1591" t="s">
        <v>1232</v>
      </c>
      <c r="B22" s="1592" t="str">
        <f ca="1">'预评函-2'!D6</f>
        <v>陆仟伍佰叁拾万元整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6530</v>
      </c>
    </row>
    <row r="31" spans="1:2" s="1593" customFormat="1">
      <c r="A31" s="1591" t="s">
        <v>1270</v>
      </c>
      <c r="B31" s="1592">
        <f ca="1">'预评函-2'!D15</f>
        <v>11307</v>
      </c>
    </row>
    <row r="32" spans="1:2" s="1593" customFormat="1">
      <c r="A32" s="1591" t="s">
        <v>1237</v>
      </c>
      <c r="B32" s="1592" t="str">
        <f ca="1">'预评函-2'!D14</f>
        <v>陆仟伍佰叁拾万元整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5775.17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3931</v>
      </c>
    </row>
    <row r="48" spans="1:2" s="1593" customFormat="1">
      <c r="A48" s="1591" t="s">
        <v>1243</v>
      </c>
      <c r="B48" s="1592">
        <f ca="1">'预评函-3'!E4</f>
        <v>6807</v>
      </c>
    </row>
    <row r="49" spans="1:2" s="1593" customFormat="1">
      <c r="A49" s="1591" t="s">
        <v>1244</v>
      </c>
      <c r="B49" s="1592" t="str">
        <f ca="1">'预评函-3'!D5</f>
        <v>叁仟玖佰叁拾壹万元整</v>
      </c>
    </row>
    <row r="50" spans="1:2" s="1593" customFormat="1">
      <c r="A50" s="1591" t="s">
        <v>1268</v>
      </c>
      <c r="B50" s="1592" t="str">
        <f>'预评函-3'!F2</f>
        <v>在建建筑物价值</v>
      </c>
    </row>
    <row r="51" spans="1:2" s="1593" customFormat="1">
      <c r="A51" s="1591" t="s">
        <v>1245</v>
      </c>
      <c r="B51" s="1592">
        <f ca="1">'预评函-3'!F4</f>
        <v>2599</v>
      </c>
    </row>
    <row r="52" spans="1:2" s="1593" customFormat="1">
      <c r="A52" s="1591" t="s">
        <v>1246</v>
      </c>
      <c r="B52" s="1592">
        <f ca="1">'预评函-3'!G4</f>
        <v>4500</v>
      </c>
    </row>
    <row r="53" spans="1:2" s="1593" customFormat="1">
      <c r="A53" s="1591" t="s">
        <v>1274</v>
      </c>
      <c r="B53" s="1592" t="str">
        <f ca="1">'预评函-3'!F5</f>
        <v>贰仟伍佰玖拾玖万元整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4" t="str">
        <f>IF(B10="北京市","北京市",C10)&amp;F10&amp;IF(结果表!G1="在建","出让国有建设用地使用权及在建建筑物",IF(结果表!G1="土地","出让国有建设用地使用权",))&amp;B9&amp;"预评估"</f>
        <v>预评估</v>
      </c>
      <c r="C1" s="3015"/>
      <c r="D1" s="3015"/>
      <c r="E1" s="3015"/>
      <c r="F1" s="3015"/>
      <c r="G1" s="3015"/>
      <c r="H1" s="3015"/>
      <c r="I1" s="301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v>43718</v>
      </c>
      <c r="C3" s="2036" t="s">
        <v>1773</v>
      </c>
      <c r="D3" s="2035">
        <f>B3</f>
        <v>43718</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17"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18"/>
      <c r="E9" s="2058"/>
      <c r="F9" s="2060"/>
      <c r="G9" s="2061"/>
      <c r="H9" s="2061"/>
      <c r="I9" s="2061"/>
      <c r="J9" s="2041"/>
      <c r="K9" s="2053"/>
      <c r="L9" s="2027"/>
      <c r="M9" s="2027"/>
      <c r="N9" s="2028"/>
      <c r="O9" s="2029"/>
      <c r="P9" s="2028"/>
      <c r="Q9" s="2028"/>
      <c r="R9" s="2028"/>
    </row>
    <row r="10" spans="1:19" ht="18" customHeight="1" thickTop="1">
      <c r="A10" s="2062" t="s">
        <v>1781</v>
      </c>
      <c r="B10" s="2063" t="s">
        <v>3056</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57534</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37.85</v>
      </c>
      <c r="J15" s="2041"/>
      <c r="K15" s="2082"/>
      <c r="L15" s="2083"/>
      <c r="M15" s="2083"/>
      <c r="N15" s="2084"/>
      <c r="O15" s="2083"/>
      <c r="P15" s="2084"/>
      <c r="Q15" s="2028"/>
      <c r="R15" s="2028"/>
    </row>
    <row r="16" spans="1:19" ht="30.75" customHeight="1">
      <c r="A16" s="2065" t="s">
        <v>1795</v>
      </c>
      <c r="B16" s="3024"/>
      <c r="C16" s="3025"/>
      <c r="D16" s="3026"/>
      <c r="E16" s="2085" t="s">
        <v>1796</v>
      </c>
      <c r="F16" s="3027"/>
      <c r="G16" s="3028"/>
      <c r="H16" s="3028"/>
      <c r="I16" s="3029"/>
      <c r="J16" s="2028"/>
      <c r="K16" s="2082"/>
      <c r="L16" s="2083"/>
      <c r="M16" s="2083"/>
      <c r="N16" s="2084"/>
      <c r="O16" s="2083"/>
      <c r="P16" s="2084"/>
      <c r="Q16" s="2028"/>
      <c r="R16" s="2028"/>
    </row>
    <row r="17" spans="1:22" ht="18" customHeight="1">
      <c r="A17" s="2086" t="s">
        <v>1797</v>
      </c>
      <c r="B17" s="2034" t="s">
        <v>1798</v>
      </c>
      <c r="C17" s="1054">
        <f>'数据-汇总表'!E3</f>
        <v>5775.17</v>
      </c>
      <c r="D17" s="2087" t="s">
        <v>1799</v>
      </c>
      <c r="E17" s="3030" t="s">
        <v>1800</v>
      </c>
      <c r="F17" s="3031"/>
      <c r="G17" s="3031"/>
      <c r="H17" s="3031"/>
      <c r="I17" s="3032"/>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33" t="s">
        <v>1803</v>
      </c>
      <c r="F18" s="3034"/>
      <c r="G18" s="3034"/>
      <c r="H18" s="3034"/>
      <c r="I18" s="3035"/>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20" t="s">
        <v>1808</v>
      </c>
      <c r="C20" s="3021"/>
      <c r="D20" s="3022" t="s">
        <v>1809</v>
      </c>
      <c r="E20" s="3023"/>
      <c r="F20" s="2097" t="s">
        <v>1810</v>
      </c>
      <c r="G20" s="2041"/>
      <c r="H20" s="2041"/>
      <c r="I20" s="2041"/>
      <c r="J20" s="2041"/>
      <c r="K20" s="30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7"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7"/>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7"/>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8"/>
      <c r="B30" s="2034" t="s">
        <v>1827</v>
      </c>
      <c r="C30" s="3009"/>
      <c r="D30" s="301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1"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06" t="s">
        <v>1837</v>
      </c>
      <c r="T34" s="2134" t="str">
        <f>NUMBERSTRING(7-K34,1)&amp;"通"</f>
        <v>七通</v>
      </c>
      <c r="U34" s="2028"/>
      <c r="V34" s="2028"/>
    </row>
    <row r="35" spans="1:22" ht="18" customHeight="1">
      <c r="A35" s="2135"/>
      <c r="B35" s="3013" t="s">
        <v>1838</v>
      </c>
      <c r="C35" s="3013"/>
      <c r="D35" s="3013"/>
      <c r="E35" s="301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0" sqref="H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5775.17</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5775.17</v>
      </c>
      <c r="H5" s="16">
        <f t="shared" ref="H5:AT5" si="0">SUM(H13:H656)</f>
        <v>5775.17</v>
      </c>
      <c r="I5" s="16">
        <f t="shared" si="0"/>
        <v>5775.17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5775.17</v>
      </c>
      <c r="BA5" s="18">
        <f t="shared" si="1"/>
        <v>5775.17</v>
      </c>
      <c r="BB5" s="18">
        <f t="shared" si="1"/>
        <v>5775.17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3059</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3060</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3061</v>
      </c>
      <c r="E13" s="16">
        <f>IF($C$3="是",ROUND($A$3*G13/$B$3,2),ROUND($A$3*(G13-AT13)/$B$3,2))</f>
        <v>0</v>
      </c>
      <c r="F13" s="32"/>
      <c r="G13" s="33">
        <f>H13+AC13+AT13</f>
        <v>5775.17</v>
      </c>
      <c r="H13" s="20">
        <f>SUMIF(I$12:AB$12,"总值",I13:AB13)</f>
        <v>5775.17</v>
      </c>
      <c r="I13" s="2214">
        <v>5775.17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5775.17</v>
      </c>
      <c r="BA13" s="16">
        <f>SUM(BB13:BK13)</f>
        <v>5775.17</v>
      </c>
      <c r="BB13" s="16">
        <f>IF($D13="是",I13-J13,0)</f>
        <v>5775.17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7" t="s">
        <v>1934</v>
      </c>
      <c r="B2" s="3047"/>
      <c r="C2" s="3047"/>
      <c r="D2" s="967" t="s">
        <v>1910</v>
      </c>
      <c r="E2" s="2227" t="s">
        <v>1911</v>
      </c>
      <c r="F2" s="1392"/>
      <c r="G2" s="2228"/>
      <c r="H2" s="2229"/>
      <c r="I2" s="2230" t="s">
        <v>1935</v>
      </c>
      <c r="J2" s="1392"/>
      <c r="K2" s="1392"/>
      <c r="L2" s="1392"/>
      <c r="M2" s="1392"/>
      <c r="N2" s="1427"/>
      <c r="O2" s="1392"/>
      <c r="P2" s="1392"/>
    </row>
    <row r="3" spans="1:16" ht="15.75" thickBot="1">
      <c r="A3" s="3048" t="s">
        <v>1908</v>
      </c>
      <c r="B3" s="3048"/>
      <c r="C3" s="3048"/>
      <c r="D3" s="46">
        <f>'数据-基础表'!AY6</f>
        <v>0</v>
      </c>
      <c r="E3" s="46">
        <f>'数据-基础表'!AZ5</f>
        <v>5775.17</v>
      </c>
      <c r="F3" s="1392"/>
      <c r="G3" s="1399"/>
      <c r="H3" s="1247" t="s">
        <v>1909</v>
      </c>
      <c r="I3" s="55" t="e">
        <f>ROUND('数据-基础表'!B3/'数据-基础表'!A3,2)</f>
        <v>#DIV/0!</v>
      </c>
      <c r="J3" s="1392"/>
      <c r="K3" s="1392"/>
      <c r="L3" s="1392"/>
      <c r="M3" s="1392"/>
      <c r="N3" s="1427"/>
      <c r="O3" s="1392"/>
      <c r="P3" s="1392"/>
    </row>
    <row r="4" spans="1:16" ht="15">
      <c r="A4" s="3049"/>
      <c r="B4" s="3050"/>
      <c r="C4" s="3051"/>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2" t="s">
        <v>1913</v>
      </c>
      <c r="C5" s="3052"/>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2" t="s">
        <v>1914</v>
      </c>
      <c r="C6" s="3052"/>
      <c r="D6" s="48">
        <f>ROUND($D$3*E6/$E$3,2)</f>
        <v>0</v>
      </c>
      <c r="E6" s="49">
        <f>E3-E5</f>
        <v>5775.17</v>
      </c>
      <c r="F6" s="1392"/>
      <c r="G6" s="2235" t="s">
        <v>1915</v>
      </c>
      <c r="H6" s="1399" t="s">
        <v>1916</v>
      </c>
      <c r="I6" s="939" t="e">
        <f>ROUND(F31/D31,2)</f>
        <v>#DIV/0!</v>
      </c>
      <c r="J6" s="1392"/>
      <c r="K6" s="1392"/>
      <c r="L6" s="1392"/>
      <c r="M6" s="1392"/>
      <c r="N6" s="1392"/>
      <c r="O6" s="1392"/>
      <c r="P6" s="1392"/>
    </row>
    <row r="7" spans="1:16" ht="15">
      <c r="A7" s="3044"/>
      <c r="B7" s="3045"/>
      <c r="C7" s="3046"/>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5775.17</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5775.17</v>
      </c>
      <c r="F16" s="1392"/>
      <c r="G16" s="2237"/>
      <c r="H16" s="2240" t="s">
        <v>1938</v>
      </c>
      <c r="I16" s="2241"/>
      <c r="J16" s="1392"/>
      <c r="K16" s="3041" t="s">
        <v>1938</v>
      </c>
      <c r="L16" s="3042"/>
      <c r="M16" s="3042"/>
      <c r="N16" s="3042"/>
      <c r="O16" s="3042"/>
      <c r="P16" s="3043"/>
    </row>
    <row r="17" spans="1:19" ht="15">
      <c r="A17" s="2242" t="s">
        <v>1939</v>
      </c>
      <c r="B17" s="2243" t="s">
        <v>1940</v>
      </c>
      <c r="C17" s="2244" t="s">
        <v>1941</v>
      </c>
      <c r="D17" s="2245" t="s">
        <v>1929</v>
      </c>
      <c r="E17" s="2246" t="s">
        <v>1930</v>
      </c>
      <c r="F17" s="2247"/>
      <c r="G17" s="2248"/>
      <c r="H17" s="2249" t="s">
        <v>1942</v>
      </c>
      <c r="I17" s="2250" t="s">
        <v>1927</v>
      </c>
      <c r="J17" s="1392"/>
      <c r="K17" s="3038" t="s">
        <v>1943</v>
      </c>
      <c r="L17" s="3039"/>
      <c r="M17" s="3040"/>
      <c r="N17" s="3038" t="s">
        <v>1944</v>
      </c>
      <c r="O17" s="3039"/>
      <c r="P17" s="3040"/>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6" t="s">
        <v>3063</v>
      </c>
      <c r="D19" s="48">
        <f>ROUND($D$3*E19/$E$3,2)</f>
        <v>0</v>
      </c>
      <c r="E19" s="56">
        <f t="shared" ref="E19:E26" si="1">SUM(F19:G19)</f>
        <v>5775.17</v>
      </c>
      <c r="F19" s="57">
        <f>'数据-基础表'!I13</f>
        <v>5775.17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5775.17</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5775.17</v>
      </c>
      <c r="F27" s="1393">
        <f>IF(SUM(F19:F26)=E8,SUM(F19:F26),"地上面积有误")</f>
        <v>5775.17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5775.17</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5775.17</v>
      </c>
      <c r="F31" s="730">
        <f>F27+F30</f>
        <v>5775.17</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6">
      <c r="D33" s="2271"/>
    </row>
    <row r="34" spans="4:6">
      <c r="F34" s="2226">
        <f>700/F19*10000</f>
        <v>1212.0855316813186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43718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工业用房</v>
      </c>
      <c r="B6" s="2307" t="str">
        <f>IF(A6=0,"","经营性")</f>
        <v>经营性</v>
      </c>
      <c r="C6" s="2308" t="s">
        <v>6</v>
      </c>
      <c r="D6" s="1051">
        <f>SUMIF(项目基本情况!D$12:I$12,C6,项目基本情况!D$14:I$14)</f>
        <v>50</v>
      </c>
      <c r="E6" s="1048">
        <f>IF(B6="","",SUMIF(项目基本情况!D$12:I$12,C6,项目基本情况!D$13:I$13))</f>
        <v>57534</v>
      </c>
      <c r="F6" s="72">
        <f>SUMIF(项目基本情况!D$12:I$12,C6,项目基本情况!D$15:I$15)</f>
        <v>37.85</v>
      </c>
      <c r="G6" s="73">
        <f>IF(ISERROR(ROUND(POWER(1+H6,D6-F6)*(POWER(1+H6,F6)-1)/(POWER(1+H6,D6)-1),3)),0,ROUND(POWER(1+H6,D6-F6)*(POWER(1+H6,F6)-1)/(POWER(1+H6,D6)-1),3))</f>
        <v>0.91200000000000003</v>
      </c>
      <c r="H6" s="802">
        <v>4.4999999999999998E-2</v>
      </c>
      <c r="I6" s="802">
        <v>5.5E-2</v>
      </c>
      <c r="J6" s="74">
        <v>8.5000000000000006E-2</v>
      </c>
      <c r="K6" s="1251">
        <f>SUMIF('数据-汇总表'!C$19:C$33,A6,'数据-汇总表'!E$19:E$33)</f>
        <v>5775.17</v>
      </c>
      <c r="L6" s="803">
        <v>3200</v>
      </c>
      <c r="M6" s="75">
        <f t="shared" ref="M6:M14" si="0">ROUND(K6*L6/10000,0)</f>
        <v>1848</v>
      </c>
      <c r="N6" s="801">
        <v>0.95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3.61</v>
      </c>
      <c r="V6" s="79">
        <v>0</v>
      </c>
      <c r="W6" s="79">
        <v>0</v>
      </c>
      <c r="X6" s="1261"/>
      <c r="Y6" s="80">
        <f>N6</f>
        <v>0.95</v>
      </c>
      <c r="Z6" s="81">
        <f>V18</f>
        <v>3.31</v>
      </c>
      <c r="AA6" s="74">
        <v>0.02</v>
      </c>
      <c r="AB6" s="74">
        <v>0.1</v>
      </c>
      <c r="AC6" s="1261"/>
      <c r="AD6" s="82">
        <v>0.87</v>
      </c>
      <c r="AE6" s="1262">
        <f ca="1">IF(AN6="",0,SUMIF(INDIRECT("'"&amp;AN6&amp;"'"&amp;"!E:E"),$AE$5,INDIRECT("'"&amp;AN6&amp;"'"&amp;"!F:F")))</f>
        <v>37.85</v>
      </c>
      <c r="AF6" s="1804">
        <v>4.97</v>
      </c>
      <c r="AG6" s="147">
        <f ca="1">IF(AF6="",0,AE6-AF6)</f>
        <v>32.880000000000003</v>
      </c>
      <c r="AH6" s="83"/>
      <c r="AI6" s="85">
        <v>365</v>
      </c>
      <c r="AJ6" s="86"/>
      <c r="AK6" s="87">
        <v>1.4999999999999999E-2</v>
      </c>
      <c r="AL6" s="88">
        <v>1.5E-3</v>
      </c>
      <c r="AM6" s="89">
        <v>0.02</v>
      </c>
      <c r="AN6" s="2309" t="s">
        <v>3067</v>
      </c>
      <c r="AO6" s="55">
        <f ca="1">SUMIF(INDIRECT("'"&amp;AN6&amp;"'"&amp;"!A:A"),"总价",INDIRECT("'"&amp;AN6&amp;"'"&amp;"!B:B"))</f>
        <v>9258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0.91200000000000003</v>
      </c>
      <c r="H16" s="99">
        <f>ROUND(SUMPRODUCT(H6:H13,K6:K13)/SUMPRODUCT((H6:H13&gt;0)*(K6:K13)),3)</f>
        <v>4.4999999999999998E-2</v>
      </c>
      <c r="I16" s="100"/>
      <c r="J16" s="100"/>
      <c r="K16" s="101">
        <f>SUM(K6:K15)</f>
        <v>5775.17</v>
      </c>
      <c r="L16" s="102">
        <f>ROUND(M16*10000/SUM(K6:K14),0)</f>
        <v>3200</v>
      </c>
      <c r="M16" s="102">
        <f>SUM(M6:M14)</f>
        <v>1848</v>
      </c>
      <c r="N16" s="103">
        <f>ROUND(SUMPRODUCT(M6:M14,N6:N14)/M16,3)</f>
        <v>0.95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f>55/60</f>
        <v>0.91666666666666663</v>
      </c>
      <c r="O18" s="1581"/>
      <c r="P18" s="1581"/>
      <c r="Q18" s="1581"/>
      <c r="R18" s="1581"/>
      <c r="S18" s="1581"/>
      <c r="T18" s="1581"/>
      <c r="U18" s="1581">
        <v>3</v>
      </c>
      <c r="V18" s="1581">
        <f>ROUND(U18*(1+AA6)^AF6,2)</f>
        <v>3.31</v>
      </c>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v>2016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200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3" t="s">
        <v>2079</v>
      </c>
      <c r="B1" s="3054"/>
      <c r="C1" s="3054"/>
      <c r="D1" s="3054"/>
      <c r="E1" s="3054"/>
      <c r="F1" s="3054"/>
      <c r="G1" s="305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68"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3"/>
      <c r="G8" s="1133"/>
      <c r="H8" s="2368"/>
      <c r="I8" s="2368"/>
      <c r="J8" s="2368"/>
      <c r="K8" s="2368"/>
      <c r="L8" s="2368"/>
      <c r="M8" s="2368"/>
      <c r="N8" s="2368"/>
      <c r="O8" s="2368"/>
      <c r="P8" s="2368"/>
      <c r="Q8" s="2368"/>
      <c r="R8" s="2368"/>
    </row>
    <row r="9" spans="1:29" ht="27">
      <c r="A9" s="431"/>
      <c r="B9" s="1795" t="s">
        <v>2100</v>
      </c>
      <c r="C9" s="2374" t="s">
        <v>2101</v>
      </c>
      <c r="D9" s="2371"/>
      <c r="E9" s="2377"/>
      <c r="F9" s="1133"/>
      <c r="G9" s="1133"/>
      <c r="H9" s="2368"/>
      <c r="I9" s="2368"/>
      <c r="J9" s="2368"/>
      <c r="K9" s="2368"/>
      <c r="L9" s="2368"/>
      <c r="M9" s="2368"/>
      <c r="N9" s="2368"/>
      <c r="O9" s="2368"/>
      <c r="P9" s="2368"/>
      <c r="Q9" s="2368"/>
      <c r="R9" s="2368"/>
    </row>
    <row r="10" spans="1:29" s="117" customFormat="1" ht="15.75" thickBot="1">
      <c r="A10" s="2381"/>
      <c r="B10" s="2382" t="s">
        <v>2102</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7" t="s">
        <v>2083</v>
      </c>
      <c r="C15" s="2403" t="str">
        <f>C3</f>
        <v>估价对象周边居住用地比例、居住小区规模和社区发展完善程度，综合评价居住社区成熟度一般</v>
      </c>
      <c r="D15" s="2371"/>
      <c r="E15" s="2404" t="s">
        <v>2107</v>
      </c>
      <c r="F15" s="1267"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69"/>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69"/>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69"/>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6919.32</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9097</v>
      </c>
      <c r="C5" s="1743">
        <f ca="1">ROUND(B5*10000/$B$1,0)</f>
        <v>13147</v>
      </c>
      <c r="D5" s="1743" t="e">
        <f ca="1">ROUND(B5*10000/$B$2,0)</f>
        <v>#DIV/0!</v>
      </c>
      <c r="E5" s="1742"/>
      <c r="F5" s="1740"/>
      <c r="G5" s="1740"/>
    </row>
    <row r="6" spans="1:10" ht="16.5">
      <c r="A6" s="1743" t="s">
        <v>1352</v>
      </c>
      <c r="B6" s="1743">
        <f ca="1">SUM(G14:G23)</f>
        <v>9097</v>
      </c>
      <c r="C6" s="1743">
        <f ca="1">ROUND(B6*10000/$B$1,0)</f>
        <v>13147</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5775.17</v>
      </c>
      <c r="C14" s="1741">
        <f>结果表!C118</f>
        <v>0</v>
      </c>
      <c r="D14" s="1741">
        <f ca="1">结果表!H118</f>
        <v>6530</v>
      </c>
      <c r="E14" s="1741">
        <f ca="1">ROUND(D14*10000/B14,0)</f>
        <v>11307</v>
      </c>
      <c r="F14" s="1741" t="e">
        <f ca="1">ROUND(D14*10000/C14,0)</f>
        <v>#DIV/0!</v>
      </c>
      <c r="G14" s="1741">
        <f ca="1">结果表!D122</f>
        <v>6530</v>
      </c>
      <c r="H14" s="1741" t="str">
        <f>结果表!D124</f>
        <v>——</v>
      </c>
      <c r="I14" s="1741" t="str">
        <f>结果表!D126</f>
        <v>——</v>
      </c>
      <c r="J14" s="1740"/>
    </row>
    <row r="15" spans="1:10" ht="16.5">
      <c r="A15" s="1739" t="s">
        <v>1345</v>
      </c>
      <c r="B15" s="1746">
        <f>[1]系统读取表!$B$14</f>
        <v>1144.1500000000001</v>
      </c>
      <c r="C15" s="1746"/>
      <c r="D15" s="1746">
        <f>[1]系统读取表!$D$14</f>
        <v>2567</v>
      </c>
      <c r="E15" s="1741">
        <f t="shared" ref="E15:E23" si="0">ROUND(D15*10000/B15,0)</f>
        <v>22436</v>
      </c>
      <c r="F15" s="1741" t="e">
        <f t="shared" ref="F15:F23" si="1">ROUND(D15*10000/C15,0)</f>
        <v>#DIV/0!</v>
      </c>
      <c r="G15" s="1747">
        <f>D15</f>
        <v>2567</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0" t="s">
        <v>3080</v>
      </c>
      <c r="H1" s="2422" t="str">
        <f>IF(G1="现房","——","估价对象范围")</f>
        <v>——</v>
      </c>
      <c r="I1" s="2423"/>
    </row>
    <row r="2" spans="1:12" ht="21.75" customHeight="1" thickBot="1">
      <c r="A2" s="3088" t="str">
        <f>项目基本情况!S2</f>
        <v>房地产</v>
      </c>
      <c r="B2" s="3089"/>
      <c r="C2" s="3089"/>
      <c r="D2" s="3089"/>
      <c r="E2" s="3089"/>
      <c r="F2" s="3089"/>
      <c r="G2" s="3089"/>
      <c r="H2" s="3089"/>
      <c r="I2" s="3090"/>
    </row>
    <row r="3" spans="1:12" ht="12.75">
      <c r="A3" s="3092" t="s">
        <v>2118</v>
      </c>
      <c r="B3" s="3093"/>
      <c r="C3" s="3093"/>
      <c r="D3" s="3093"/>
      <c r="E3" s="3093"/>
      <c r="F3" s="3093"/>
      <c r="G3" s="3093"/>
      <c r="H3" s="3093"/>
      <c r="I3" s="3093"/>
    </row>
    <row r="4" spans="1:12" ht="14.25">
      <c r="A4" s="2426" t="s">
        <v>2119</v>
      </c>
      <c r="B4" s="2427" t="s">
        <v>2120</v>
      </c>
      <c r="C4" s="2428" t="s">
        <v>3066</v>
      </c>
      <c r="D4" s="2428" t="s">
        <v>3067</v>
      </c>
      <c r="E4" s="3085" t="s">
        <v>2121</v>
      </c>
      <c r="F4" s="3086"/>
      <c r="G4" s="3086"/>
      <c r="H4" s="3086"/>
      <c r="I4" s="309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2122</v>
      </c>
      <c r="B5" s="3006">
        <v>25</v>
      </c>
      <c r="C5" s="3071"/>
      <c r="D5" s="3091"/>
      <c r="E5" s="140" t="s">
        <v>2123</v>
      </c>
      <c r="F5" s="2430"/>
      <c r="G5" s="2430"/>
      <c r="H5" s="2430"/>
      <c r="I5" s="1831"/>
    </row>
    <row r="6" spans="1:12" ht="12.75">
      <c r="A6" s="3068"/>
      <c r="B6" s="3006"/>
      <c r="C6" s="3072"/>
      <c r="D6" s="3091"/>
      <c r="E6" s="140" t="s">
        <v>2124</v>
      </c>
      <c r="F6" s="2430"/>
      <c r="G6" s="2430"/>
      <c r="H6" s="2430"/>
      <c r="I6" s="1831"/>
    </row>
    <row r="7" spans="1:12" ht="12.75">
      <c r="A7" s="3068"/>
      <c r="B7" s="3006"/>
      <c r="C7" s="3073"/>
      <c r="D7" s="3091"/>
      <c r="E7" s="140" t="s">
        <v>2125</v>
      </c>
      <c r="F7" s="2430"/>
      <c r="G7" s="2430"/>
      <c r="H7" s="2430"/>
      <c r="I7" s="1831"/>
    </row>
    <row r="8" spans="1:12" ht="12.75">
      <c r="A8" s="3068" t="s">
        <v>2126</v>
      </c>
      <c r="B8" s="3006">
        <v>15</v>
      </c>
      <c r="C8" s="3071"/>
      <c r="D8" s="3091"/>
      <c r="E8" s="140" t="s">
        <v>2127</v>
      </c>
      <c r="F8" s="2430"/>
      <c r="G8" s="2430"/>
      <c r="H8" s="2430"/>
      <c r="I8" s="1831"/>
    </row>
    <row r="9" spans="1:12" ht="12.75">
      <c r="A9" s="3068"/>
      <c r="B9" s="3006"/>
      <c r="C9" s="3073"/>
      <c r="D9" s="3091"/>
      <c r="E9" s="140" t="s">
        <v>2128</v>
      </c>
      <c r="F9" s="2430"/>
      <c r="G9" s="2430"/>
      <c r="H9" s="2430"/>
      <c r="I9" s="1831"/>
    </row>
    <row r="10" spans="1:12" ht="12.75">
      <c r="A10" s="3068" t="s">
        <v>2129</v>
      </c>
      <c r="B10" s="3006">
        <v>15</v>
      </c>
      <c r="C10" s="3071"/>
      <c r="D10" s="3091"/>
      <c r="E10" s="140" t="s">
        <v>2130</v>
      </c>
      <c r="F10" s="2430"/>
      <c r="G10" s="2430"/>
      <c r="H10" s="2430"/>
      <c r="I10" s="1831"/>
    </row>
    <row r="11" spans="1:12" ht="12.75">
      <c r="A11" s="3068"/>
      <c r="B11" s="3006"/>
      <c r="C11" s="3073"/>
      <c r="D11" s="3091"/>
      <c r="E11" s="140" t="s">
        <v>2131</v>
      </c>
      <c r="F11" s="2430"/>
      <c r="G11" s="2430"/>
      <c r="H11" s="2430"/>
      <c r="I11" s="1831"/>
    </row>
    <row r="12" spans="1:12" ht="12.75">
      <c r="A12" s="3068" t="s">
        <v>2132</v>
      </c>
      <c r="B12" s="3006">
        <v>15</v>
      </c>
      <c r="C12" s="3071"/>
      <c r="D12" s="3091"/>
      <c r="E12" s="140" t="s">
        <v>2133</v>
      </c>
      <c r="F12" s="2430"/>
      <c r="G12" s="2430"/>
      <c r="H12" s="2430"/>
      <c r="I12" s="1831"/>
    </row>
    <row r="13" spans="1:12" ht="12.75">
      <c r="A13" s="3068"/>
      <c r="B13" s="3006"/>
      <c r="C13" s="3073"/>
      <c r="D13" s="3091"/>
      <c r="E13" s="140" t="s">
        <v>2134</v>
      </c>
      <c r="F13" s="2430"/>
      <c r="G13" s="2430"/>
      <c r="H13" s="2430"/>
      <c r="I13" s="1831"/>
    </row>
    <row r="14" spans="1:12" ht="12.75">
      <c r="A14" s="3068" t="s">
        <v>2135</v>
      </c>
      <c r="B14" s="3006">
        <v>30</v>
      </c>
      <c r="C14" s="3071">
        <v>6</v>
      </c>
      <c r="D14" s="3091">
        <v>4</v>
      </c>
      <c r="E14" s="140" t="s">
        <v>2136</v>
      </c>
      <c r="F14" s="2430"/>
      <c r="G14" s="2430"/>
      <c r="H14" s="2430"/>
      <c r="I14" s="1831"/>
    </row>
    <row r="15" spans="1:12" ht="12.75">
      <c r="A15" s="3068"/>
      <c r="B15" s="3006"/>
      <c r="C15" s="3072"/>
      <c r="D15" s="3091"/>
      <c r="E15" s="140" t="s">
        <v>2137</v>
      </c>
      <c r="F15" s="2430"/>
      <c r="G15" s="2430"/>
      <c r="H15" s="2430"/>
      <c r="I15" s="1831"/>
    </row>
    <row r="16" spans="1:12" ht="12.75">
      <c r="A16" s="3068"/>
      <c r="B16" s="3006"/>
      <c r="C16" s="3073"/>
      <c r="D16" s="3091"/>
      <c r="E16" s="140" t="s">
        <v>2138</v>
      </c>
      <c r="F16" s="2430"/>
      <c r="G16" s="2430"/>
      <c r="H16" s="2430"/>
      <c r="I16" s="1831"/>
    </row>
    <row r="17" spans="1:35" ht="15">
      <c r="A17" s="2431" t="s">
        <v>2139</v>
      </c>
      <c r="B17" s="64"/>
      <c r="C17" s="141">
        <f>SUM(C5:C16)</f>
        <v>6</v>
      </c>
      <c r="D17" s="141">
        <f>SUM(D5:D16)</f>
        <v>4</v>
      </c>
      <c r="E17" s="138"/>
      <c r="F17" s="138"/>
      <c r="G17" s="138"/>
      <c r="H17" s="138"/>
      <c r="I17" s="138"/>
      <c r="K17" s="2429"/>
      <c r="L17" s="2432" t="s">
        <v>2140</v>
      </c>
      <c r="M17" s="2432" t="s">
        <v>2141</v>
      </c>
    </row>
    <row r="18" spans="1:35" ht="15.75" thickBot="1">
      <c r="A18" s="2433" t="s">
        <v>2142</v>
      </c>
      <c r="B18" s="2434"/>
      <c r="C18" s="142">
        <f>ROUND(C17/SUM(C17:D17),2)</f>
        <v>0.6</v>
      </c>
      <c r="D18" s="142">
        <f>1-C18</f>
        <v>0.4</v>
      </c>
      <c r="E18" s="138"/>
      <c r="F18" s="138"/>
      <c r="G18" s="138"/>
      <c r="H18" s="138"/>
      <c r="I18" s="138"/>
      <c r="K18" s="2429" t="s">
        <v>2143</v>
      </c>
      <c r="L18" s="2429">
        <f>IF(C1="",'数据-汇总表'!E3,SUMIF(项目类型,C1,'数据-汇总表'!E17:E26)+SUMIF(项目类型,C1,'数据-汇总表'!I17:I26))</f>
        <v>5775.17</v>
      </c>
      <c r="M18" s="2429">
        <f>IF(C1="",'数据-汇总表'!E3,SUMIF(项目类型,C1,'数据-汇总表'!E17:E26))</f>
        <v>5775.17</v>
      </c>
    </row>
    <row r="19" spans="1:35" ht="15">
      <c r="A19" s="2435" t="s">
        <v>2144</v>
      </c>
      <c r="B19" s="2436" t="s">
        <v>2145</v>
      </c>
      <c r="C19" s="143">
        <f ca="1">SUMIF(INDIRECT("'"&amp;C4&amp;"'"&amp;"!A:A"),结果表!B19,INDIRECT("'"&amp;C4&amp;"'"&amp;"!B:B"))</f>
        <v>4711</v>
      </c>
      <c r="D19" s="144">
        <f ca="1">SUMIF(INDIRECT("'"&amp;D4&amp;"'"&amp;"!A:A"),结果表!B19,INDIRECT("'"&amp;D4&amp;"'"&amp;"!B:B"))</f>
        <v>9258</v>
      </c>
      <c r="E19" s="2435" t="s">
        <v>2146</v>
      </c>
      <c r="F19" s="2436" t="s">
        <v>2145</v>
      </c>
      <c r="G19" s="145">
        <f ca="1">ROUND(C19*$C$18+D19*$D$18,0)</f>
        <v>6530</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47" t="s">
        <v>2149</v>
      </c>
      <c r="C20" s="146">
        <f ca="1">SUMIF(INDIRECT("'"&amp;C4&amp;"'"&amp;"!A:A"),结果表!B20,INDIRECT("'"&amp;C4&amp;"'"&amp;"!B:B"))</f>
        <v>8157</v>
      </c>
      <c r="D20" s="147">
        <f ca="1">SUMIF(INDIRECT("'"&amp;D4&amp;"'"&amp;"!A:A"),结果表!B20,INDIRECT("'"&amp;D4&amp;"'"&amp;"!B:B"))</f>
        <v>16031</v>
      </c>
      <c r="E20" s="2438"/>
      <c r="F20" s="1247" t="s">
        <v>2149</v>
      </c>
      <c r="G20" s="148">
        <f ca="1">ROUND(C20*$C$18+D20*$D$18,0)</f>
        <v>11307</v>
      </c>
      <c r="H20" s="980" t="s">
        <v>2150</v>
      </c>
      <c r="I20" s="138"/>
    </row>
    <row r="21" spans="1:35" ht="15" customHeight="1" thickBot="1">
      <c r="A21" s="1000"/>
      <c r="B21" s="2439" t="s">
        <v>2151</v>
      </c>
      <c r="C21" s="789" t="e">
        <f ca="1">ROUND(C19*10000/L19,0)</f>
        <v>#DIV/0!</v>
      </c>
      <c r="D21" s="790" t="e">
        <f ca="1">ROUND(D19*10000/L19,0)</f>
        <v>#DIV/0!</v>
      </c>
      <c r="E21" s="1000"/>
      <c r="F21" s="2439" t="s">
        <v>2151</v>
      </c>
      <c r="G21" s="149" t="e">
        <f ca="1">ROUND(G19*10000/L19,0)</f>
        <v>#DIV/0!</v>
      </c>
      <c r="H21" s="2440" t="s">
        <v>2150</v>
      </c>
      <c r="I21" s="138"/>
    </row>
    <row r="22" spans="1:35" ht="15" thickBot="1">
      <c r="A22" s="2281" t="s">
        <v>2152</v>
      </c>
      <c r="B22" s="2441"/>
      <c r="C22" s="2442"/>
      <c r="D22" s="791">
        <f ca="1">IF(C19&lt;D19,D19/C19-1,C19/D19-1)</f>
        <v>0.96518785820420283</v>
      </c>
      <c r="E22" s="138"/>
      <c r="F22" s="138"/>
      <c r="G22" s="138"/>
      <c r="H22" s="138"/>
      <c r="I22" s="138"/>
    </row>
    <row r="23" spans="1:35" ht="13.5" thickBot="1">
      <c r="A23" s="2419"/>
      <c r="B23" s="2419"/>
      <c r="C23" s="2419"/>
      <c r="D23" s="2419"/>
      <c r="E23" s="138"/>
      <c r="F23" s="138"/>
      <c r="G23" s="138"/>
      <c r="H23" s="138"/>
      <c r="I23" s="138"/>
    </row>
    <row r="24" spans="1:35" ht="14.25">
      <c r="A24" s="3062" t="s">
        <v>2153</v>
      </c>
      <c r="B24" s="2436" t="s">
        <v>2145</v>
      </c>
      <c r="C24" s="145">
        <f>IF(B30=0,0,D30)</f>
        <v>0</v>
      </c>
      <c r="D24" s="2443"/>
      <c r="E24" s="138"/>
      <c r="F24" s="138"/>
      <c r="G24" s="138"/>
      <c r="H24" s="138"/>
      <c r="I24" s="138"/>
    </row>
    <row r="25" spans="1:35" ht="14.25">
      <c r="A25" s="3063"/>
      <c r="B25" s="1247"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6530</v>
      </c>
      <c r="D32" s="2450" t="s">
        <v>2160</v>
      </c>
      <c r="E32" s="138"/>
      <c r="F32" s="138"/>
      <c r="G32" s="138"/>
      <c r="H32" s="138"/>
      <c r="I32" s="138"/>
    </row>
    <row r="33" spans="1:15" ht="15">
      <c r="A33" s="957" t="s">
        <v>2161</v>
      </c>
      <c r="B33" s="2451"/>
      <c r="C33" s="2452" t="s">
        <v>3068</v>
      </c>
      <c r="D33" s="2453" t="s">
        <v>3067</v>
      </c>
      <c r="E33" s="2454" t="s">
        <v>2162</v>
      </c>
      <c r="F33" s="2455" t="str">
        <f>IF(D32="楼面单价","取值（单价）","取值（总价）")</f>
        <v>取值（总价）</v>
      </c>
      <c r="G33" s="138"/>
      <c r="H33" s="138"/>
      <c r="I33" s="138"/>
    </row>
    <row r="34" spans="1:15" ht="15">
      <c r="A34" s="2456"/>
      <c r="B34" s="2457" t="s">
        <v>2163</v>
      </c>
      <c r="C34" s="157">
        <f ca="1">IF(C33="自定义",F34,C32-C35)</f>
        <v>3931</v>
      </c>
      <c r="D34" s="1055">
        <f ca="1">IF(C33="自定义",ROUND(C34/C32,3),IF(C33="收益比率",SUMIF(INDIRECT("'"&amp;D33&amp;"'"&amp;"!b:b"),"土地收益比率",INDIRECT("'"&amp;D33&amp;"'"&amp;"!c:c")),SUMIF(INDIRECT("'"&amp;D33&amp;"'"&amp;"!b:b"),"土地成本比率",INDIRECT("'"&amp;D33&amp;"'"&amp;"!c:c"))))</f>
        <v>0.60199999999999998</v>
      </c>
      <c r="E34" s="2458" t="s">
        <v>2164</v>
      </c>
      <c r="F34" s="1736"/>
      <c r="G34" s="138"/>
      <c r="H34" s="138"/>
      <c r="I34" s="138"/>
    </row>
    <row r="35" spans="1:15" ht="15.75" thickBot="1">
      <c r="A35" s="2459"/>
      <c r="B35" s="2460" t="s">
        <v>2165</v>
      </c>
      <c r="C35" s="1441">
        <f ca="1">IF(C33="自定义",F35,ROUND(C32*D35,0))</f>
        <v>2599</v>
      </c>
      <c r="D35" s="1442">
        <f ca="1">IF(C33="自定义",ROUND(C35/C32,3),IF(C33="收益比率",SUMIF(INDIRECT("'"&amp;D33&amp;"'"&amp;"!b:b"),"建筑物收益比率",INDIRECT("'"&amp;D33&amp;"'"&amp;"!c:c")),SUMIF(INDIRECT("'"&amp;D33&amp;"'"&amp;"!b:b"),"建筑物成本比率",INDIRECT("'"&amp;D33&amp;"'"&amp;"!c:c"))))</f>
        <v>0.39800000000000002</v>
      </c>
      <c r="E35" s="2461" t="s">
        <v>2166</v>
      </c>
      <c r="F35" s="163"/>
      <c r="G35" s="138"/>
      <c r="H35" s="138"/>
      <c r="I35" s="138"/>
    </row>
    <row r="36" spans="1:15" ht="15.75" thickBot="1">
      <c r="A36" s="3080" t="s">
        <v>2167</v>
      </c>
      <c r="B36" s="2462" t="s">
        <v>2168</v>
      </c>
      <c r="C36" s="154"/>
      <c r="D36" s="2463"/>
      <c r="E36" s="2464"/>
      <c r="F36" s="2465"/>
      <c r="G36" s="138"/>
      <c r="H36" s="138"/>
      <c r="I36" s="138"/>
    </row>
    <row r="37" spans="1:15" ht="15.75" thickBot="1">
      <c r="A37" s="3081"/>
      <c r="B37" s="2267" t="s">
        <v>2169</v>
      </c>
      <c r="C37" s="156"/>
      <c r="D37" s="1392"/>
      <c r="E37" s="1392"/>
      <c r="F37" s="2465"/>
      <c r="G37" s="138"/>
      <c r="H37" s="138"/>
      <c r="I37" s="138"/>
    </row>
    <row r="38" spans="1:15" ht="15.75" thickBot="1">
      <c r="A38" s="3082"/>
      <c r="B38" s="2466" t="s">
        <v>2170</v>
      </c>
      <c r="C38" s="727"/>
      <c r="D38" s="2467" t="s">
        <v>2171</v>
      </c>
      <c r="E38" s="1392"/>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059" t="s">
        <v>2181</v>
      </c>
      <c r="B45" s="3060"/>
      <c r="C45" s="3061"/>
      <c r="D45" s="164">
        <f ca="1">ROUND(H101*F45,0)</f>
        <v>6530</v>
      </c>
      <c r="E45" s="165" t="s">
        <v>2182</v>
      </c>
      <c r="F45" s="166">
        <v>1</v>
      </c>
      <c r="G45" s="167" t="s">
        <v>2183</v>
      </c>
      <c r="H45" s="138"/>
      <c r="I45" s="138"/>
      <c r="J45" s="3119" t="s">
        <v>2184</v>
      </c>
      <c r="K45" s="3119"/>
      <c r="L45" s="3119"/>
      <c r="M45" s="3119"/>
      <c r="N45" s="3119"/>
      <c r="O45" s="3119"/>
    </row>
    <row r="46" spans="1:15" ht="14.25" customHeight="1">
      <c r="A46" s="3056" t="s">
        <v>2185</v>
      </c>
      <c r="B46" s="3057"/>
      <c r="C46" s="3057"/>
      <c r="D46" s="3057"/>
      <c r="E46" s="3057"/>
      <c r="F46" s="3057"/>
      <c r="G46" s="3058"/>
      <c r="H46" s="2481"/>
      <c r="I46" s="168"/>
      <c r="J46" s="1809">
        <v>1</v>
      </c>
      <c r="K46" s="3119" t="s">
        <v>2186</v>
      </c>
      <c r="L46" s="3119"/>
      <c r="M46" s="3139"/>
      <c r="N46" s="3139"/>
      <c r="O46" s="3139"/>
    </row>
    <row r="47" spans="1:15" ht="12" customHeight="1">
      <c r="A47" s="169" t="s">
        <v>2187</v>
      </c>
      <c r="B47" s="170"/>
      <c r="C47" s="171"/>
      <c r="D47" s="172" t="s">
        <v>2188</v>
      </c>
      <c r="E47" s="24" t="s">
        <v>2189</v>
      </c>
      <c r="F47" s="173" t="s">
        <v>2190</v>
      </c>
      <c r="G47" s="174" t="s">
        <v>2191</v>
      </c>
      <c r="H47" s="2481"/>
      <c r="I47" s="168"/>
      <c r="J47" s="1809">
        <v>2</v>
      </c>
      <c r="K47" s="3119" t="s">
        <v>2192</v>
      </c>
      <c r="L47" s="3119"/>
      <c r="M47" s="3140">
        <f>'数据-取费表'!B2</f>
        <v>43718</v>
      </c>
      <c r="N47" s="3140"/>
      <c r="O47" s="3140"/>
    </row>
    <row r="48" spans="1:15" ht="25.5">
      <c r="A48" s="3087" t="s">
        <v>2193</v>
      </c>
      <c r="B48" s="3070"/>
      <c r="C48" s="3070"/>
      <c r="D48" s="140">
        <f>IF(H48="情况1",0,IF(H48="情况2",D52,IF(H48="情况3",D53,IF(H48="情况4",D54))))</f>
        <v>0</v>
      </c>
      <c r="E48" s="1798" t="str">
        <f>IF(H48="情况4","(销售额-原购置价)×税（费）率","销售额×税（费）率")</f>
        <v>销售额×税（费）率</v>
      </c>
      <c r="F48" s="175" t="str">
        <f>IF(H48="情况1","免征",'数据-取费表'!B41)</f>
        <v>免征</v>
      </c>
      <c r="G48" s="2482" t="s">
        <v>2194</v>
      </c>
      <c r="H48" s="2483" t="s">
        <v>2195</v>
      </c>
      <c r="I48" s="2481"/>
      <c r="J48" s="1809">
        <v>3</v>
      </c>
      <c r="K48" s="3119" t="s">
        <v>2196</v>
      </c>
      <c r="L48" s="3119"/>
      <c r="M48" s="3141">
        <f ca="1">H101</f>
        <v>6530</v>
      </c>
      <c r="N48" s="3141"/>
      <c r="O48" s="3141"/>
    </row>
    <row r="49" spans="1:35" ht="25.5" customHeight="1">
      <c r="A49" s="176" t="s">
        <v>2197</v>
      </c>
      <c r="B49" s="3055" t="s">
        <v>2198</v>
      </c>
      <c r="C49" s="3055"/>
      <c r="D49" s="177">
        <v>0</v>
      </c>
      <c r="E49" s="23" t="s">
        <v>2199</v>
      </c>
      <c r="F49" s="28" t="s">
        <v>34</v>
      </c>
      <c r="G49" s="3125"/>
      <c r="H49" s="138"/>
      <c r="I49" s="2484"/>
      <c r="J49" s="1809">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2200</v>
      </c>
      <c r="C50" s="3055"/>
      <c r="D50" s="179"/>
      <c r="E50" s="31"/>
      <c r="F50" s="180"/>
      <c r="G50" s="3126"/>
      <c r="H50" s="138"/>
      <c r="I50" s="2484"/>
      <c r="J50" s="3119" t="s">
        <v>2201</v>
      </c>
      <c r="K50" s="3119"/>
      <c r="L50" s="3119"/>
      <c r="M50" s="3119"/>
      <c r="N50" s="3119"/>
      <c r="O50" s="3119"/>
    </row>
    <row r="51" spans="1:35" ht="12" customHeight="1">
      <c r="A51" s="181"/>
      <c r="B51" s="3055" t="s">
        <v>2202</v>
      </c>
      <c r="C51" s="3055"/>
      <c r="D51" s="182"/>
      <c r="E51" s="30"/>
      <c r="F51" s="180"/>
      <c r="G51" s="3127"/>
      <c r="H51" s="138"/>
      <c r="I51" s="2484"/>
      <c r="J51" s="2485" t="s">
        <v>2203</v>
      </c>
      <c r="K51" s="3119" t="s">
        <v>2204</v>
      </c>
      <c r="L51" s="3119"/>
      <c r="M51" s="2485" t="s">
        <v>2205</v>
      </c>
      <c r="N51" s="2485" t="s">
        <v>2206</v>
      </c>
      <c r="O51" s="2485" t="s">
        <v>2207</v>
      </c>
    </row>
    <row r="52" spans="1:35" ht="24" customHeight="1">
      <c r="A52" s="183" t="s">
        <v>2208</v>
      </c>
      <c r="B52" s="3055" t="s">
        <v>2209</v>
      </c>
      <c r="C52" s="3055"/>
      <c r="D52" s="182">
        <f ca="1">ROUND(D45*'数据-取费表'!B41/(1+'数据-取费表'!C42),0)</f>
        <v>348</v>
      </c>
      <c r="E52" s="11" t="s">
        <v>2210</v>
      </c>
      <c r="F52" s="184">
        <f>'数据-取费表'!B41</f>
        <v>5.6000000000000001E-2</v>
      </c>
      <c r="G52" s="2486"/>
      <c r="H52" s="138"/>
      <c r="I52" s="2484"/>
      <c r="J52" s="1809">
        <v>1</v>
      </c>
      <c r="K52" s="3120" t="s">
        <v>2211</v>
      </c>
      <c r="L52" s="3120"/>
      <c r="M52" s="1751">
        <f>D48</f>
        <v>0</v>
      </c>
      <c r="N52" s="1809" t="str">
        <f>E48</f>
        <v>销售额×税（费）率</v>
      </c>
      <c r="O52" s="1752" t="str">
        <f>F48</f>
        <v>免征</v>
      </c>
    </row>
    <row r="53" spans="1:35" ht="12" customHeight="1">
      <c r="A53" s="183" t="s">
        <v>2212</v>
      </c>
      <c r="B53" s="3078" t="s">
        <v>2213</v>
      </c>
      <c r="C53" s="3079"/>
      <c r="D53" s="182">
        <f ca="1">ROUND(D45*'数据-取费表'!B41/(1+'数据-取费表'!C42),0)</f>
        <v>348</v>
      </c>
      <c r="E53" s="11" t="s">
        <v>2210</v>
      </c>
      <c r="F53" s="184">
        <f>'数据-取费表'!B41</f>
        <v>5.6000000000000001E-2</v>
      </c>
      <c r="G53" s="2486"/>
      <c r="H53" s="138"/>
      <c r="I53" s="2484"/>
      <c r="J53" s="1809">
        <v>2</v>
      </c>
      <c r="K53" s="3120" t="s">
        <v>2214</v>
      </c>
      <c r="L53" s="3120"/>
      <c r="M53" s="1751">
        <f t="shared" ref="M53:O54" ca="1" si="0">D55</f>
        <v>3</v>
      </c>
      <c r="N53" s="1809" t="str">
        <f t="shared" si="0"/>
        <v>销售额×税（费）率</v>
      </c>
      <c r="O53" s="1752">
        <f t="shared" si="0"/>
        <v>5.0000000000000001E-4</v>
      </c>
    </row>
    <row r="54" spans="1:35" ht="12" customHeight="1">
      <c r="A54" s="183" t="s">
        <v>2215</v>
      </c>
      <c r="B54" s="3078" t="s">
        <v>2216</v>
      </c>
      <c r="C54" s="3079"/>
      <c r="D54" s="182">
        <f ca="1">C68</f>
        <v>348</v>
      </c>
      <c r="E54" s="30" t="s">
        <v>2217</v>
      </c>
      <c r="F54" s="184">
        <f>'数据-取费表'!B41</f>
        <v>5.6000000000000001E-2</v>
      </c>
      <c r="G54" s="2486"/>
      <c r="H54" s="2487"/>
      <c r="I54" s="2484"/>
      <c r="J54" s="1809">
        <v>3</v>
      </c>
      <c r="K54" s="3120" t="s">
        <v>2218</v>
      </c>
      <c r="L54" s="3120"/>
      <c r="M54" s="1751">
        <f t="shared" ca="1" si="0"/>
        <v>3696</v>
      </c>
      <c r="N54" s="1809" t="str">
        <f t="shared" si="0"/>
        <v>增值额×税（费）率</v>
      </c>
      <c r="O54" s="1753" t="str">
        <f t="shared" si="0"/>
        <v>——</v>
      </c>
    </row>
    <row r="55" spans="1:35" ht="24" customHeight="1">
      <c r="A55" s="3069" t="s">
        <v>2219</v>
      </c>
      <c r="B55" s="3070"/>
      <c r="C55" s="3070"/>
      <c r="D55" s="185">
        <f ca="1">IF(H55="个人住宅",0,ROUND(D45*I55,0))</f>
        <v>3</v>
      </c>
      <c r="E55" s="11" t="s">
        <v>2220</v>
      </c>
      <c r="F55" s="184">
        <f>IF(H55="正常",I55,"免征")</f>
        <v>5.0000000000000001E-4</v>
      </c>
      <c r="G55" s="2486"/>
      <c r="H55" s="2483" t="s">
        <v>2221</v>
      </c>
      <c r="I55" s="186">
        <f>'数据-取费表'!B49</f>
        <v>5.0000000000000001E-4</v>
      </c>
      <c r="J55" s="1809" t="str">
        <f>IF(H59="非个人房产","",4)</f>
        <v/>
      </c>
      <c r="K55" s="3120" t="str">
        <f>IF(H59="非个人房产","——","个人所得税")</f>
        <v>——</v>
      </c>
      <c r="L55" s="3120"/>
      <c r="M55" s="1754" t="str">
        <f>D59</f>
        <v>——</v>
      </c>
      <c r="N55" s="1807" t="str">
        <f>E59</f>
        <v>——</v>
      </c>
      <c r="O55" s="1755" t="str">
        <f>F59</f>
        <v>——</v>
      </c>
    </row>
    <row r="56" spans="1:35" ht="24.75">
      <c r="A56" s="3069" t="s">
        <v>2222</v>
      </c>
      <c r="B56" s="3070"/>
      <c r="C56" s="3070"/>
      <c r="D56" s="185">
        <f ca="1">IF(H56="个人住宅",D57,D58)</f>
        <v>3696</v>
      </c>
      <c r="E56" s="11" t="s">
        <v>2223</v>
      </c>
      <c r="F56" s="184" t="str">
        <f>IF(H56="正常",F58,"免征")</f>
        <v>——</v>
      </c>
      <c r="G56" s="2488" t="s">
        <v>2224</v>
      </c>
      <c r="H56" s="2489" t="s">
        <v>2221</v>
      </c>
      <c r="I56" s="2490"/>
      <c r="J56" s="1809" t="str">
        <f>IF(项目基本情况!K6="上海银行",IF(J55="",4,J55+1),"")</f>
        <v/>
      </c>
      <c r="K56" s="3143" t="str">
        <f>IF(项目基本情况!K6="上海银行","其他处置费用","")</f>
        <v/>
      </c>
      <c r="L56" s="3144"/>
      <c r="M56" s="1751" t="str">
        <f>IF(项目基本情况!K6="上海银行",M69,"")</f>
        <v/>
      </c>
      <c r="N56" s="3146" t="str">
        <f>IF(项目基本情况!K6="上海银行","包含处置中涉及的律师、诉讼、拍卖、评估等费用","")</f>
        <v/>
      </c>
      <c r="O56" s="3147"/>
    </row>
    <row r="57" spans="1:35" ht="12.75">
      <c r="A57" s="183" t="s">
        <v>2197</v>
      </c>
      <c r="B57" s="3085" t="s">
        <v>2225</v>
      </c>
      <c r="C57" s="3094"/>
      <c r="D57" s="187">
        <v>0</v>
      </c>
      <c r="E57" s="23" t="s">
        <v>2199</v>
      </c>
      <c r="F57" s="155"/>
      <c r="G57" s="2486"/>
      <c r="H57" s="2490"/>
      <c r="I57" s="2490"/>
      <c r="J57" s="3120">
        <f>IF(AND(J55="",J56=""),4,IF(项目基本情况!K6="上海银行",结果表!J56+1,结果表!J55+1))</f>
        <v>4</v>
      </c>
      <c r="K57" s="3120" t="s">
        <v>2226</v>
      </c>
      <c r="L57" s="2491" t="s">
        <v>2227</v>
      </c>
      <c r="M57" s="1756"/>
      <c r="N57" s="1757">
        <f ca="1">SUMIF(M52:M56,"&lt;9e307")</f>
        <v>3699</v>
      </c>
      <c r="O57" s="2492"/>
      <c r="P57" s="1750" t="e">
        <f ca="1">N57/M49</f>
        <v>#VALUE!</v>
      </c>
    </row>
    <row r="58" spans="1:35" ht="24.75">
      <c r="A58" s="183" t="s">
        <v>2208</v>
      </c>
      <c r="B58" s="3085" t="s">
        <v>2228</v>
      </c>
      <c r="C58" s="3086"/>
      <c r="D58" s="185">
        <f ca="1">IF(H58="转让取得",C81,C97)</f>
        <v>3696</v>
      </c>
      <c r="E58" s="11" t="s">
        <v>2223</v>
      </c>
      <c r="F58" s="24" t="s">
        <v>34</v>
      </c>
      <c r="G58" s="2486"/>
      <c r="H58" s="2489" t="s">
        <v>2229</v>
      </c>
      <c r="I58" s="2490"/>
      <c r="J58" s="3120"/>
      <c r="K58" s="3120"/>
      <c r="L58" s="2491" t="s">
        <v>2230</v>
      </c>
      <c r="M58" s="1758"/>
      <c r="N58" s="2493" t="str">
        <f ca="1">NUMBERSTRING(INT(N57*10000),2)&amp;"元整"</f>
        <v>叁仟陆佰玖拾玖万元整</v>
      </c>
      <c r="O58" s="2494"/>
    </row>
    <row r="59" spans="1:35" ht="24.75" thickBot="1">
      <c r="A59" s="3123" t="s">
        <v>2231</v>
      </c>
      <c r="B59" s="3124"/>
      <c r="C59" s="3124"/>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21">
        <f>J57+1</f>
        <v>5</v>
      </c>
      <c r="K59" s="3120" t="s">
        <v>2233</v>
      </c>
      <c r="L59" s="1809" t="s">
        <v>2227</v>
      </c>
      <c r="M59" s="1759"/>
      <c r="N59" s="1760" t="e">
        <f ca="1">M49-N57</f>
        <v>#VALUE!</v>
      </c>
      <c r="O59" s="2496"/>
    </row>
    <row r="60" spans="1:35" ht="12" customHeight="1">
      <c r="A60" s="2497"/>
      <c r="B60" s="2419"/>
      <c r="C60" s="2419"/>
      <c r="D60" s="2419"/>
      <c r="E60" s="2166"/>
      <c r="F60" s="2490"/>
      <c r="G60" s="2490"/>
      <c r="H60" s="2498"/>
      <c r="I60" s="138"/>
      <c r="J60" s="3122"/>
      <c r="K60" s="3120"/>
      <c r="L60" s="2491" t="s">
        <v>2230</v>
      </c>
      <c r="M60" s="1758"/>
      <c r="N60" s="2493" t="e">
        <f ca="1">NUMBERSTRING(INT(N59*10000),2)&amp;"元整"</f>
        <v>#VALUE!</v>
      </c>
      <c r="O60" s="2494"/>
    </row>
    <row r="61" spans="1:35" ht="13.5" thickBot="1">
      <c r="A61" s="3067" t="s">
        <v>2234</v>
      </c>
      <c r="B61" s="3067"/>
      <c r="C61" s="3067"/>
      <c r="D61" s="3067"/>
      <c r="E61" s="3067"/>
      <c r="F61" s="2490"/>
      <c r="G61" s="2490"/>
      <c r="H61" s="2498"/>
      <c r="I61" s="138"/>
      <c r="J61" s="1809">
        <f>J59+1</f>
        <v>6</v>
      </c>
      <c r="K61" s="3120" t="s">
        <v>2235</v>
      </c>
      <c r="L61" s="3120"/>
      <c r="M61" s="1761"/>
      <c r="N61" s="1762" t="e">
        <f ca="1">ROUND(N59*10000/'数据-汇总表'!E3,0)</f>
        <v>#VALUE!</v>
      </c>
      <c r="O61" s="2499"/>
    </row>
    <row r="62" spans="1:35" ht="12.75">
      <c r="A62" s="3083" t="s">
        <v>2236</v>
      </c>
      <c r="B62" s="3084"/>
      <c r="C62" s="1801"/>
      <c r="D62" s="1801" t="s">
        <v>2237</v>
      </c>
      <c r="E62" s="192" t="s">
        <v>2238</v>
      </c>
      <c r="F62" s="2490"/>
      <c r="G62" s="2490"/>
      <c r="H62" s="2498"/>
      <c r="I62" s="138"/>
    </row>
    <row r="63" spans="1:35" ht="12.75">
      <c r="A63" s="203" t="s">
        <v>775</v>
      </c>
      <c r="B63" s="193" t="s">
        <v>2239</v>
      </c>
      <c r="C63" s="194">
        <f ca="1">ROUND((C64+C65)/(1+'数据-取费表'!C42),0)</f>
        <v>6219</v>
      </c>
      <c r="D63" s="195"/>
      <c r="E63" s="196"/>
      <c r="F63" s="2490"/>
      <c r="G63" s="2490"/>
      <c r="H63" s="2498"/>
      <c r="I63" s="138"/>
      <c r="J63" s="3145" t="s">
        <v>2240</v>
      </c>
      <c r="K63" s="2500" t="s">
        <v>2241</v>
      </c>
      <c r="L63" s="1749" t="e">
        <f>IF(M49&gt;10000,M49*0.5%,IF(AND(M49&gt;1000,M49&lt;=10000),M49*1%,IF(AND(M49&gt;100,M49&lt;=1000),M49*3%,IF(AND(M49&gt;10,M49&lt;=100),M49*5%,M49*8%))))</f>
        <v>#VALUE!</v>
      </c>
      <c r="M63" s="24" t="e">
        <f>ROUND(L63,1)</f>
        <v>#VALUE!</v>
      </c>
      <c r="Z63" s="2424"/>
      <c r="AI63" s="2425"/>
    </row>
    <row r="64" spans="1:35" ht="14.25" customHeight="1">
      <c r="A64" s="197" t="s">
        <v>770</v>
      </c>
      <c r="B64" s="198" t="s">
        <v>2242</v>
      </c>
      <c r="C64" s="199">
        <f ca="1">D45</f>
        <v>6530</v>
      </c>
      <c r="D64" s="200" t="s">
        <v>32</v>
      </c>
      <c r="E64" s="201"/>
      <c r="F64" s="2490"/>
      <c r="G64" s="2490"/>
      <c r="H64" s="2498"/>
      <c r="I64" s="138"/>
      <c r="J64" s="3145"/>
      <c r="K64" s="2500"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4"/>
      <c r="AI64" s="2425"/>
    </row>
    <row r="65" spans="1:35" ht="14.25" customHeight="1">
      <c r="A65" s="197" t="s">
        <v>771</v>
      </c>
      <c r="B65" s="198" t="s">
        <v>2245</v>
      </c>
      <c r="C65" s="202"/>
      <c r="D65" s="200"/>
      <c r="E65" s="201"/>
      <c r="F65" s="2490"/>
      <c r="G65" s="2490"/>
      <c r="H65" s="2498"/>
      <c r="I65" s="138"/>
      <c r="J65" s="3145"/>
      <c r="K65" s="2500" t="s">
        <v>2246</v>
      </c>
      <c r="L65" s="1749" t="e">
        <f>IF(M49&gt;1000,M49*0.1%,IF(AND(M49&gt;500,M49&lt;=1000),M49*0.5%,IF(AND(M49&gt;50,M49&lt;=500),M49*1%,IF(AND(M49&gt;1,M49&lt;=50),M49*1.5%))))</f>
        <v>#VALUE!</v>
      </c>
      <c r="M65" s="24" t="e">
        <f t="shared" si="1"/>
        <v>#VALUE!</v>
      </c>
      <c r="N65" s="138" t="s">
        <v>2244</v>
      </c>
      <c r="Z65" s="2424"/>
      <c r="AI65" s="2425"/>
    </row>
    <row r="66" spans="1:35" ht="14.25" customHeight="1">
      <c r="A66" s="203" t="s">
        <v>772</v>
      </c>
      <c r="B66" s="204" t="s">
        <v>2247</v>
      </c>
      <c r="C66" s="205"/>
      <c r="D66" s="206" t="s">
        <v>32</v>
      </c>
      <c r="E66" s="1773" t="s">
        <v>1367</v>
      </c>
      <c r="F66" s="2490"/>
      <c r="G66" s="2490"/>
      <c r="H66" s="2498"/>
      <c r="I66" s="138"/>
      <c r="J66" s="3145"/>
      <c r="K66" s="2500" t="s">
        <v>2248</v>
      </c>
      <c r="L66" s="1749" t="e">
        <f>M49*0.5%</f>
        <v>#VALUE!</v>
      </c>
      <c r="M66" s="24" t="e">
        <f>IF(L66&gt;0.5,0.5,ROUND(L66,0))</f>
        <v>#VALUE!</v>
      </c>
      <c r="N66" s="138" t="s">
        <v>2249</v>
      </c>
      <c r="Z66" s="2424"/>
      <c r="AI66" s="2425"/>
    </row>
    <row r="67" spans="1:35" ht="14.25" customHeight="1">
      <c r="A67" s="203" t="s">
        <v>773</v>
      </c>
      <c r="B67" s="204" t="s">
        <v>2250</v>
      </c>
      <c r="C67" s="207">
        <f ca="1">C63-C66</f>
        <v>6219</v>
      </c>
      <c r="D67" s="200" t="s">
        <v>32</v>
      </c>
      <c r="E67" s="201"/>
      <c r="F67" s="2490"/>
      <c r="G67" s="2490"/>
      <c r="H67" s="2498"/>
      <c r="I67" s="138"/>
      <c r="J67" s="3145"/>
      <c r="K67" s="2500"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2252</v>
      </c>
      <c r="C68" s="210">
        <f ca="1">IF(C67&lt;=0,0,ROUND(C67*D68,0))</f>
        <v>348</v>
      </c>
      <c r="D68" s="211">
        <f>'数据-取费表'!B41</f>
        <v>5.6000000000000001E-2</v>
      </c>
      <c r="E68" s="212"/>
      <c r="F68" s="2490"/>
      <c r="G68" s="2490"/>
      <c r="H68" s="2498"/>
      <c r="I68" s="138"/>
      <c r="J68" s="3145"/>
      <c r="K68" s="2500" t="s">
        <v>2253</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45"/>
      <c r="K69" s="2500" t="s">
        <v>2254</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4" t="s">
        <v>2255</v>
      </c>
      <c r="B70" s="3105"/>
      <c r="C70" s="3105"/>
      <c r="D70" s="3105"/>
      <c r="E70" s="3105"/>
      <c r="F70" s="3105"/>
      <c r="G70" s="3105"/>
      <c r="H70" s="310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3" t="s">
        <v>2236</v>
      </c>
      <c r="B71" s="3084"/>
      <c r="C71" s="1801"/>
      <c r="D71" s="1801"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6219</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37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078" t="s">
        <v>2264</v>
      </c>
      <c r="F76" s="3055"/>
      <c r="G76" s="3055"/>
      <c r="H76" s="310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37</v>
      </c>
      <c r="D78" s="226">
        <f>'数据-取费表'!B43</f>
        <v>6.000000000000001E-3</v>
      </c>
      <c r="E78" s="3064" t="s">
        <v>2269</v>
      </c>
      <c r="F78" s="3065"/>
      <c r="G78" s="3065"/>
      <c r="H78" s="307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6182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167.08108108108109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3696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4" t="s">
        <v>2273</v>
      </c>
      <c r="B83" s="3105"/>
      <c r="C83" s="3105"/>
      <c r="D83" s="3105"/>
      <c r="E83" s="3105"/>
      <c r="F83" s="3105"/>
      <c r="G83" s="3105"/>
      <c r="H83" s="310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3" t="s">
        <v>2236</v>
      </c>
      <c r="B84" s="3084"/>
      <c r="C84" s="1801"/>
      <c r="D84" s="1801"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6219</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37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797"/>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64" t="s">
        <v>2282</v>
      </c>
      <c r="F91" s="3065"/>
      <c r="G91" s="3065"/>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64" t="s">
        <v>2286</v>
      </c>
      <c r="F92" s="3065"/>
      <c r="G92" s="3065"/>
      <c r="H92" s="307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37</v>
      </c>
      <c r="D93" s="226">
        <f>'数据-取费表'!B43</f>
        <v>6.000000000000001E-3</v>
      </c>
      <c r="E93" s="3064" t="s">
        <v>2269</v>
      </c>
      <c r="F93" s="3065"/>
      <c r="G93" s="3065"/>
      <c r="H93" s="307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075" t="s">
        <v>2290</v>
      </c>
      <c r="F94" s="3076"/>
      <c r="G94" s="3076"/>
      <c r="H94" s="307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6182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167.08108108108109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3696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49" t="s">
        <v>2292</v>
      </c>
      <c r="B100" s="3050"/>
      <c r="C100" s="3050"/>
      <c r="D100" s="3066"/>
      <c r="E100" s="3050" t="s">
        <v>2293</v>
      </c>
      <c r="F100" s="3050"/>
      <c r="G100" s="3050"/>
      <c r="H100" s="3066"/>
      <c r="I100" s="138"/>
    </row>
    <row r="101" spans="1:35" ht="18.75" customHeight="1">
      <c r="A101" s="3128" t="s">
        <v>2294</v>
      </c>
      <c r="B101" s="3129"/>
      <c r="C101" s="736" t="str">
        <f>C4</f>
        <v>比较法-工业</v>
      </c>
      <c r="D101" s="737" t="str">
        <f>D4</f>
        <v>收益法</v>
      </c>
      <c r="E101" s="3142" t="s">
        <v>2295</v>
      </c>
      <c r="F101" s="3096"/>
      <c r="G101" s="2521" t="s">
        <v>2296</v>
      </c>
      <c r="H101" s="1045">
        <f ca="1">H118</f>
        <v>6530</v>
      </c>
      <c r="I101" s="138"/>
    </row>
    <row r="102" spans="1:35" ht="18.75" customHeight="1">
      <c r="A102" s="3098" t="s">
        <v>2297</v>
      </c>
      <c r="B102" s="2521" t="s">
        <v>2296</v>
      </c>
      <c r="C102" s="736">
        <f ca="1">C19</f>
        <v>4711</v>
      </c>
      <c r="D102" s="737">
        <f ca="1">D19</f>
        <v>9258</v>
      </c>
      <c r="E102" s="3142"/>
      <c r="F102" s="3096"/>
      <c r="G102" s="2521" t="s">
        <v>2298</v>
      </c>
      <c r="H102" s="371">
        <f ca="1">I118</f>
        <v>11307</v>
      </c>
      <c r="I102" s="138"/>
    </row>
    <row r="103" spans="1:35" ht="42.75" customHeight="1">
      <c r="A103" s="3098"/>
      <c r="B103" s="2521" t="s">
        <v>2298</v>
      </c>
      <c r="C103" s="738">
        <f ca="1">C20</f>
        <v>8157</v>
      </c>
      <c r="D103" s="739">
        <f ca="1">D20</f>
        <v>16031</v>
      </c>
      <c r="E103" s="3137" t="s">
        <v>2299</v>
      </c>
      <c r="F103" s="3138"/>
      <c r="G103" s="2522" t="s">
        <v>2300</v>
      </c>
      <c r="H103" s="1045">
        <f>IF(D36="正常操作",H104+H105+H106,H105+H106)</f>
        <v>0</v>
      </c>
      <c r="I103" s="138"/>
    </row>
    <row r="104" spans="1:35" ht="18.75" customHeight="1">
      <c r="A104" s="3098" t="s">
        <v>2301</v>
      </c>
      <c r="B104" s="2523" t="s">
        <v>2296</v>
      </c>
      <c r="C104" s="740">
        <f ca="1">H118</f>
        <v>6530</v>
      </c>
      <c r="D104" s="741"/>
      <c r="E104" s="2267" t="s">
        <v>2302</v>
      </c>
      <c r="F104" s="2258"/>
      <c r="G104" s="2522" t="s">
        <v>2300</v>
      </c>
      <c r="H104" s="1046">
        <f>IF(D36="同一抵押权人同一抵押物续贷",C36&amp;"（未扣减，详见特别提示）",C36)</f>
        <v>0</v>
      </c>
      <c r="I104" s="138"/>
    </row>
    <row r="105" spans="1:35" ht="18.75" customHeight="1" thickBot="1">
      <c r="A105" s="3099"/>
      <c r="B105" s="2524" t="s">
        <v>2298</v>
      </c>
      <c r="C105" s="742">
        <f ca="1">I118</f>
        <v>11307</v>
      </c>
      <c r="D105" s="743"/>
      <c r="E105" s="2267" t="s">
        <v>2303</v>
      </c>
      <c r="F105" s="2258"/>
      <c r="G105" s="2522" t="s">
        <v>2300</v>
      </c>
      <c r="H105" s="1046">
        <f>C37</f>
        <v>0</v>
      </c>
      <c r="I105" s="138"/>
    </row>
    <row r="106" spans="1:35" ht="18.75" customHeight="1">
      <c r="A106" s="2419" t="s">
        <v>2304</v>
      </c>
      <c r="B106" s="2419"/>
      <c r="C106" s="2419"/>
      <c r="D106" s="2419"/>
      <c r="E106" s="2525" t="s">
        <v>2305</v>
      </c>
      <c r="F106" s="2258"/>
      <c r="G106" s="2522" t="s">
        <v>2300</v>
      </c>
      <c r="H106" s="1046">
        <f>C38</f>
        <v>0</v>
      </c>
      <c r="I106" s="138"/>
    </row>
    <row r="107" spans="1:35" ht="18.75" customHeight="1">
      <c r="A107" s="138"/>
      <c r="B107" s="138"/>
      <c r="C107" s="138"/>
      <c r="D107" s="138"/>
      <c r="E107" s="3095" t="str">
        <f>IF(项目基本情况!E8="已注销","——","3.房地产抵押价值")</f>
        <v>3.房地产抵押价值</v>
      </c>
      <c r="F107" s="3096"/>
      <c r="G107" s="2521" t="s">
        <v>2296</v>
      </c>
      <c r="H107" s="1045">
        <f ca="1">IF(E107="——","——",H101-H103)</f>
        <v>6530</v>
      </c>
      <c r="I107" s="138"/>
    </row>
    <row r="108" spans="1:35" ht="18.75" customHeight="1">
      <c r="A108" s="138"/>
      <c r="B108" s="138"/>
      <c r="C108" s="138"/>
      <c r="D108" s="138"/>
      <c r="E108" s="3095"/>
      <c r="F108" s="3096"/>
      <c r="G108" s="2521" t="s">
        <v>2298</v>
      </c>
      <c r="H108" s="371">
        <f ca="1">ROUND(H107*10000/'数据-汇总表'!E3,0)</f>
        <v>11307</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1" t="s">
        <v>2296</v>
      </c>
      <c r="H109" s="348" t="str">
        <f>IF(E109="——","——",H101-H105-H106)</f>
        <v>——</v>
      </c>
      <c r="I109" s="138"/>
    </row>
    <row r="110" spans="1:35" ht="18.75" customHeight="1">
      <c r="A110" s="138"/>
      <c r="B110" s="138"/>
      <c r="C110" s="138"/>
      <c r="D110" s="138"/>
      <c r="E110" s="3095"/>
      <c r="F110" s="3096"/>
      <c r="G110" s="2521" t="s">
        <v>2298</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1" t="s">
        <v>2296</v>
      </c>
      <c r="H111" s="1045" t="str">
        <f>IF(E111="——","——",N59)</f>
        <v>——</v>
      </c>
      <c r="I111" s="138"/>
    </row>
    <row r="112" spans="1:35" ht="18.75" customHeight="1" thickBot="1">
      <c r="A112" s="138"/>
      <c r="B112" s="138"/>
      <c r="C112" s="138"/>
      <c r="D112" s="138"/>
      <c r="E112" s="3132"/>
      <c r="F112" s="3133"/>
      <c r="G112" s="2526"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9"/>
      <c r="B114" s="2419"/>
      <c r="C114" s="2419"/>
      <c r="D114" s="2419"/>
      <c r="E114" s="2497"/>
      <c r="F114" s="2497"/>
      <c r="G114" s="2497"/>
      <c r="H114" s="2497"/>
      <c r="I114" s="2419"/>
    </row>
    <row r="115" spans="1:11" ht="18.75" customHeight="1">
      <c r="A115" s="3113" t="s">
        <v>2306</v>
      </c>
      <c r="B115" s="3114"/>
      <c r="C115" s="3114"/>
      <c r="D115" s="3114"/>
      <c r="E115" s="3114"/>
      <c r="F115" s="3114"/>
      <c r="G115" s="3114"/>
      <c r="H115" s="3114"/>
      <c r="I115" s="3115"/>
    </row>
    <row r="116" spans="1:11" ht="27" customHeight="1">
      <c r="A116" s="3006" t="s">
        <v>2307</v>
      </c>
      <c r="B116" s="3101" t="s">
        <v>2308</v>
      </c>
      <c r="C116" s="3101" t="s">
        <v>2309</v>
      </c>
      <c r="D116" s="3117" t="s">
        <v>2310</v>
      </c>
      <c r="E116" s="3118"/>
      <c r="F116" s="3109" t="s">
        <v>2311</v>
      </c>
      <c r="G116" s="3109"/>
      <c r="H116" s="3006" t="s">
        <v>2312</v>
      </c>
      <c r="I116" s="3006"/>
    </row>
    <row r="117" spans="1:11" ht="18.75" customHeight="1">
      <c r="A117" s="3006"/>
      <c r="B117" s="3102"/>
      <c r="C117" s="3102"/>
      <c r="D117" s="1795" t="s">
        <v>2313</v>
      </c>
      <c r="E117" s="1795" t="s">
        <v>2314</v>
      </c>
      <c r="F117" s="1795" t="s">
        <v>2313</v>
      </c>
      <c r="G117" s="1795" t="s">
        <v>2315</v>
      </c>
      <c r="H117" s="1795" t="s">
        <v>2313</v>
      </c>
      <c r="I117" s="1795" t="s">
        <v>2315</v>
      </c>
    </row>
    <row r="118" spans="1:11" ht="24.75" customHeight="1">
      <c r="A118" s="2527" t="str">
        <f>项目基本情况!S2</f>
        <v>房地产</v>
      </c>
      <c r="B118" s="1795">
        <f>M18</f>
        <v>5775.17</v>
      </c>
      <c r="C118" s="1795">
        <f>M19</f>
        <v>0</v>
      </c>
      <c r="D118" s="1795">
        <f ca="1">ROUND(IF(D32="总价",C34,E118*B118/10000),0)</f>
        <v>3931</v>
      </c>
      <c r="E118" s="1795">
        <f ca="1">ROUND(IF(C33="自定义",IF(D32="楼面单价",C34,D118*10000/B118),I118-G118),0)</f>
        <v>6807</v>
      </c>
      <c r="F118" s="1795">
        <f ca="1">ROUND(IF(D32="总价",C35,G118*B118/10000),0)</f>
        <v>2599</v>
      </c>
      <c r="G118" s="1795">
        <f ca="1">ROUND(IF(D32="楼面单价",C35,F118*10000/B118),0)</f>
        <v>4500</v>
      </c>
      <c r="H118" s="1795">
        <f ca="1">ROUND(IF(D32="总价",C32,I118*B118/10000),0)</f>
        <v>6530</v>
      </c>
      <c r="I118" s="1795">
        <f ca="1">ROUND(IF(D32="楼面单价",C32,H118*10000/B118),0)</f>
        <v>11307</v>
      </c>
    </row>
    <row r="119" spans="1:11" ht="18.75" customHeight="1">
      <c r="A119" s="3006" t="s">
        <v>2316</v>
      </c>
      <c r="B119" s="3006"/>
      <c r="C119" s="3006"/>
      <c r="D119" s="3106" t="str">
        <f ca="1">NUMBERSTRING(INT(D118*10000),2)&amp;"元整"</f>
        <v>叁仟玖佰叁拾壹万元整</v>
      </c>
      <c r="E119" s="3108"/>
      <c r="F119" s="3106" t="str">
        <f ca="1">NUMBERSTRING(INT(F118*10000),2)&amp;"元整"</f>
        <v>贰仟伍佰玖拾玖万元整</v>
      </c>
      <c r="G119" s="3108"/>
      <c r="H119" s="3106" t="str">
        <f ca="1">NUMBERSTRING(INT(H118*10000),2)&amp;"元整"</f>
        <v>陆仟伍佰叁拾万元整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4" t="str">
        <f>IF(D120=0,"故，本次评估不存在"&amp;A120,"故，本次评估"&amp;A120&amp;"为人民币"&amp;D120&amp;"万元整。")</f>
        <v>故，本次评估不存在估价师知悉的法定优先受偿款</v>
      </c>
    </row>
    <row r="121" spans="1:11" ht="18.75" customHeight="1">
      <c r="A121" s="3110" t="s">
        <v>2316</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6530</v>
      </c>
      <c r="E122" s="3135"/>
      <c r="F122" s="3135"/>
      <c r="G122" s="3135"/>
      <c r="H122" s="3135"/>
      <c r="I122" s="3136"/>
    </row>
    <row r="123" spans="1:11" ht="18.75" customHeight="1">
      <c r="A123" s="3006" t="s">
        <v>2316</v>
      </c>
      <c r="B123" s="3006"/>
      <c r="C123" s="3006"/>
      <c r="D123" s="3106" t="str">
        <f ca="1">NUMBERSTRING(INT(D122*10000),2)&amp;"元整"</f>
        <v>陆仟伍佰叁拾万元整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2316</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2316</v>
      </c>
      <c r="B127" s="3006"/>
      <c r="C127" s="3006"/>
      <c r="D127" s="3106" t="e">
        <f>NUMBERSTRING(INT(D126*10000),2)&amp;"元整"</f>
        <v>#VALUE!</v>
      </c>
      <c r="E127" s="3107"/>
      <c r="F127" s="3107"/>
      <c r="G127" s="3107"/>
      <c r="H127" s="3107"/>
      <c r="I127" s="3108"/>
    </row>
    <row r="128" spans="1:11" ht="21.75" customHeight="1">
      <c r="A128" s="3116" t="s">
        <v>2317</v>
      </c>
      <c r="B128" s="3116"/>
      <c r="C128" s="3116"/>
      <c r="D128" s="3116"/>
      <c r="E128" s="3116"/>
      <c r="F128" s="3116"/>
      <c r="G128" s="3116"/>
      <c r="H128" s="3116"/>
      <c r="I128" s="3116"/>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2851</v>
      </c>
      <c r="C2" s="243" t="s">
        <v>2327</v>
      </c>
      <c r="D2" s="2550" t="s">
        <v>70</v>
      </c>
      <c r="E2" s="1440"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4937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3"/>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200</v>
      </c>
      <c r="F9" s="265"/>
      <c r="G9" s="2554"/>
      <c r="H9" s="1390"/>
      <c r="I9" s="2555" t="s">
        <v>2343</v>
      </c>
    </row>
    <row r="10" spans="1:9" s="258" customFormat="1" ht="13.5" customHeight="1">
      <c r="A10" s="950" t="s">
        <v>801</v>
      </c>
      <c r="B10" s="268" t="s">
        <v>2344</v>
      </c>
      <c r="C10" s="269">
        <f ca="1">ROUND(D10*E10/10000,0)</f>
        <v>116</v>
      </c>
      <c r="D10" s="1032">
        <f ca="1">IF(B1="",'数据-汇总表'!E6,IF(INDIRECT("'数据-取费表'!c"&amp;$G$1)="住宅",INDIRECT("'数据-取费表'!s"&amp;$G$1),INDIRECT("'数据-取费表'!k"&amp;$G$1)+INDIRECT("'数据-取费表'!s"&amp;$G$1)))</f>
        <v>5775.17</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116</v>
      </c>
      <c r="D19" s="1036">
        <f ca="1">D9+D10</f>
        <v>5775.17</v>
      </c>
      <c r="E19" s="255">
        <f>'数据-取费表'!B31</f>
        <v>200</v>
      </c>
      <c r="F19" s="275"/>
      <c r="G19" s="2553"/>
    </row>
    <row r="20" spans="1:7" s="258" customFormat="1" ht="13.5" customHeight="1">
      <c r="A20" s="299" t="s">
        <v>2357</v>
      </c>
      <c r="B20" s="254" t="s">
        <v>2358</v>
      </c>
      <c r="C20" s="276">
        <f ca="1">ROUND((C5+C19)*F20,0)</f>
        <v>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11</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11</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24</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24</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2047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1848</v>
      </c>
      <c r="D34" s="261"/>
      <c r="E34" s="264"/>
      <c r="F34" s="301">
        <f ca="1">IF('数据-取费表'!B24=0,1,IF(B1="",'数据-取费表'!N16,INDIRECT("'数据-取费表'!n"&amp;$G$1)))</f>
        <v>1</v>
      </c>
      <c r="G34" s="263" t="s">
        <v>2390</v>
      </c>
    </row>
    <row r="35" spans="1:7" ht="13.5" customHeight="1">
      <c r="A35" s="951" t="s">
        <v>796</v>
      </c>
      <c r="B35" s="259" t="s">
        <v>2391</v>
      </c>
      <c r="C35" s="264">
        <f ca="1">ROUND(C34*F35,0)</f>
        <v>55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116</v>
      </c>
      <c r="D37" s="261">
        <f ca="1">D19</f>
        <v>5775.17</v>
      </c>
      <c r="E37" s="293">
        <f>'数据-取费表'!B35</f>
        <v>200</v>
      </c>
      <c r="F37" s="303"/>
      <c r="G37" s="305" t="s">
        <v>2396</v>
      </c>
    </row>
    <row r="38" spans="1:7" ht="13.5" customHeight="1">
      <c r="A38" s="951" t="s">
        <v>799</v>
      </c>
      <c r="B38" s="259" t="s">
        <v>2397</v>
      </c>
      <c r="C38" s="264">
        <f ca="1">ROUND(C34*F38,0)</f>
        <v>28</v>
      </c>
      <c r="D38" s="264"/>
      <c r="E38" s="264"/>
      <c r="F38" s="303">
        <f>'数据-取费表'!B36</f>
        <v>1.4999999999999999E-2</v>
      </c>
      <c r="G38" s="263" t="s">
        <v>2392</v>
      </c>
    </row>
    <row r="39" spans="1:7" s="258" customFormat="1" ht="13.5" customHeight="1">
      <c r="A39" s="299" t="s">
        <v>2398</v>
      </c>
      <c r="B39" s="254" t="s">
        <v>2399</v>
      </c>
      <c r="C39" s="276">
        <f ca="1">ROUND(C33*F20,0)</f>
        <v>41</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97</v>
      </c>
      <c r="D42" s="282"/>
      <c r="E42" s="282"/>
      <c r="F42" s="283"/>
      <c r="G42" s="3148" t="s">
        <v>2408</v>
      </c>
    </row>
    <row r="43" spans="1:7" ht="13.5" customHeight="1">
      <c r="A43" s="951" t="s">
        <v>792</v>
      </c>
      <c r="B43" s="259" t="s">
        <v>2409</v>
      </c>
      <c r="C43" s="282">
        <f ca="1">ROUND(IF('数据-取费表'!B22&lt;=1,C39*F22*'数据-取费表'!B21/2,C39*(POWER((1+F22),'数据-取费表'!B21/2)-1)),0)</f>
        <v>2</v>
      </c>
      <c r="D43" s="282"/>
      <c r="E43" s="282"/>
      <c r="F43" s="283"/>
      <c r="G43" s="3149"/>
    </row>
    <row r="44" spans="1:7" ht="13.5" customHeight="1">
      <c r="A44" s="951" t="s">
        <v>793</v>
      </c>
      <c r="B44" s="259" t="s">
        <v>2410</v>
      </c>
      <c r="C44" s="282">
        <f ca="1">ROUND(IF('数据-取费表'!B22&lt;=1,C40*F22*'数据-取费表'!B21/2,C40*(POWER((1+F22),'数据-取费表'!B21/2)-1)),4)</f>
        <v>1E-3</v>
      </c>
      <c r="D44" s="282"/>
      <c r="E44" s="282"/>
      <c r="F44" s="283"/>
      <c r="G44" s="3150"/>
    </row>
    <row r="45" spans="1:7" s="258" customFormat="1" ht="13.5" customHeight="1">
      <c r="A45" s="299" t="s">
        <v>2411</v>
      </c>
      <c r="B45" s="288" t="s">
        <v>2377</v>
      </c>
      <c r="C45" s="289">
        <f ca="1">C46</f>
        <v>418</v>
      </c>
      <c r="D45" s="279">
        <f ca="1">C47</f>
        <v>4.0000000000000001E-3</v>
      </c>
      <c r="E45" s="280" t="s">
        <v>2403</v>
      </c>
      <c r="F45" s="290"/>
      <c r="G45" s="291" t="s">
        <v>2412</v>
      </c>
    </row>
    <row r="46" spans="1:7" s="258" customFormat="1" ht="13.5" customHeight="1">
      <c r="A46" s="951" t="s">
        <v>791</v>
      </c>
      <c r="B46" s="292" t="s">
        <v>2413</v>
      </c>
      <c r="C46" s="293">
        <f ca="1">ROUND((C33+C39)*F27,0)</f>
        <v>418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2826</v>
      </c>
      <c r="D49" s="276"/>
      <c r="E49" s="276"/>
      <c r="F49" s="308"/>
      <c r="G49" s="278" t="s">
        <v>2418</v>
      </c>
    </row>
    <row r="50" spans="1:7" s="302" customFormat="1" ht="24">
      <c r="A50" s="299" t="s">
        <v>2419</v>
      </c>
      <c r="B50" s="254" t="s">
        <v>2420</v>
      </c>
      <c r="C50" s="276"/>
      <c r="D50" s="276"/>
      <c r="E50" s="276"/>
      <c r="F50" s="308">
        <f>IF('数据-取费表'!B24=0,'数据-取费表'!N16,1)</f>
        <v>0.95</v>
      </c>
      <c r="G50" s="291" t="s">
        <v>2421</v>
      </c>
    </row>
    <row r="51" spans="1:7" ht="16.5" customHeight="1">
      <c r="A51" s="299" t="s">
        <v>2422</v>
      </c>
      <c r="B51" s="254" t="s">
        <v>2423</v>
      </c>
      <c r="C51" s="276">
        <f ca="1">ROUND(C49*F50,0)</f>
        <v>2685</v>
      </c>
      <c r="D51" s="276"/>
      <c r="E51" s="276"/>
      <c r="F51" s="308"/>
      <c r="G51" s="278" t="s">
        <v>2424</v>
      </c>
    </row>
    <row r="52" spans="1:7" s="252" customFormat="1" ht="16.5" thickBot="1">
      <c r="A52" s="309" t="s">
        <v>2425</v>
      </c>
      <c r="B52" s="310"/>
      <c r="C52" s="311">
        <f ca="1">C31+C51</f>
        <v>2851</v>
      </c>
      <c r="D52" s="310"/>
      <c r="E52" s="310"/>
      <c r="F52" s="310"/>
      <c r="G52" s="312"/>
    </row>
    <row r="55" spans="1:7" ht="15">
      <c r="B55" s="314" t="s">
        <v>2426</v>
      </c>
      <c r="C55" s="315"/>
    </row>
    <row r="56" spans="1:7">
      <c r="B56" s="317" t="s">
        <v>1507</v>
      </c>
      <c r="C56" s="319">
        <f ca="1">1-C57</f>
        <v>5.8000000000000052E-2</v>
      </c>
    </row>
    <row r="57" spans="1:7">
      <c r="B57" s="317" t="s">
        <v>1508</v>
      </c>
      <c r="C57" s="318">
        <f ca="1">ROUND(C51/C52,3)</f>
        <v>0.94199999999999995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预评估</v>
      </c>
      <c r="C37" s="2962"/>
      <c r="D37" s="2962"/>
      <c r="E37" s="2962"/>
      <c r="F37" s="2962"/>
      <c r="G37" s="2962"/>
      <c r="H37" s="2962"/>
      <c r="I37" s="296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6"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3016</v>
      </c>
      <c r="C2" s="243" t="s">
        <v>2327</v>
      </c>
      <c r="D2" s="2550" t="s">
        <v>70</v>
      </c>
      <c r="E2" s="1440"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5222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1155034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1155034</v>
      </c>
      <c r="D8" s="266"/>
      <c r="E8" s="264"/>
      <c r="F8" s="265"/>
      <c r="G8" s="2553"/>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2344</v>
      </c>
      <c r="C10" s="269">
        <f ca="1">ROUND(D10*E10,0)</f>
        <v>1155034</v>
      </c>
      <c r="D10" s="1032">
        <f ca="1">IF(B1="",'数据-汇总表'!E6,IF(INDIRECT("'数据-取费表'!c"&amp;$G$1)="住宅",INDIRECT("'数据-取费表'!s"&amp;$G$1),INDIRECT("'数据-取费表'!k"&amp;$G$1)+INDIRECT("'数据-取费表'!s"&amp;$G$1)))</f>
        <v>5775.17</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1155034</v>
      </c>
      <c r="D19" s="1036">
        <f ca="1">D9+D10</f>
        <v>5775.17</v>
      </c>
      <c r="E19" s="255">
        <f>'数据-取费表'!B31</f>
        <v>200</v>
      </c>
      <c r="F19" s="275"/>
      <c r="G19" s="2553"/>
    </row>
    <row r="20" spans="1:7" s="258" customFormat="1" ht="13.5" customHeight="1">
      <c r="A20" s="299" t="s">
        <v>2438</v>
      </c>
      <c r="B20" s="254" t="s">
        <v>2439</v>
      </c>
      <c r="C20" s="276">
        <f ca="1">ROUND((C5+C19)*F20,0)</f>
        <v>46201</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226863</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112334</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112334</v>
      </c>
      <c r="D24" s="282"/>
      <c r="E24" s="282"/>
      <c r="F24" s="283"/>
      <c r="G24" s="284" t="s">
        <v>2450</v>
      </c>
    </row>
    <row r="25" spans="1:7" s="258" customFormat="1" ht="24">
      <c r="A25" s="951" t="s">
        <v>2340</v>
      </c>
      <c r="B25" s="259" t="s">
        <v>2451</v>
      </c>
      <c r="C25" s="1381">
        <f ca="1">ROUND(IF('数据-取费表'!B22&lt;=1,C20*F22*'数据-取费表'!B22/2,C20*(POWER((1+F22),'数据-取费表'!B22/2)-1)),0)</f>
        <v>2195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471254</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471254</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3313861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20467202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18480544</v>
      </c>
      <c r="D34" s="261"/>
      <c r="E34" s="264"/>
      <c r="F34" s="301"/>
      <c r="G34" s="263"/>
    </row>
    <row r="35" spans="1:7" ht="13.5" customHeight="1">
      <c r="A35" s="951" t="s">
        <v>796</v>
      </c>
      <c r="B35" s="259" t="s">
        <v>2391</v>
      </c>
      <c r="C35" s="264">
        <f ca="1">ROUND(C34*F35,0)</f>
        <v>554416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1155034</v>
      </c>
      <c r="D37" s="261">
        <f ca="1">D19</f>
        <v>5775.17</v>
      </c>
      <c r="E37" s="293">
        <f>'数据-取费表'!B35</f>
        <v>200</v>
      </c>
      <c r="F37" s="303"/>
      <c r="G37" s="305"/>
    </row>
    <row r="38" spans="1:7" ht="13.5" customHeight="1">
      <c r="A38" s="951" t="s">
        <v>799</v>
      </c>
      <c r="B38" s="259" t="s">
        <v>2397</v>
      </c>
      <c r="C38" s="264">
        <f ca="1">ROUND(C34*F38,0)</f>
        <v>277208</v>
      </c>
      <c r="D38" s="264"/>
      <c r="E38" s="264"/>
      <c r="F38" s="303">
        <f>'数据-取费表'!B36</f>
        <v>1.4999999999999999E-2</v>
      </c>
      <c r="G38" s="263" t="s">
        <v>2392</v>
      </c>
    </row>
    <row r="39" spans="1:7" s="258" customFormat="1" ht="13.5" customHeight="1">
      <c r="A39" s="299" t="s">
        <v>2398</v>
      </c>
      <c r="B39" s="254" t="s">
        <v>2399</v>
      </c>
      <c r="C39" s="276">
        <f ca="1">ROUND(C33*F20,0)</f>
        <v>409344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991636</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972192</v>
      </c>
      <c r="D42" s="282"/>
      <c r="E42" s="282"/>
      <c r="F42" s="283"/>
      <c r="G42" s="3148" t="s">
        <v>2455</v>
      </c>
    </row>
    <row r="43" spans="1:7" ht="13.5" customHeight="1">
      <c r="A43" s="951" t="s">
        <v>792</v>
      </c>
      <c r="B43" s="259" t="s">
        <v>2409</v>
      </c>
      <c r="C43" s="282">
        <f ca="1">ROUND(IF('数据-取费表'!B22&lt;=1,C39*F22*'数据-取费表'!B20/2,C39*(POWER((1+F22),'数据-取费表'!B20/2)-1)),0)</f>
        <v>19444</v>
      </c>
      <c r="D43" s="282"/>
      <c r="E43" s="282"/>
      <c r="F43" s="283"/>
      <c r="G43" s="3149"/>
    </row>
    <row r="44" spans="1:7" ht="13.5" customHeight="1">
      <c r="A44" s="951" t="s">
        <v>793</v>
      </c>
      <c r="B44" s="259" t="s">
        <v>2410</v>
      </c>
      <c r="C44" s="282">
        <f ca="1">ROUND(IF('数据-取费表'!B22&lt;=1,C40*F22*'数据-取费表'!B20/2,C40*(POWER((1+F22),'数据-取费表'!B20/2)-1)),4)</f>
        <v>1E-3</v>
      </c>
      <c r="D44" s="282"/>
      <c r="E44" s="282"/>
      <c r="F44" s="283"/>
      <c r="G44" s="3150"/>
    </row>
    <row r="45" spans="1:7" s="258" customFormat="1" ht="13.5" customHeight="1">
      <c r="A45" s="299" t="s">
        <v>2411</v>
      </c>
      <c r="B45" s="288" t="s">
        <v>2377</v>
      </c>
      <c r="C45" s="289">
        <f ca="1">C46</f>
        <v>4175309</v>
      </c>
      <c r="D45" s="279">
        <f ca="1">C47</f>
        <v>4.0000000000000001E-3</v>
      </c>
      <c r="E45" s="280" t="s">
        <v>2403</v>
      </c>
      <c r="F45" s="290"/>
      <c r="G45" s="291" t="s">
        <v>2412</v>
      </c>
    </row>
    <row r="46" spans="1:7" s="258" customFormat="1" ht="13.5" customHeight="1">
      <c r="A46" s="951" t="s">
        <v>791</v>
      </c>
      <c r="B46" s="292" t="s">
        <v>2413</v>
      </c>
      <c r="C46" s="293">
        <f ca="1">ROUND((C33+C39)*F27,0)</f>
        <v>4175309</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28255930</v>
      </c>
      <c r="D49" s="276"/>
      <c r="E49" s="276"/>
      <c r="F49" s="308"/>
      <c r="G49" s="278" t="s">
        <v>2418</v>
      </c>
    </row>
    <row r="50" spans="1:7" s="302" customFormat="1">
      <c r="A50" s="299" t="s">
        <v>2419</v>
      </c>
      <c r="B50" s="254" t="s">
        <v>2420</v>
      </c>
      <c r="C50" s="276"/>
      <c r="D50" s="276"/>
      <c r="E50" s="276"/>
      <c r="F50" s="308">
        <f>IF('数据-取费表'!B24=0,'数据-取费表'!N16,1)</f>
        <v>0.95</v>
      </c>
      <c r="G50" s="291"/>
    </row>
    <row r="51" spans="1:7" ht="16.5" customHeight="1">
      <c r="A51" s="299" t="s">
        <v>2422</v>
      </c>
      <c r="B51" s="254" t="s">
        <v>2457</v>
      </c>
      <c r="C51" s="276">
        <f ca="1">ROUND(C49*F50,0)</f>
        <v>26843134</v>
      </c>
      <c r="D51" s="276"/>
      <c r="E51" s="276"/>
      <c r="F51" s="308"/>
      <c r="G51" s="278" t="s">
        <v>2424</v>
      </c>
    </row>
    <row r="52" spans="1:7" s="252" customFormat="1" ht="16.5" thickBot="1">
      <c r="A52" s="309" t="s">
        <v>2425</v>
      </c>
      <c r="B52" s="310"/>
      <c r="C52" s="311">
        <f ca="1">C31+C51</f>
        <v>30156995</v>
      </c>
      <c r="D52" s="310"/>
      <c r="E52" s="310"/>
      <c r="F52" s="310"/>
      <c r="G52" s="312"/>
    </row>
    <row r="55" spans="1:7" ht="15">
      <c r="B55" s="314" t="s">
        <v>2426</v>
      </c>
      <c r="C55" s="315"/>
    </row>
    <row r="56" spans="1:7">
      <c r="B56" s="317" t="s">
        <v>1507</v>
      </c>
      <c r="C56" s="319">
        <f ca="1">1-C57</f>
        <v>0.10999999999999999</v>
      </c>
    </row>
    <row r="57" spans="1:7">
      <c r="B57" s="317" t="s">
        <v>1508</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-138</v>
      </c>
      <c r="C2" s="320" t="s">
        <v>2459</v>
      </c>
      <c r="D2" s="320"/>
      <c r="E2" s="320"/>
      <c r="F2" s="320"/>
      <c r="G2" s="320"/>
      <c r="H2" s="320"/>
      <c r="I2" s="320"/>
      <c r="J2" s="320"/>
      <c r="K2" s="320"/>
    </row>
    <row r="3" spans="1:33" ht="18" customHeight="1" thickBot="1">
      <c r="A3" s="247" t="s">
        <v>2328</v>
      </c>
      <c r="B3" s="248">
        <f ca="1">ROUND(B2*10000/IF(C1="",'数据-汇总表'!E3,INDIRECT("'数据-取费表'!K"&amp;$K$1)),0)</f>
        <v>-239</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7" t="s">
        <v>2464</v>
      </c>
      <c r="D5" s="2557" t="s">
        <v>2465</v>
      </c>
      <c r="E5" s="2557" t="s">
        <v>2466</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5775.17</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5775.17</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116</v>
      </c>
      <c r="D18" s="1033"/>
      <c r="E18" s="24"/>
      <c r="F18" s="976"/>
      <c r="G18" s="2559"/>
      <c r="H18" s="1577"/>
      <c r="I18" s="256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2494</v>
      </c>
      <c r="C20" s="24">
        <f ca="1">ROUND(D20*E20/10000,0)</f>
        <v>116</v>
      </c>
      <c r="D20" s="1033">
        <f ca="1">IF(C1="",'数据-汇总表'!E6,IF(INDIRECT("'数据-取费表'!c"&amp;$K$1)="住宅",INDIRECT("'数据-取费表'!s"&amp;$K$1),INDIRECT("'数据-取费表'!k"&amp;$K$1)+INDIRECT("'数据-取费表'!s"&amp;$K$1)))</f>
        <v>5775.17</v>
      </c>
      <c r="E20" s="24">
        <f>'数据-取费表'!B28</f>
        <v>200</v>
      </c>
      <c r="F20" s="976"/>
      <c r="G20" s="15"/>
      <c r="H20" s="981"/>
      <c r="I20" s="981"/>
      <c r="J20" s="981"/>
      <c r="K20" s="982"/>
    </row>
    <row r="21" spans="1:33" s="975" customFormat="1" ht="13.5" customHeight="1">
      <c r="A21" s="961" t="s">
        <v>802</v>
      </c>
      <c r="B21" s="985" t="s">
        <v>2495</v>
      </c>
      <c r="C21" s="986">
        <f ca="1">C16+C17+C18</f>
        <v>116</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2508</v>
      </c>
      <c r="B28" s="2562" t="s">
        <v>2509</v>
      </c>
      <c r="C28" s="331">
        <f ca="1">C30</f>
        <v>24</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24</v>
      </c>
      <c r="D30" s="328"/>
      <c r="E30" s="329"/>
      <c r="F30" s="334"/>
      <c r="G30" s="140"/>
      <c r="H30" s="979"/>
      <c r="I30" s="979"/>
      <c r="J30" s="979"/>
      <c r="K30" s="980"/>
    </row>
    <row r="31" spans="1:33" s="975" customFormat="1" ht="13.5" customHeight="1" thickBot="1">
      <c r="A31" s="2563"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-138</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I42" sqref="I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2701</v>
      </c>
      <c r="C1" s="1620" t="s">
        <v>2529</v>
      </c>
      <c r="D1" s="1621" t="s">
        <v>3062</v>
      </c>
      <c r="E1" s="1630"/>
      <c r="F1" s="2587" t="s">
        <v>3065</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IF(C2="——",ROUND(C43*D3/10000,0),ROUND(C43*D3/10000,0)-D2)</f>
        <v>4711</v>
      </c>
      <c r="C2" s="2589" t="s">
        <v>70</v>
      </c>
      <c r="D2" s="1124" t="e">
        <f ca="1">SUMIF(INDIRECT("'"&amp;F2&amp;"'"&amp;"!A:A"),"承租人权益价值",INDIRECT("'"&amp;F2&amp;"'"&amp;"!c:c"))</f>
        <v>#REF!</v>
      </c>
      <c r="E2" s="2590" t="s">
        <v>2327</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f>IF(C2="——",C43,ROUND(B2*10000/D3,0))</f>
        <v>8157</v>
      </c>
      <c r="C3" s="400" t="s">
        <v>2643</v>
      </c>
      <c r="D3" s="399">
        <f>IF(D1="",'数据-汇总表'!E3,SUMIF('数据-汇总表'!$C19:$C33,D1,'数据-汇总表'!$E19:$E33))</f>
        <v>5775.17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62" t="s">
        <v>2647</v>
      </c>
      <c r="AC4" s="3161" t="s">
        <v>2648</v>
      </c>
    </row>
    <row r="5" spans="1:29"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62"/>
      <c r="AC5" s="3162"/>
    </row>
    <row r="6" spans="1:29" ht="15.75" thickBot="1">
      <c r="A6" s="406"/>
      <c r="B6" s="407"/>
      <c r="C6" s="3181" t="s">
        <v>2545</v>
      </c>
      <c r="D6" s="3182"/>
      <c r="E6" s="3188" t="s">
        <v>2545</v>
      </c>
      <c r="F6" s="3189"/>
      <c r="G6" s="3181" t="s">
        <v>2545</v>
      </c>
      <c r="H6" s="3182"/>
      <c r="I6" s="3181" t="s">
        <v>2545</v>
      </c>
      <c r="J6" s="3182"/>
      <c r="K6" s="610" t="s">
        <v>2546</v>
      </c>
      <c r="L6" s="1130"/>
      <c r="M6" s="1131"/>
      <c r="N6" s="1131"/>
      <c r="O6" s="1131"/>
      <c r="P6" s="3172"/>
      <c r="Q6" s="3173"/>
      <c r="R6" s="3176"/>
      <c r="S6" s="3177"/>
      <c r="T6" s="3178"/>
      <c r="U6" s="3179"/>
      <c r="V6" s="3180"/>
      <c r="W6" s="3180"/>
      <c r="X6" s="1813"/>
      <c r="Y6" s="3178"/>
      <c r="Z6" s="3179"/>
      <c r="AA6" s="3163"/>
      <c r="AB6" s="3163"/>
      <c r="AC6" s="3163"/>
    </row>
    <row r="7" spans="1:29" s="117" customFormat="1" ht="15.75" thickBot="1">
      <c r="A7" s="408" t="s">
        <v>2547</v>
      </c>
      <c r="B7" s="409"/>
      <c r="C7" s="410">
        <f>'数据-取费表'!B2</f>
        <v>43718</v>
      </c>
      <c r="D7" s="411">
        <v>100</v>
      </c>
      <c r="E7" s="412">
        <f>C7</f>
        <v>43718</v>
      </c>
      <c r="F7" s="413">
        <f>SUMIF(52:52,YEAR(E7)&amp;"-"&amp;MONTH(E7),53:53)</f>
        <v>100</v>
      </c>
      <c r="G7" s="412">
        <f>C7</f>
        <v>43718</v>
      </c>
      <c r="H7" s="411">
        <f>SUMIF(52:52,YEAR(G7)&amp;"-"&amp;MONTH(G7),53:53)</f>
        <v>100</v>
      </c>
      <c r="I7" s="412">
        <f>C7</f>
        <v>43718</v>
      </c>
      <c r="J7" s="411">
        <f>SUMIF(52:52,YEAR(I7)&amp;"-"&amp;MONTH(I7),53:53)</f>
        <v>100</v>
      </c>
      <c r="K7" s="611"/>
      <c r="L7" s="1132"/>
      <c r="M7" s="1133"/>
      <c r="N7" s="1133"/>
      <c r="O7" s="1133"/>
      <c r="P7" s="3185" t="s">
        <v>2548</v>
      </c>
      <c r="Q7" s="3187"/>
      <c r="R7" s="770" t="s">
        <v>17</v>
      </c>
      <c r="S7" s="771">
        <f t="shared" ref="S7:S15" si="0">F7</f>
        <v>100</v>
      </c>
      <c r="T7" s="770" t="s">
        <v>17</v>
      </c>
      <c r="U7" s="771">
        <f t="shared" ref="U7:U15" si="1">H7</f>
        <v>100</v>
      </c>
      <c r="V7" s="770" t="s">
        <v>17</v>
      </c>
      <c r="W7" s="771">
        <f t="shared" ref="W7:W15" si="2">J7</f>
        <v>100</v>
      </c>
      <c r="X7" s="772"/>
      <c r="Y7" s="3185" t="s">
        <v>2548</v>
      </c>
      <c r="Z7" s="3186"/>
      <c r="AA7" s="773">
        <f>D7/F7</f>
        <v>1</v>
      </c>
      <c r="AB7" s="773">
        <f>D7/H7</f>
        <v>1</v>
      </c>
      <c r="AC7" s="773">
        <f>D7/J7</f>
        <v>1</v>
      </c>
    </row>
    <row r="8" spans="1:29" s="117" customFormat="1" ht="15.75" thickBot="1">
      <c r="A8" s="408" t="s">
        <v>2549</v>
      </c>
      <c r="B8" s="409"/>
      <c r="C8" s="414" t="s">
        <v>2550</v>
      </c>
      <c r="D8" s="411">
        <v>100</v>
      </c>
      <c r="E8" s="414" t="s">
        <v>3064</v>
      </c>
      <c r="F8" s="413">
        <f>SUMIF(55:55,E8,56:56)-SUMIF(55:55,C8,56:56)+100</f>
        <v>100</v>
      </c>
      <c r="G8" s="414" t="s">
        <v>3064</v>
      </c>
      <c r="H8" s="411">
        <f>SUMIF(55:55,G8,56:56)-SUMIF(55:55,C8,56:56)+100</f>
        <v>100</v>
      </c>
      <c r="I8" s="414" t="s">
        <v>3064</v>
      </c>
      <c r="J8" s="411">
        <f>SUMIF(55:55,I8,56:56)-SUMIF(55:55,C8,56:56)+100</f>
        <v>100</v>
      </c>
      <c r="K8" s="611"/>
      <c r="L8" s="1132"/>
      <c r="M8" s="1133"/>
      <c r="N8" s="1133"/>
      <c r="O8" s="1133"/>
      <c r="P8" s="3185" t="s">
        <v>2551</v>
      </c>
      <c r="Q8" s="3186"/>
      <c r="R8" s="770" t="s">
        <v>17</v>
      </c>
      <c r="S8" s="771">
        <f t="shared" si="0"/>
        <v>100</v>
      </c>
      <c r="T8" s="770" t="s">
        <v>17</v>
      </c>
      <c r="U8" s="771">
        <f t="shared" si="1"/>
        <v>100</v>
      </c>
      <c r="V8" s="770" t="s">
        <v>17</v>
      </c>
      <c r="W8" s="771">
        <f t="shared" si="2"/>
        <v>100</v>
      </c>
      <c r="X8" s="772"/>
      <c r="Y8" s="3185" t="s">
        <v>2551</v>
      </c>
      <c r="Z8" s="3186"/>
      <c r="AA8" s="773">
        <f t="shared" ref="AA8:AA40" si="3">D8/F8</f>
        <v>1</v>
      </c>
      <c r="AB8" s="773">
        <f t="shared" ref="AB8:AB40" si="4">D8/H8</f>
        <v>1</v>
      </c>
      <c r="AC8" s="773">
        <f t="shared" ref="AC8:AC40" si="5">D8/J8</f>
        <v>1</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1"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2557</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8"/>
      <c r="M11" s="1131"/>
      <c r="N11" s="1131"/>
      <c r="O11" s="1139"/>
      <c r="P11" s="3151"/>
      <c r="Q11" s="1795"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6" t="s">
        <v>2559</v>
      </c>
      <c r="Q15" s="1810" t="str">
        <f t="shared" si="6"/>
        <v>产业集聚程度</v>
      </c>
      <c r="R15" s="774" t="s">
        <v>17</v>
      </c>
      <c r="S15" s="775">
        <f t="shared" si="0"/>
        <v>100</v>
      </c>
      <c r="T15" s="774" t="s">
        <v>17</v>
      </c>
      <c r="U15" s="775">
        <f t="shared" si="1"/>
        <v>100</v>
      </c>
      <c r="V15" s="774" t="s">
        <v>17</v>
      </c>
      <c r="W15" s="775">
        <f t="shared" si="2"/>
        <v>100</v>
      </c>
      <c r="X15" s="1813"/>
      <c r="Y15" s="3156"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7"/>
      <c r="Q16" s="1810"/>
      <c r="R16" s="774"/>
      <c r="S16" s="775"/>
      <c r="T16" s="774"/>
      <c r="U16" s="775"/>
      <c r="V16" s="774"/>
      <c r="W16" s="775"/>
      <c r="X16" s="1813"/>
      <c r="Y16" s="3157"/>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7"/>
      <c r="Q17" s="1810" t="str">
        <f>B17</f>
        <v>交通便捷度</v>
      </c>
      <c r="R17" s="774" t="s">
        <v>17</v>
      </c>
      <c r="S17" s="775">
        <f>F17</f>
        <v>100</v>
      </c>
      <c r="T17" s="774" t="s">
        <v>17</v>
      </c>
      <c r="U17" s="775">
        <f>H17</f>
        <v>100</v>
      </c>
      <c r="V17" s="774" t="s">
        <v>17</v>
      </c>
      <c r="W17" s="775">
        <f>J17</f>
        <v>100</v>
      </c>
      <c r="X17" s="1813"/>
      <c r="Y17" s="315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57"/>
      <c r="Q18" s="1810"/>
      <c r="R18" s="774"/>
      <c r="S18" s="775"/>
      <c r="T18" s="774"/>
      <c r="U18" s="775"/>
      <c r="V18" s="774"/>
      <c r="W18" s="775"/>
      <c r="X18" s="1813"/>
      <c r="Y18" s="3157"/>
      <c r="Z18" s="1814"/>
      <c r="AA18" s="1811">
        <v>1</v>
      </c>
      <c r="AB18" s="1811">
        <v>1</v>
      </c>
      <c r="AC18" s="1811">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7"/>
      <c r="Q19" s="1810" t="str">
        <f>B19</f>
        <v>公共配套设施</v>
      </c>
      <c r="R19" s="774" t="s">
        <v>17</v>
      </c>
      <c r="S19" s="775">
        <f>F19</f>
        <v>100</v>
      </c>
      <c r="T19" s="774" t="s">
        <v>17</v>
      </c>
      <c r="U19" s="775">
        <f>H19</f>
        <v>100</v>
      </c>
      <c r="V19" s="774" t="s">
        <v>17</v>
      </c>
      <c r="W19" s="775">
        <f>J19</f>
        <v>100</v>
      </c>
      <c r="X19" s="1813"/>
      <c r="Y19" s="315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57"/>
      <c r="Q20" s="1810"/>
      <c r="R20" s="774"/>
      <c r="S20" s="775"/>
      <c r="T20" s="774"/>
      <c r="U20" s="775"/>
      <c r="V20" s="774"/>
      <c r="W20" s="775"/>
      <c r="X20" s="1813"/>
      <c r="Y20" s="3157"/>
      <c r="Z20" s="1814"/>
      <c r="AA20" s="1811">
        <v>1</v>
      </c>
      <c r="AB20" s="1811">
        <v>1</v>
      </c>
      <c r="AC20" s="1811">
        <v>1</v>
      </c>
    </row>
    <row r="21" spans="1:29" ht="28.5">
      <c r="A21" s="428"/>
      <c r="B21" s="1384"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7"/>
      <c r="Q21" s="1810" t="str">
        <f>B21</f>
        <v>基础设施水平</v>
      </c>
      <c r="R21" s="774" t="s">
        <v>17</v>
      </c>
      <c r="S21" s="775">
        <f>F21</f>
        <v>100</v>
      </c>
      <c r="T21" s="774" t="s">
        <v>17</v>
      </c>
      <c r="U21" s="775">
        <f>H21</f>
        <v>100</v>
      </c>
      <c r="V21" s="774" t="s">
        <v>17</v>
      </c>
      <c r="W21" s="775">
        <f>J21</f>
        <v>100</v>
      </c>
      <c r="X21" s="1813"/>
      <c r="Y21" s="31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57"/>
      <c r="Q22" s="1810"/>
      <c r="R22" s="774"/>
      <c r="S22" s="775"/>
      <c r="T22" s="774"/>
      <c r="U22" s="775"/>
      <c r="V22" s="774"/>
      <c r="W22" s="775"/>
      <c r="X22" s="1813"/>
      <c r="Y22" s="3157"/>
      <c r="Z22" s="1814"/>
      <c r="AA22" s="1811">
        <v>1</v>
      </c>
      <c r="AB22" s="1811">
        <v>1</v>
      </c>
      <c r="AC22" s="1811">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7"/>
      <c r="Q23" s="1810" t="str">
        <f>B23</f>
        <v>环境质量</v>
      </c>
      <c r="R23" s="774" t="s">
        <v>17</v>
      </c>
      <c r="S23" s="775">
        <f>F23</f>
        <v>100</v>
      </c>
      <c r="T23" s="774" t="s">
        <v>17</v>
      </c>
      <c r="U23" s="775">
        <f>H23</f>
        <v>100</v>
      </c>
      <c r="V23" s="774" t="s">
        <v>17</v>
      </c>
      <c r="W23" s="775">
        <f>J23</f>
        <v>100</v>
      </c>
      <c r="X23" s="1813"/>
      <c r="Y23" s="3157"/>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57"/>
      <c r="Q24" s="1810"/>
      <c r="R24" s="774"/>
      <c r="S24" s="775"/>
      <c r="T24" s="774"/>
      <c r="U24" s="775"/>
      <c r="V24" s="774"/>
      <c r="W24" s="775"/>
      <c r="X24" s="1813"/>
      <c r="Y24" s="315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7"/>
      <c r="Q25" s="1810">
        <f>B25</f>
        <v>111</v>
      </c>
      <c r="R25" s="774" t="s">
        <v>17</v>
      </c>
      <c r="S25" s="775">
        <f>F25</f>
        <v>100</v>
      </c>
      <c r="T25" s="774" t="s">
        <v>17</v>
      </c>
      <c r="U25" s="775">
        <f>H25</f>
        <v>100</v>
      </c>
      <c r="V25" s="774" t="s">
        <v>17</v>
      </c>
      <c r="W25" s="775">
        <f>J25</f>
        <v>100</v>
      </c>
      <c r="X25" s="1813"/>
      <c r="Y25" s="315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7"/>
      <c r="Q26" s="1810">
        <f t="shared" ref="Q26:Q40" si="11">B26</f>
        <v>111</v>
      </c>
      <c r="R26" s="774" t="s">
        <v>17</v>
      </c>
      <c r="S26" s="775">
        <f>F26</f>
        <v>100</v>
      </c>
      <c r="T26" s="774" t="s">
        <v>17</v>
      </c>
      <c r="U26" s="775">
        <f>H26</f>
        <v>100</v>
      </c>
      <c r="V26" s="774" t="s">
        <v>17</v>
      </c>
      <c r="W26" s="775">
        <f>J26</f>
        <v>100</v>
      </c>
      <c r="X26" s="1813"/>
      <c r="Y26" s="315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7"/>
      <c r="Q27" s="1795">
        <f t="shared" si="11"/>
        <v>111</v>
      </c>
      <c r="R27" s="770" t="s">
        <v>17</v>
      </c>
      <c r="S27" s="771">
        <f>F27</f>
        <v>100</v>
      </c>
      <c r="T27" s="770" t="s">
        <v>17</v>
      </c>
      <c r="U27" s="771">
        <f>H27</f>
        <v>100</v>
      </c>
      <c r="V27" s="770" t="s">
        <v>17</v>
      </c>
      <c r="W27" s="771">
        <f>J27</f>
        <v>100</v>
      </c>
      <c r="X27" s="772"/>
      <c r="Y27" s="315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7"/>
      <c r="Q28" s="1810">
        <f t="shared" si="11"/>
        <v>111</v>
      </c>
      <c r="R28" s="774" t="s">
        <v>17</v>
      </c>
      <c r="S28" s="775">
        <f t="shared" ref="S28:S40" si="12">F28</f>
        <v>100</v>
      </c>
      <c r="T28" s="774" t="s">
        <v>17</v>
      </c>
      <c r="U28" s="775">
        <f t="shared" ref="U28:U40" si="13">H28</f>
        <v>100</v>
      </c>
      <c r="V28" s="774" t="s">
        <v>17</v>
      </c>
      <c r="W28" s="775">
        <f t="shared" ref="W28:W40" si="14">J28</f>
        <v>100</v>
      </c>
      <c r="X28" s="1813"/>
      <c r="Y28" s="3157"/>
      <c r="Z28" s="1814">
        <f t="shared" ref="Z28:Z40" si="15">Q28</f>
        <v>111</v>
      </c>
      <c r="AA28" s="1811">
        <f t="shared" si="3"/>
        <v>1</v>
      </c>
      <c r="AB28" s="1811">
        <f t="shared" si="4"/>
        <v>1</v>
      </c>
      <c r="AC28" s="1811">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158" t="s">
        <v>2564</v>
      </c>
      <c r="Q29" s="1810" t="str">
        <f t="shared" si="11"/>
        <v>建筑类型</v>
      </c>
      <c r="R29" s="774" t="s">
        <v>17</v>
      </c>
      <c r="S29" s="775">
        <f t="shared" si="12"/>
        <v>100</v>
      </c>
      <c r="T29" s="774" t="s">
        <v>17</v>
      </c>
      <c r="U29" s="775">
        <f t="shared" si="13"/>
        <v>100</v>
      </c>
      <c r="V29" s="774" t="s">
        <v>17</v>
      </c>
      <c r="W29" s="775">
        <f t="shared" si="14"/>
        <v>100</v>
      </c>
      <c r="X29" s="1813"/>
      <c r="Y29" s="3159" t="s">
        <v>2564</v>
      </c>
      <c r="Z29" s="1814" t="str">
        <f t="shared" si="15"/>
        <v>建筑类型</v>
      </c>
      <c r="AA29" s="1811">
        <f t="shared" si="3"/>
        <v>1</v>
      </c>
      <c r="AB29" s="1811">
        <f t="shared" si="4"/>
        <v>1</v>
      </c>
      <c r="AC29" s="1811">
        <f t="shared" si="5"/>
        <v>1</v>
      </c>
    </row>
    <row r="30" spans="1:29" s="471" customFormat="1" ht="15">
      <c r="A30" s="468"/>
      <c r="B30" s="422" t="s">
        <v>2565</v>
      </c>
      <c r="C30" s="469">
        <v>100</v>
      </c>
      <c r="D30" s="136">
        <v>100</v>
      </c>
      <c r="E30" s="430">
        <v>100</v>
      </c>
      <c r="F30" s="425">
        <f>LOOKUP(E30,91:91,92:92)-LOOKUP(C30,91:91,92:92)+100</f>
        <v>100</v>
      </c>
      <c r="G30" s="429">
        <v>100</v>
      </c>
      <c r="H30" s="136">
        <f>LOOKUP(G30,91:91,92:92)-LOOKUP(C30,91:91,92:92)+100</f>
        <v>100</v>
      </c>
      <c r="I30" s="429">
        <v>100</v>
      </c>
      <c r="J30" s="136">
        <f>LOOKUP(I30,91:91,92:92)-LOOKUP(C30,91:91,92:92)+100</f>
        <v>100</v>
      </c>
      <c r="K30" s="613"/>
      <c r="L30" s="1138"/>
      <c r="M30" s="1141"/>
      <c r="N30" s="1141"/>
      <c r="O30" s="1142"/>
      <c r="P30" s="3159"/>
      <c r="Q30" s="776" t="str">
        <f t="shared" si="11"/>
        <v>项目建筑规模</v>
      </c>
      <c r="R30" s="777" t="s">
        <v>17</v>
      </c>
      <c r="S30" s="778">
        <f t="shared" si="12"/>
        <v>100</v>
      </c>
      <c r="T30" s="777" t="s">
        <v>17</v>
      </c>
      <c r="U30" s="778">
        <f t="shared" si="13"/>
        <v>100</v>
      </c>
      <c r="V30" s="777" t="s">
        <v>17</v>
      </c>
      <c r="W30" s="778">
        <f t="shared" si="14"/>
        <v>100</v>
      </c>
      <c r="X30" s="779"/>
      <c r="Y30" s="3159"/>
      <c r="Z30" s="780" t="str">
        <f t="shared" si="15"/>
        <v>项目建筑规模</v>
      </c>
      <c r="AA30" s="1811">
        <f t="shared" si="3"/>
        <v>1</v>
      </c>
      <c r="AB30" s="1811">
        <f t="shared" si="4"/>
        <v>1</v>
      </c>
      <c r="AC30" s="1811">
        <f t="shared" si="5"/>
        <v>1</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9"/>
      <c r="Q31" s="1810" t="str">
        <f t="shared" si="11"/>
        <v>建筑结构</v>
      </c>
      <c r="R31" s="774" t="s">
        <v>17</v>
      </c>
      <c r="S31" s="775">
        <f t="shared" si="12"/>
        <v>100</v>
      </c>
      <c r="T31" s="774" t="s">
        <v>17</v>
      </c>
      <c r="U31" s="775">
        <f t="shared" si="13"/>
        <v>100</v>
      </c>
      <c r="V31" s="774" t="s">
        <v>17</v>
      </c>
      <c r="W31" s="775">
        <f t="shared" si="14"/>
        <v>100</v>
      </c>
      <c r="X31" s="1813"/>
      <c r="Y31" s="3159"/>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9"/>
      <c r="Q32" s="1810" t="str">
        <f t="shared" si="11"/>
        <v>公共部分装修</v>
      </c>
      <c r="R32" s="774" t="s">
        <v>17</v>
      </c>
      <c r="S32" s="775">
        <f t="shared" si="12"/>
        <v>100</v>
      </c>
      <c r="T32" s="774" t="s">
        <v>17</v>
      </c>
      <c r="U32" s="775">
        <f t="shared" si="13"/>
        <v>100</v>
      </c>
      <c r="V32" s="774" t="s">
        <v>17</v>
      </c>
      <c r="W32" s="775">
        <f t="shared" si="14"/>
        <v>100</v>
      </c>
      <c r="X32" s="1813"/>
      <c r="Y32" s="3159"/>
      <c r="Z32" s="1814" t="str">
        <f t="shared" si="15"/>
        <v>公共部分装修</v>
      </c>
      <c r="AA32" s="1811">
        <f t="shared" si="3"/>
        <v>1</v>
      </c>
      <c r="AB32" s="1811">
        <f t="shared" si="4"/>
        <v>1</v>
      </c>
      <c r="AC32" s="1811">
        <f t="shared" si="5"/>
        <v>1</v>
      </c>
    </row>
    <row r="33" spans="1:29" ht="15">
      <c r="A33" s="472"/>
      <c r="B33" s="422" t="s">
        <v>2661</v>
      </c>
      <c r="C33" s="469">
        <v>100</v>
      </c>
      <c r="D33" s="435">
        <v>100</v>
      </c>
      <c r="E33" s="474">
        <v>1</v>
      </c>
      <c r="F33" s="461">
        <f>LOOKUP(E33,98:98,99:99)-LOOKUP(C33,98:98,99:99)+100</f>
        <v>100</v>
      </c>
      <c r="G33" s="474">
        <v>1</v>
      </c>
      <c r="H33" s="461">
        <f>LOOKUP(G33,98:98,99:99)-LOOKUP(C33,98:98,99:99)+100</f>
        <v>100</v>
      </c>
      <c r="I33" s="474">
        <v>1</v>
      </c>
      <c r="J33" s="435">
        <f>LOOKUP(I33,98:98,99:99)-LOOKUP(C33,98:98,99:99)+100</f>
        <v>100</v>
      </c>
      <c r="K33" s="612"/>
      <c r="L33" s="1140"/>
      <c r="M33" s="1131"/>
      <c r="N33" s="1131"/>
      <c r="O33" s="1139"/>
      <c r="P33" s="3159"/>
      <c r="Q33" s="1810" t="str">
        <f t="shared" si="11"/>
        <v>成新度</v>
      </c>
      <c r="R33" s="774" t="s">
        <v>17</v>
      </c>
      <c r="S33" s="775">
        <f t="shared" si="12"/>
        <v>100</v>
      </c>
      <c r="T33" s="774" t="s">
        <v>17</v>
      </c>
      <c r="U33" s="775">
        <f t="shared" si="13"/>
        <v>100</v>
      </c>
      <c r="V33" s="774" t="s">
        <v>17</v>
      </c>
      <c r="W33" s="775">
        <f t="shared" si="14"/>
        <v>100</v>
      </c>
      <c r="X33" s="1813"/>
      <c r="Y33" s="3159"/>
      <c r="Z33" s="1814" t="str">
        <f t="shared" si="15"/>
        <v>成新度</v>
      </c>
      <c r="AA33" s="1811">
        <f t="shared" si="3"/>
        <v>1</v>
      </c>
      <c r="AB33" s="1811">
        <f t="shared" si="4"/>
        <v>1</v>
      </c>
      <c r="AC33" s="1811">
        <f t="shared" si="5"/>
        <v>1</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9"/>
      <c r="Q34" s="1795" t="str">
        <f t="shared" si="11"/>
        <v>物业管理</v>
      </c>
      <c r="R34" s="770" t="s">
        <v>17</v>
      </c>
      <c r="S34" s="771">
        <f t="shared" si="12"/>
        <v>100</v>
      </c>
      <c r="T34" s="770" t="s">
        <v>17</v>
      </c>
      <c r="U34" s="771">
        <f t="shared" si="13"/>
        <v>100</v>
      </c>
      <c r="V34" s="770" t="s">
        <v>17</v>
      </c>
      <c r="W34" s="771">
        <f t="shared" si="14"/>
        <v>100</v>
      </c>
      <c r="X34" s="772"/>
      <c r="Y34" s="315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9" t="s">
        <v>2564</v>
      </c>
      <c r="Q35" s="1810" t="str">
        <f t="shared" si="11"/>
        <v>市政基础设施</v>
      </c>
      <c r="R35" s="774" t="s">
        <v>17</v>
      </c>
      <c r="S35" s="775">
        <f t="shared" si="12"/>
        <v>100</v>
      </c>
      <c r="T35" s="774" t="s">
        <v>17</v>
      </c>
      <c r="U35" s="775">
        <f t="shared" si="13"/>
        <v>100</v>
      </c>
      <c r="V35" s="774" t="s">
        <v>17</v>
      </c>
      <c r="W35" s="775">
        <f t="shared" si="14"/>
        <v>100</v>
      </c>
      <c r="X35" s="1813"/>
      <c r="Y35" s="3159" t="s">
        <v>2564</v>
      </c>
      <c r="Z35" s="1814" t="str">
        <f t="shared" si="15"/>
        <v>市政基础设施</v>
      </c>
      <c r="AA35" s="1811">
        <f t="shared" si="3"/>
        <v>1</v>
      </c>
      <c r="AB35" s="1811">
        <f t="shared" si="4"/>
        <v>1</v>
      </c>
      <c r="AC35" s="1811">
        <f t="shared" si="5"/>
        <v>1</v>
      </c>
    </row>
    <row r="36" spans="1:29" ht="15">
      <c r="A36" s="472"/>
      <c r="B36" s="422" t="s">
        <v>2667</v>
      </c>
      <c r="C36" s="460" t="s">
        <v>3074</v>
      </c>
      <c r="D36" s="435">
        <v>100</v>
      </c>
      <c r="E36" s="460" t="s">
        <v>3078</v>
      </c>
      <c r="F36" s="461">
        <f>SUMIF(104:104,E36,105:105)-SUMIF(104:104,C36,105:105)+100</f>
        <v>85</v>
      </c>
      <c r="G36" s="460" t="s">
        <v>3078</v>
      </c>
      <c r="H36" s="435">
        <f>SUMIF(104:104,G36,105:105)-SUMIF(104:104,C36,105:105)+100</f>
        <v>85</v>
      </c>
      <c r="I36" s="460" t="s">
        <v>3078</v>
      </c>
      <c r="J36" s="435">
        <f>SUMIF(104:104,I36,105:105)-SUMIF(104:104,C36,105:105)+100</f>
        <v>85</v>
      </c>
      <c r="K36" s="612">
        <v>5</v>
      </c>
      <c r="L36" s="1140"/>
      <c r="M36" s="1131"/>
      <c r="N36" s="1131"/>
      <c r="O36" s="1139"/>
      <c r="P36" s="3159"/>
      <c r="Q36" s="1810" t="str">
        <f t="shared" si="11"/>
        <v>内部装修</v>
      </c>
      <c r="R36" s="774" t="s">
        <v>17</v>
      </c>
      <c r="S36" s="775">
        <f t="shared" si="12"/>
        <v>85</v>
      </c>
      <c r="T36" s="774" t="s">
        <v>17</v>
      </c>
      <c r="U36" s="775">
        <f t="shared" si="13"/>
        <v>85</v>
      </c>
      <c r="V36" s="774" t="s">
        <v>17</v>
      </c>
      <c r="W36" s="775">
        <f t="shared" si="14"/>
        <v>85</v>
      </c>
      <c r="X36" s="1813"/>
      <c r="Y36" s="3159"/>
      <c r="Z36" s="1814" t="str">
        <f t="shared" si="15"/>
        <v>内部装修</v>
      </c>
      <c r="AA36" s="1811">
        <f t="shared" si="3"/>
        <v>1.1764705882352942</v>
      </c>
      <c r="AB36" s="1811">
        <f t="shared" si="4"/>
        <v>1.1764705882352942</v>
      </c>
      <c r="AC36" s="1811">
        <f t="shared" si="5"/>
        <v>1.1764705882352942</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9"/>
      <c r="Q37" s="1810" t="str">
        <f t="shared" si="11"/>
        <v>内部装修状况</v>
      </c>
      <c r="R37" s="774" t="s">
        <v>17</v>
      </c>
      <c r="S37" s="775">
        <f t="shared" si="12"/>
        <v>100</v>
      </c>
      <c r="T37" s="774" t="s">
        <v>17</v>
      </c>
      <c r="U37" s="775">
        <f t="shared" si="13"/>
        <v>100</v>
      </c>
      <c r="V37" s="774" t="s">
        <v>17</v>
      </c>
      <c r="W37" s="775">
        <f t="shared" si="14"/>
        <v>100</v>
      </c>
      <c r="X37" s="1813"/>
      <c r="Y37" s="315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9"/>
      <c r="Q38" s="776">
        <f t="shared" si="11"/>
        <v>111</v>
      </c>
      <c r="R38" s="777" t="s">
        <v>17</v>
      </c>
      <c r="S38" s="778">
        <f t="shared" si="12"/>
        <v>100</v>
      </c>
      <c r="T38" s="777" t="s">
        <v>17</v>
      </c>
      <c r="U38" s="778">
        <f t="shared" si="13"/>
        <v>100</v>
      </c>
      <c r="V38" s="777" t="s">
        <v>17</v>
      </c>
      <c r="W38" s="778">
        <f t="shared" si="14"/>
        <v>100</v>
      </c>
      <c r="X38" s="779"/>
      <c r="Y38" s="315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9"/>
      <c r="Q39" s="1810">
        <f t="shared" si="11"/>
        <v>111</v>
      </c>
      <c r="R39" s="774" t="s">
        <v>17</v>
      </c>
      <c r="S39" s="775">
        <f t="shared" si="12"/>
        <v>100</v>
      </c>
      <c r="T39" s="774" t="s">
        <v>17</v>
      </c>
      <c r="U39" s="775">
        <f t="shared" si="13"/>
        <v>100</v>
      </c>
      <c r="V39" s="774" t="s">
        <v>17</v>
      </c>
      <c r="W39" s="775">
        <f t="shared" si="14"/>
        <v>100</v>
      </c>
      <c r="X39" s="1813"/>
      <c r="Y39" s="315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60"/>
      <c r="Q40" s="1810">
        <f t="shared" si="11"/>
        <v>111</v>
      </c>
      <c r="R40" s="774" t="s">
        <v>17</v>
      </c>
      <c r="S40" s="775">
        <f t="shared" si="12"/>
        <v>100</v>
      </c>
      <c r="T40" s="774" t="s">
        <v>17</v>
      </c>
      <c r="U40" s="775">
        <f t="shared" si="13"/>
        <v>100</v>
      </c>
      <c r="V40" s="774" t="s">
        <v>17</v>
      </c>
      <c r="W40" s="775">
        <f t="shared" si="14"/>
        <v>100</v>
      </c>
      <c r="X40" s="1813"/>
      <c r="Y40" s="3160"/>
      <c r="Z40" s="1814">
        <f t="shared" si="15"/>
        <v>111</v>
      </c>
      <c r="AA40" s="1811">
        <f t="shared" si="3"/>
        <v>1</v>
      </c>
      <c r="AB40" s="1811">
        <f t="shared" si="4"/>
        <v>1</v>
      </c>
      <c r="AC40" s="1811">
        <f t="shared" si="5"/>
        <v>1</v>
      </c>
    </row>
    <row r="41" spans="1:29" ht="15">
      <c r="A41" s="479" t="s">
        <v>2576</v>
      </c>
      <c r="B41" s="480"/>
      <c r="C41" s="1407" t="s">
        <v>1</v>
      </c>
      <c r="D41" s="1408"/>
      <c r="E41" s="1409">
        <v>7000</v>
      </c>
      <c r="F41" s="1410"/>
      <c r="G41" s="1411">
        <v>6800</v>
      </c>
      <c r="H41" s="1412"/>
      <c r="I41" s="1409">
        <v>7000</v>
      </c>
      <c r="J41" s="1412"/>
      <c r="K41" s="783"/>
      <c r="L41" s="1143"/>
      <c r="M41" s="1144"/>
      <c r="N41" s="1131"/>
      <c r="O41" s="1144"/>
      <c r="P41" s="3151" t="str">
        <f>A41</f>
        <v>成交单价（元/平方米）</v>
      </c>
      <c r="Q41" s="3151"/>
      <c r="R41" s="3152">
        <f>E41</f>
        <v>7000</v>
      </c>
      <c r="S41" s="3152"/>
      <c r="T41" s="3152">
        <f>G41</f>
        <v>6800</v>
      </c>
      <c r="U41" s="3152"/>
      <c r="V41" s="3152">
        <f>I41</f>
        <v>7000</v>
      </c>
      <c r="W41" s="3152"/>
      <c r="X41" s="759"/>
      <c r="Y41" s="781"/>
      <c r="Z41" s="759"/>
      <c r="AA41" s="759"/>
      <c r="AB41" s="759"/>
      <c r="AC41" s="759"/>
    </row>
    <row r="42" spans="1:29" ht="15.75" thickBot="1">
      <c r="A42" s="486" t="s">
        <v>2668</v>
      </c>
      <c r="B42" s="487"/>
      <c r="C42" s="1413">
        <f>R43</f>
        <v>8157</v>
      </c>
      <c r="D42" s="1414"/>
      <c r="E42" s="1415">
        <f>R42</f>
        <v>8235</v>
      </c>
      <c r="F42" s="1415"/>
      <c r="G42" s="1413">
        <f>T42</f>
        <v>8000</v>
      </c>
      <c r="H42" s="1414"/>
      <c r="I42" s="1415">
        <f>V42</f>
        <v>8235</v>
      </c>
      <c r="J42" s="1414"/>
      <c r="K42" s="784"/>
      <c r="L42" s="1143"/>
      <c r="M42" s="1144"/>
      <c r="N42" s="1131"/>
      <c r="O42" s="1144"/>
      <c r="P42" s="3151" t="str">
        <f>A42</f>
        <v>比较价值（元/平方米）</v>
      </c>
      <c r="Q42" s="3151"/>
      <c r="R42" s="3152">
        <f>IF(F1="售价",ROUND(PRODUCT(R41,AA7:AA40),0),ROUND(PRODUCT(R41,AA7:AA40),1))</f>
        <v>8235</v>
      </c>
      <c r="S42" s="3152"/>
      <c r="T42" s="3152">
        <f>IF(F1="售价",ROUND(PRODUCT(T41,AB7:AB40),0),ROUND(PRODUCT(T41,AB7:AB40),1))</f>
        <v>8000</v>
      </c>
      <c r="U42" s="3152"/>
      <c r="V42" s="3152">
        <f>IF(F1="售价",ROUND(PRODUCT(V41,AC7:AC40),0),ROUND(PRODUCT(V41,AC7:AC40),1))</f>
        <v>8235</v>
      </c>
      <c r="W42" s="3152"/>
      <c r="X42" s="759"/>
      <c r="Y42" s="759"/>
      <c r="Z42" s="759"/>
      <c r="AA42" s="759"/>
      <c r="AB42" s="759"/>
      <c r="AC42" s="759"/>
    </row>
    <row r="43" spans="1:29" ht="15.75" thickBot="1">
      <c r="A43" s="492" t="s">
        <v>2669</v>
      </c>
      <c r="B43" s="493"/>
      <c r="C43" s="1417">
        <f>R43</f>
        <v>8157</v>
      </c>
      <c r="D43" s="1417"/>
      <c r="E43" s="1417"/>
      <c r="F43" s="1417"/>
      <c r="G43" s="1417"/>
      <c r="H43" s="1417"/>
      <c r="I43" s="1417"/>
      <c r="J43" s="1417"/>
      <c r="K43" s="785"/>
      <c r="L43" s="1143"/>
      <c r="M43" s="1144"/>
      <c r="N43" s="1144"/>
      <c r="O43" s="1144"/>
      <c r="P43" s="3153" t="str">
        <f>A43</f>
        <v>估价对象XX用房的比较价值（楼面单价，元/平方米）</v>
      </c>
      <c r="Q43" s="3154"/>
      <c r="R43" s="3155">
        <f>IF(F1="售价",ROUND(AVERAGE(R42:V42),0),ROUND(AVERAGE(R42:V42),1))</f>
        <v>8157</v>
      </c>
      <c r="S43" s="3155"/>
      <c r="T43" s="3155"/>
      <c r="U43" s="3155"/>
      <c r="V43" s="3155"/>
      <c r="W43" s="31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f>IF(E41&lt;E42,E42/E41-1,E41/E42-1)</f>
        <v>0.17642857142857138</v>
      </c>
      <c r="F46" s="500" t="str">
        <f>IF(OR(E46&gt;=0.3,E46&lt;=-0.3),"超过30%","")</f>
        <v/>
      </c>
      <c r="G46" s="499">
        <f>IF(G41&lt;G42,G42/G41-1,G41/G42-1)</f>
        <v>0.17647058823529416</v>
      </c>
      <c r="H46" s="500" t="str">
        <f>IF(OR(G46&gt;=0.3,G46&lt;=-0.3),"超过30%","")</f>
        <v/>
      </c>
      <c r="I46" s="499">
        <f>IF(I41&lt;I42,I42/I41-1,I41/I42-1)</f>
        <v>0.17642857142857138</v>
      </c>
      <c r="J46" s="500" t="str">
        <f>IF(OR(I46&gt;=0.3,I46&lt;=-0.3),"超过30%","")</f>
        <v/>
      </c>
      <c r="K46" s="1105"/>
      <c r="L46" s="1106"/>
      <c r="M46" s="1144"/>
      <c r="N46" s="1144"/>
      <c r="O46" s="1144"/>
    </row>
    <row r="47" spans="1:29" ht="13.5" customHeight="1">
      <c r="A47" s="1144"/>
      <c r="B47" s="1144"/>
      <c r="C47" s="497" t="s">
        <v>2671</v>
      </c>
      <c r="D47" s="501"/>
      <c r="E47" s="499">
        <f>IF(E42&lt;G42,G42/E42-1,E42/G42-1)</f>
        <v>2.9374999999999929E-2</v>
      </c>
      <c r="F47" s="500" t="str">
        <f>IF(OR(E47&gt;=0.2,E47&lt;=-0.2),"超过20%","")</f>
        <v/>
      </c>
      <c r="G47" s="499">
        <f>IF(G42&lt;I42,I42/G42-1,G42/I42-1)</f>
        <v>2.9374999999999929E-2</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2.9411764705882248E-2</v>
      </c>
      <c r="F48" s="500" t="str">
        <f>IF(OR(E48&gt;=0.3,E48&lt;=-0.3),"超过30%","")</f>
        <v/>
      </c>
      <c r="G48" s="499">
        <f>IF(G41&lt;I41,I41/G41-1,G41/I41-1)</f>
        <v>2.9411764705882248E-2</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0（含）-1</v>
      </c>
      <c r="D61" s="547" t="str">
        <f t="shared" ref="D61:L61" si="17">D62&amp;"（含）"&amp;"-"&amp;E62</f>
        <v>1（含）-2</v>
      </c>
      <c r="E61" s="547" t="str">
        <f t="shared" si="17"/>
        <v>2（含）-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0(含)-100</v>
      </c>
      <c r="D90" s="578" t="str">
        <f t="shared" ref="D90:L90" si="20">D91&amp;"(含)"&amp;"-"&amp;E91</f>
        <v>100(含)-300</v>
      </c>
      <c r="E90" s="578" t="str">
        <f t="shared" si="20"/>
        <v>300(含)-500</v>
      </c>
      <c r="F90" s="578" t="str">
        <f t="shared" si="20"/>
        <v>500(含)-1000</v>
      </c>
      <c r="G90" s="578" t="str">
        <f t="shared" si="20"/>
        <v>1000(含)-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v>
      </c>
      <c r="E91" s="595">
        <v>300</v>
      </c>
      <c r="F91" s="595">
        <v>500</v>
      </c>
      <c r="G91" s="595">
        <v>1000</v>
      </c>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2957"/>
      <c r="D102" s="2957"/>
      <c r="E102" s="2957"/>
      <c r="F102" s="2957"/>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2957" t="s">
        <v>3075</v>
      </c>
      <c r="D104" s="2957" t="s">
        <v>3076</v>
      </c>
      <c r="E104" s="2957" t="s">
        <v>3077</v>
      </c>
      <c r="F104" s="2957" t="s">
        <v>3079</v>
      </c>
      <c r="G104" s="554"/>
      <c r="H104" s="583"/>
      <c r="I104" s="583"/>
      <c r="J104" s="583"/>
      <c r="K104" s="584"/>
      <c r="L104" s="585"/>
      <c r="M104" s="586"/>
      <c r="N104" s="1152"/>
      <c r="O104" s="1152"/>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H21" sqref="H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3062</v>
      </c>
      <c r="D1" s="1820" t="s">
        <v>70</v>
      </c>
      <c r="E1" s="1821" t="s">
        <v>1382</v>
      </c>
      <c r="F1" s="1283">
        <f ca="1">J53</f>
        <v>37.85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9258</v>
      </c>
      <c r="C2" s="1845" t="s">
        <v>1510</v>
      </c>
      <c r="D2" s="1845"/>
      <c r="E2" s="1846"/>
      <c r="F2" s="1847"/>
      <c r="G2" s="1848"/>
      <c r="H2" s="1840"/>
      <c r="I2" s="1840"/>
      <c r="J2" s="1840"/>
      <c r="K2" s="1841"/>
      <c r="L2" s="1840"/>
      <c r="M2" s="1840"/>
    </row>
    <row r="3" spans="1:37" ht="18" customHeight="1" thickBot="1">
      <c r="A3" s="1849" t="s">
        <v>1511</v>
      </c>
      <c r="B3" s="1850">
        <f ca="1">IF(ISERROR(B2*10000/F43),0,ROUND(B2*10000/F43,0))</f>
        <v>16031</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762</v>
      </c>
      <c r="D5" s="1822" t="s">
        <v>1397</v>
      </c>
      <c r="E5" s="1293"/>
      <c r="F5" s="1294"/>
      <c r="G5" s="1851"/>
      <c r="H5" s="344">
        <v>1</v>
      </c>
      <c r="I5" s="345" t="s">
        <v>1396</v>
      </c>
      <c r="J5" s="1292">
        <f ca="1">J6+J10+J12</f>
        <v>629</v>
      </c>
      <c r="K5" s="1822" t="s">
        <v>1397</v>
      </c>
      <c r="L5" s="1293"/>
      <c r="M5" s="1294"/>
    </row>
    <row r="6" spans="1:37" ht="18" customHeight="1">
      <c r="A6" s="1291" t="s">
        <v>1032</v>
      </c>
      <c r="B6" s="3194" t="s">
        <v>1398</v>
      </c>
      <c r="C6" s="1296">
        <f ca="1">ROUND(F6*F8*F7*(1-F9)/10000,0)</f>
        <v>761</v>
      </c>
      <c r="D6" s="164" t="s">
        <v>3031</v>
      </c>
      <c r="E6" s="347" t="s">
        <v>1400</v>
      </c>
      <c r="F6" s="348">
        <f ca="1">INDIRECT("'数据-取费表'!u"&amp;$G$1)</f>
        <v>3.61</v>
      </c>
      <c r="G6" s="1851"/>
      <c r="H6" s="1291" t="s">
        <v>1032</v>
      </c>
      <c r="I6" s="3194" t="s">
        <v>1398</v>
      </c>
      <c r="J6" s="346">
        <f ca="1">ROUND(M6*M8*M7*(1-M9)/10000,0)</f>
        <v>628</v>
      </c>
      <c r="K6" s="164" t="s">
        <v>3030</v>
      </c>
      <c r="L6" s="347" t="s">
        <v>1400</v>
      </c>
      <c r="M6" s="348">
        <f ca="1">INDIRECT("'数据-取费表'!z"&amp;$G$1)</f>
        <v>3.31</v>
      </c>
    </row>
    <row r="7" spans="1:37" ht="18" customHeight="1">
      <c r="A7" s="1295"/>
      <c r="B7" s="3195"/>
      <c r="C7" s="1297"/>
      <c r="D7" s="352"/>
      <c r="E7" s="1298" t="s">
        <v>1401</v>
      </c>
      <c r="F7" s="348">
        <f ca="1">IF(INDIRECT("'数据-取费表'!ah"&amp;$G$1)="",INDIRECT("'数据-取费表'!k"&amp;$G$1),INDIRECT("'数据-取费表'!ah"&amp;$G$1))</f>
        <v>5775.17</v>
      </c>
      <c r="G7" s="1851"/>
      <c r="H7" s="349"/>
      <c r="I7" s="3195"/>
      <c r="J7" s="351"/>
      <c r="K7" s="352"/>
      <c r="L7" s="347" t="s">
        <v>1401</v>
      </c>
      <c r="M7" s="348">
        <f ca="1">F7</f>
        <v>5775.17</v>
      </c>
    </row>
    <row r="8" spans="1:37" ht="18" customHeight="1">
      <c r="A8" s="349"/>
      <c r="B8" s="3195"/>
      <c r="C8" s="351"/>
      <c r="D8" s="352"/>
      <c r="E8" s="347" t="s">
        <v>1402</v>
      </c>
      <c r="F8" s="348">
        <f ca="1">INDIRECT("'数据-取费表'!ai"&amp;$G$1)</f>
        <v>365</v>
      </c>
      <c r="G8" s="1851"/>
      <c r="H8" s="349"/>
      <c r="I8" s="3195"/>
      <c r="J8" s="351"/>
      <c r="K8" s="352"/>
      <c r="L8" s="347" t="s">
        <v>1402</v>
      </c>
      <c r="M8" s="348">
        <f ca="1">INDIRECT("'数据-取费表'!ai"&amp;$G$1)</f>
        <v>365</v>
      </c>
    </row>
    <row r="9" spans="1:37" ht="18" customHeight="1">
      <c r="A9" s="349"/>
      <c r="B9" s="3196"/>
      <c r="C9" s="351"/>
      <c r="D9" s="352"/>
      <c r="E9" s="347" t="s">
        <v>1403</v>
      </c>
      <c r="F9" s="357">
        <f ca="1">INDIRECT("'数据-取费表'!w"&amp;$G$1)</f>
        <v>0</v>
      </c>
      <c r="G9" s="1851"/>
      <c r="H9" s="349"/>
      <c r="I9" s="319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1</v>
      </c>
      <c r="D10" s="1824" t="s">
        <v>3040</v>
      </c>
      <c r="E10" s="358" t="s">
        <v>1405</v>
      </c>
      <c r="F10" s="1366" t="s">
        <v>3072</v>
      </c>
      <c r="G10" s="1851"/>
      <c r="H10" s="1291" t="s">
        <v>1036</v>
      </c>
      <c r="I10" s="1823" t="s">
        <v>1404</v>
      </c>
      <c r="J10" s="346">
        <f ca="1">ROUND(IF(M10="押一",J6/12*M11,IF(M10="押二",J6/12*2*M11,IF(M10="押三",J6/12*3*M11,J11*M11))),0)</f>
        <v>1</v>
      </c>
      <c r="K10" s="1824" t="s">
        <v>3039</v>
      </c>
      <c r="L10" s="358" t="s">
        <v>1405</v>
      </c>
      <c r="M10" s="1366" t="s">
        <v>3072</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2685</v>
      </c>
      <c r="D13" s="1331" t="s">
        <v>1409</v>
      </c>
      <c r="E13" s="1331" t="s">
        <v>1410</v>
      </c>
      <c r="F13" s="1332">
        <f ca="1">INDIRECT("'数据-取费表'!y"&amp;$G$1)</f>
        <v>0.95</v>
      </c>
      <c r="G13" s="1851"/>
      <c r="H13" s="1329">
        <v>2</v>
      </c>
      <c r="I13" s="1330" t="s">
        <v>1408</v>
      </c>
      <c r="J13" s="1290">
        <f ca="1">ROUND(J14*J15,0)</f>
        <v>2459</v>
      </c>
      <c r="K13" s="1337" t="s">
        <v>1409</v>
      </c>
      <c r="L13" s="1852"/>
      <c r="M13" s="1853"/>
    </row>
    <row r="14" spans="1:37" ht="18" customHeight="1">
      <c r="A14" s="1201" t="s">
        <v>1031</v>
      </c>
      <c r="B14" s="347" t="s">
        <v>1411</v>
      </c>
      <c r="C14" s="363">
        <f ca="1">INDIRECT("'数据-取费表'!m"&amp;$G$1)+INDIRECT("'数据-取费表'!t"&amp;$G$1)</f>
        <v>1848</v>
      </c>
      <c r="D14" s="1800" t="s">
        <v>1412</v>
      </c>
      <c r="E14" s="1794"/>
      <c r="F14" s="364"/>
      <c r="G14" s="1851"/>
      <c r="H14" s="1201" t="s">
        <v>1032</v>
      </c>
      <c r="I14" s="347" t="s">
        <v>1413</v>
      </c>
      <c r="J14" s="24">
        <f ca="1">C29</f>
        <v>2826</v>
      </c>
      <c r="K14" s="15"/>
      <c r="L14" s="979"/>
      <c r="M14" s="980"/>
    </row>
    <row r="15" spans="1:37" s="1858" customFormat="1" ht="18" customHeight="1" thickBot="1">
      <c r="A15" s="1201" t="s">
        <v>1033</v>
      </c>
      <c r="B15" s="347" t="s">
        <v>1414</v>
      </c>
      <c r="C15" s="24">
        <f ca="1">ROUND(C14*F15,0)</f>
        <v>55</v>
      </c>
      <c r="D15" s="365" t="s">
        <v>1415</v>
      </c>
      <c r="E15" s="365" t="s">
        <v>1416</v>
      </c>
      <c r="F15" s="366">
        <f>'数据-取费表'!B33</f>
        <v>0.03</v>
      </c>
      <c r="G15" s="1854"/>
      <c r="H15" s="1339" t="s">
        <v>1036</v>
      </c>
      <c r="I15" s="1340" t="s">
        <v>1410</v>
      </c>
      <c r="J15" s="1349">
        <f ca="1">INDIRECT("'数据-取费表'!ad"&amp;$G$1)</f>
        <v>0.87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164</v>
      </c>
      <c r="K16" s="1337" t="s">
        <v>1419</v>
      </c>
      <c r="L16" s="1338"/>
      <c r="M16" s="1294"/>
    </row>
    <row r="17" spans="1:37" s="1858" customFormat="1" ht="18" customHeight="1">
      <c r="A17" s="1201" t="s">
        <v>1385</v>
      </c>
      <c r="B17" s="347" t="s">
        <v>1420</v>
      </c>
      <c r="C17" s="24">
        <f ca="1">ROUND(F17*(F43+INDIRECT("'数据-取费表'!S"&amp;$G$1))/10000,0)</f>
        <v>116</v>
      </c>
      <c r="D17" s="347" t="s">
        <v>1421</v>
      </c>
      <c r="E17" s="347" t="s">
        <v>1422</v>
      </c>
      <c r="F17" s="26">
        <f>'数据-取费表'!B35</f>
        <v>200</v>
      </c>
      <c r="G17" s="1854"/>
      <c r="H17" s="1201" t="s">
        <v>1032</v>
      </c>
      <c r="I17" s="347" t="s">
        <v>1423</v>
      </c>
      <c r="J17" s="24">
        <f ca="1">ROUND(IF(项目基本情况!B11="自然人",J6*M17/(1+'数据-取费表'!C42),J18+J19+J20),1)</f>
        <v>105.3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28</v>
      </c>
      <c r="D18" s="347" t="s">
        <v>1415</v>
      </c>
      <c r="E18" s="347" t="s">
        <v>1416</v>
      </c>
      <c r="F18" s="367">
        <f>'数据-取费表'!B36</f>
        <v>1.4999999999999999E-2</v>
      </c>
      <c r="G18" s="1854"/>
      <c r="H18" s="1201" t="s">
        <v>1031</v>
      </c>
      <c r="I18" s="347" t="s">
        <v>1427</v>
      </c>
      <c r="J18" s="24">
        <f ca="1">ROUND(J6*M18/(1+'数据-取费表'!C42),2)</f>
        <v>33.49</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2047</v>
      </c>
      <c r="D19" s="140" t="s">
        <v>1430</v>
      </c>
      <c r="E19" s="1818"/>
      <c r="F19" s="26"/>
      <c r="G19" s="1851"/>
      <c r="H19" s="1201" t="s">
        <v>1033</v>
      </c>
      <c r="I19" s="347" t="s">
        <v>1431</v>
      </c>
      <c r="J19" s="24">
        <f ca="1">IF(K19="按租金收入计税",ROUND(J6*M19/(1+'数据-取费表'!C42),2),ROUND(C29*M19*0.7,2))</f>
        <v>71.77</v>
      </c>
      <c r="K19" s="1828" t="s">
        <v>3073</v>
      </c>
      <c r="L19" s="347" t="s">
        <v>1416</v>
      </c>
      <c r="M19" s="367">
        <f>IF(K19="按租金收入计税",'数据-取费表'!B51,'数据-取费表'!B50)</f>
        <v>0.12</v>
      </c>
    </row>
    <row r="20" spans="1:37" s="1858" customFormat="1" ht="18" customHeight="1">
      <c r="A20" s="1201" t="s">
        <v>1036</v>
      </c>
      <c r="B20" s="347" t="s">
        <v>1433</v>
      </c>
      <c r="C20" s="24">
        <f ca="1">ROUND(C19*F20,0)</f>
        <v>41</v>
      </c>
      <c r="D20" s="369" t="s">
        <v>1434</v>
      </c>
      <c r="E20" s="347" t="s">
        <v>1416</v>
      </c>
      <c r="F20" s="367">
        <f>'数据-取费表'!B37</f>
        <v>0.02</v>
      </c>
      <c r="G20" s="1854"/>
      <c r="H20" s="1201" t="s">
        <v>1384</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42.4</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3.7</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12.6</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465</v>
      </c>
      <c r="K25" s="1345" t="s">
        <v>1458</v>
      </c>
      <c r="L25" s="1346"/>
      <c r="M25" s="1347"/>
    </row>
    <row r="26" spans="1:37">
      <c r="A26" s="1201" t="s">
        <v>1031</v>
      </c>
      <c r="B26" s="347" t="s">
        <v>1459</v>
      </c>
      <c r="C26" s="24">
        <f ca="1">ROUND((C19+C20)*F26,0)</f>
        <v>418</v>
      </c>
      <c r="D26" s="369" t="s">
        <v>1460</v>
      </c>
      <c r="E26" s="358" t="s">
        <v>1461</v>
      </c>
      <c r="F26" s="357">
        <f ca="1">INDIRECT("'数据-取费表'!q"&amp;$G$1)</f>
        <v>0.2</v>
      </c>
      <c r="G26" s="1851"/>
      <c r="H26" s="344" t="s">
        <v>1029</v>
      </c>
      <c r="I26" s="345" t="s">
        <v>1462</v>
      </c>
      <c r="J26" s="346">
        <f ca="1">IF(J5&lt;&gt;0,ROUND(J25*(1-((1+M28)/(1+M26))^M27)/(M26-M28),0),0)</f>
        <v>8904</v>
      </c>
      <c r="K26" s="370" t="s">
        <v>1463</v>
      </c>
      <c r="L26" s="347" t="s">
        <v>1464</v>
      </c>
      <c r="M26" s="357">
        <f ca="1">INDIRECT("'数据-取费表'!I"&amp;$G$1)</f>
        <v>5.5E-2</v>
      </c>
    </row>
    <row r="27" spans="1:37" ht="18" customHeight="1">
      <c r="A27" s="1201" t="s">
        <v>1033</v>
      </c>
      <c r="B27" s="347" t="s">
        <v>1465</v>
      </c>
      <c r="C27" s="24">
        <f ca="1">ROUND(F21*F26,4)</f>
        <v>4.0000000000000001E-3</v>
      </c>
      <c r="D27" s="369" t="s">
        <v>1466</v>
      </c>
      <c r="E27" s="365"/>
      <c r="F27" s="366"/>
      <c r="G27" s="1851"/>
      <c r="H27" s="349"/>
      <c r="I27" s="350"/>
      <c r="J27" s="351"/>
      <c r="K27" s="378" t="s">
        <v>1467</v>
      </c>
      <c r="L27" s="347" t="s">
        <v>1468</v>
      </c>
      <c r="M27" s="379">
        <f ca="1">INDIRECT("'数据-取费表'!ag"&amp;$G$1)</f>
        <v>32.880000000000003</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2826</v>
      </c>
      <c r="D29" s="1342"/>
      <c r="E29" s="1340"/>
      <c r="F29" s="1343"/>
      <c r="G29" s="1854"/>
      <c r="H29" s="380" t="s">
        <v>1030</v>
      </c>
      <c r="I29" s="381" t="s">
        <v>1473</v>
      </c>
      <c r="J29" s="382">
        <f ca="1">ROUND(J26/(1+F40)^F41,0)</f>
        <v>6824</v>
      </c>
      <c r="K29" s="383" t="s">
        <v>1474</v>
      </c>
      <c r="L29" s="384"/>
      <c r="M29" s="385">
        <f ca="1">INDIRECT("'数据-取费表'!k"&amp;$G$1)</f>
        <v>5775.17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189</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127.6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40.590000000000003</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86.97</v>
      </c>
      <c r="D33" s="1828" t="s">
        <v>3073</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ROUND(C29*F36,1)</f>
        <v>42.4</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4</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15.2</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573</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2434</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4.97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4215</v>
      </c>
      <c r="D43" s="383" t="s">
        <v>1482</v>
      </c>
      <c r="E43" s="384" t="s">
        <v>1483</v>
      </c>
      <c r="F43" s="385">
        <f ca="1">INDIRECT("'数据-取费表'!k"&amp;$G$1)</f>
        <v>5775.17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-1292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3069</v>
      </c>
      <c r="K47" s="1882" t="s">
        <v>1521</v>
      </c>
      <c r="L47" s="1883">
        <f ca="1">INDIRECT("'数据-取费表'!d"&amp;$G$1)</f>
        <v>50</v>
      </c>
      <c r="M47" s="1838" t="str">
        <f>IF(ISNUMBER(FIND("住宅",C1)),"住宅","非住宅")</f>
        <v>非住宅</v>
      </c>
      <c r="O47" s="1884" t="s">
        <v>1037</v>
      </c>
      <c r="P47" s="1885" t="s">
        <v>1522</v>
      </c>
      <c r="Q47" s="1886">
        <f ca="1">C40+J29</f>
        <v>9258</v>
      </c>
      <c r="R47" s="1886" t="s">
        <v>1523</v>
      </c>
    </row>
    <row r="48" spans="1:18" s="1842" customFormat="1" ht="28.5" thickBot="1">
      <c r="A48" s="1360" t="s">
        <v>1132</v>
      </c>
      <c r="B48" s="345" t="s">
        <v>1396</v>
      </c>
      <c r="C48" s="1817">
        <f ca="1">C49+C53+C55</f>
        <v>379</v>
      </c>
      <c r="D48" s="1362"/>
      <c r="E48" s="1363"/>
      <c r="F48" s="1181"/>
      <c r="G48" s="792"/>
      <c r="H48" s="793"/>
      <c r="I48" s="1887" t="s">
        <v>1524</v>
      </c>
      <c r="J48" s="1888" t="s">
        <v>3070</v>
      </c>
      <c r="K48" s="1889" t="s">
        <v>1525</v>
      </c>
      <c r="L48" s="1890">
        <f ca="1">INDIRECT("'数据-取费表'!f"&amp;$G$1)</f>
        <v>37.85</v>
      </c>
      <c r="O48" s="1884" t="s">
        <v>1038</v>
      </c>
      <c r="P48" s="1885" t="s">
        <v>1526</v>
      </c>
      <c r="Q48" s="1886" t="str">
        <f ca="1">J60</f>
        <v>0</v>
      </c>
      <c r="R48" s="1886" t="s">
        <v>1527</v>
      </c>
    </row>
    <row r="49" spans="1:18" s="1842" customFormat="1" ht="13.5" thickBot="1">
      <c r="A49" s="1194" t="s">
        <v>1133</v>
      </c>
      <c r="B49" s="1829" t="s">
        <v>1484</v>
      </c>
      <c r="C49" s="1364">
        <f ca="1">ROUND(F49*F51*F50*(1-F52)/10000,0)</f>
        <v>379</v>
      </c>
      <c r="D49" s="1276" t="s">
        <v>3032</v>
      </c>
      <c r="E49" s="1830" t="s">
        <v>1485</v>
      </c>
      <c r="F49" s="1281">
        <v>2</v>
      </c>
      <c r="G49" s="1891"/>
      <c r="H49" s="793"/>
      <c r="I49" s="1887" t="s">
        <v>1528</v>
      </c>
      <c r="J49" s="1892">
        <v>2016</v>
      </c>
      <c r="K49" s="1889" t="s">
        <v>1529</v>
      </c>
      <c r="L49" s="1893"/>
      <c r="O49" s="1894" t="s">
        <v>1039</v>
      </c>
      <c r="P49" s="1885" t="s">
        <v>1530</v>
      </c>
      <c r="Q49" s="1886">
        <f ca="1">C29</f>
        <v>2826</v>
      </c>
      <c r="R49" s="1886" t="s">
        <v>1523</v>
      </c>
    </row>
    <row r="50" spans="1:18" s="1842" customFormat="1" ht="13.5" thickBot="1">
      <c r="A50" s="1195"/>
      <c r="B50" s="1198"/>
      <c r="C50" s="1368"/>
      <c r="D50" s="1172"/>
      <c r="E50" s="1277" t="s">
        <v>1401</v>
      </c>
      <c r="F50" s="1278">
        <f ca="1">F7</f>
        <v>5775.17</v>
      </c>
      <c r="H50" s="793"/>
      <c r="I50" s="1887" t="s">
        <v>1531</v>
      </c>
      <c r="J50" s="1895">
        <f>SUMPRODUCT((I63:I65=J47)*(J62:L62=J48)*(J63:L65))</f>
        <v>50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47</v>
      </c>
      <c r="K51" s="1900" t="s">
        <v>1535</v>
      </c>
      <c r="L51" s="1901">
        <f ca="1">ROUND(-PV(INDIRECT("'数据-取费表'!h"&amp;$G$1),L48,(C39-C13*C76),0),0)</f>
        <v>6214</v>
      </c>
      <c r="M51" s="1902"/>
      <c r="O51" s="1894" t="s">
        <v>1041</v>
      </c>
      <c r="P51" s="1885" t="s">
        <v>1536</v>
      </c>
      <c r="Q51" s="1897">
        <f>J52</f>
        <v>8.5000000000000006E-2</v>
      </c>
      <c r="R51" s="1886"/>
    </row>
    <row r="52" spans="1:18" s="1842" customFormat="1" ht="13.5" thickBot="1">
      <c r="A52" s="1196"/>
      <c r="B52" s="1198"/>
      <c r="C52" s="1199"/>
      <c r="D52" s="1172"/>
      <c r="E52" s="1200" t="s">
        <v>1403</v>
      </c>
      <c r="F52" s="1275">
        <v>0.1</v>
      </c>
      <c r="I52" s="1903" t="s">
        <v>1537</v>
      </c>
      <c r="J52" s="1904">
        <v>8.5000000000000006E-2</v>
      </c>
      <c r="K52" s="1903" t="s">
        <v>1538</v>
      </c>
      <c r="L52" s="1904"/>
      <c r="O52" s="1894" t="s">
        <v>1042</v>
      </c>
      <c r="P52" s="1885" t="s">
        <v>1539</v>
      </c>
      <c r="Q52" s="1886">
        <f ca="1">J53</f>
        <v>37.85</v>
      </c>
      <c r="R52" s="1886" t="s">
        <v>1540</v>
      </c>
    </row>
    <row r="53" spans="1:18" s="1842" customFormat="1" ht="24.75" thickBot="1">
      <c r="A53" s="1405" t="s">
        <v>1134</v>
      </c>
      <c r="B53" s="1831" t="s">
        <v>1404</v>
      </c>
      <c r="C53" s="361">
        <f ca="1">ROUND(IF(F53="押一",C49/12*F11,IF(F53="押二",C49/12*2*F11,IF(F53="押三",C49/12*3*F11,C54*F11))),0)</f>
        <v>0</v>
      </c>
      <c r="D53" s="1824" t="s">
        <v>3039</v>
      </c>
      <c r="E53" s="358" t="s">
        <v>1405</v>
      </c>
      <c r="F53" s="1366" t="s">
        <v>3072</v>
      </c>
      <c r="I53" s="1905" t="s">
        <v>1541</v>
      </c>
      <c r="J53" s="2953">
        <f ca="1">IF(M47="住宅",IF(D1="——",MAX(J51,L48),MAX(J51,L48-'数据-取费表'!B24)),IF(D1="——",MIN(J51,L48),MIN(J51,L48-'数据-取费表'!B24)))</f>
        <v>37.85</v>
      </c>
      <c r="K53" s="3192" t="s">
        <v>1542</v>
      </c>
      <c r="L53" s="3193"/>
      <c r="O53" s="1884" t="s">
        <v>1043</v>
      </c>
      <c r="P53" s="1885" t="s">
        <v>1543</v>
      </c>
      <c r="Q53" s="1886">
        <f ca="1">Q47+Q48</f>
        <v>9258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2685</v>
      </c>
      <c r="D56" s="1913"/>
      <c r="E56" s="1914"/>
      <c r="F56" s="1906"/>
      <c r="I56" s="1915" t="s">
        <v>1548</v>
      </c>
      <c r="J56" s="1916" t="s">
        <v>3061</v>
      </c>
      <c r="K56" s="1887" t="s">
        <v>1549</v>
      </c>
      <c r="L56" s="1890" t="str">
        <f ca="1">IF(L48&lt;J51,"——",L48-J53)</f>
        <v>——</v>
      </c>
      <c r="O56" s="1884" t="s">
        <v>1037</v>
      </c>
      <c r="P56" s="1885" t="s">
        <v>1522</v>
      </c>
      <c r="Q56" s="1886">
        <f ca="1">C40+J29</f>
        <v>9258</v>
      </c>
      <c r="R56" s="1886" t="s">
        <v>1523</v>
      </c>
    </row>
    <row r="57" spans="1:18" s="1842" customFormat="1" ht="24.75" thickBot="1">
      <c r="A57" s="1917"/>
      <c r="B57" s="1169" t="s">
        <v>1472</v>
      </c>
      <c r="C57" s="282">
        <f ca="1">C29</f>
        <v>2826</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120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65.7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20.21</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45.48</v>
      </c>
      <c r="D61" s="1828" t="s">
        <v>3073</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1043</v>
      </c>
      <c r="P62" s="1885" t="s">
        <v>1569</v>
      </c>
      <c r="Q62" s="1886">
        <f ca="1">Q56+Q57</f>
        <v>9258</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42.4</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4</v>
      </c>
      <c r="D65" s="1183" t="s">
        <v>1448</v>
      </c>
      <c r="E65" s="1169" t="s">
        <v>1449</v>
      </c>
      <c r="F65" s="376">
        <f t="shared" ca="1" si="0"/>
        <v>1.5E-3</v>
      </c>
      <c r="I65" s="1928" t="s">
        <v>1573</v>
      </c>
      <c r="J65" s="1929">
        <v>40</v>
      </c>
      <c r="K65" s="1929">
        <v>30</v>
      </c>
      <c r="L65" s="1929">
        <v>50</v>
      </c>
      <c r="M65" s="1931">
        <v>0.02</v>
      </c>
      <c r="O65" s="1884" t="s">
        <v>1037</v>
      </c>
      <c r="P65" s="1885" t="s">
        <v>1574</v>
      </c>
      <c r="Q65" s="1886">
        <f ca="1">C40+J29</f>
        <v>9258</v>
      </c>
      <c r="R65" s="1886" t="s">
        <v>1523</v>
      </c>
    </row>
    <row r="66" spans="1:18" s="1842" customFormat="1" ht="16.5" thickBot="1">
      <c r="A66" s="1201" t="s">
        <v>1498</v>
      </c>
      <c r="B66" s="1169" t="s">
        <v>1433</v>
      </c>
      <c r="C66" s="24">
        <f ca="1">ROUND(C48*F66,1)</f>
        <v>7.6</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259</v>
      </c>
      <c r="D67" s="1182" t="s">
        <v>1458</v>
      </c>
      <c r="E67" s="1187"/>
      <c r="F67" s="1188"/>
      <c r="O67" s="1894" t="s">
        <v>1039</v>
      </c>
      <c r="P67" s="1885" t="s">
        <v>1556</v>
      </c>
      <c r="Q67" s="1932">
        <f ca="1">L51</f>
        <v>6214</v>
      </c>
      <c r="R67" s="1886" t="s">
        <v>1576</v>
      </c>
    </row>
    <row r="68" spans="1:18" s="1842" customFormat="1" ht="16.5" thickBot="1">
      <c r="A68" s="1166" t="s">
        <v>1029</v>
      </c>
      <c r="B68" s="1167" t="s">
        <v>1479</v>
      </c>
      <c r="C68" s="346">
        <f ca="1">ROUND(C67*(1-((1+F70)/(1+F68))^F69)/(F68-F70),0)</f>
        <v>1142</v>
      </c>
      <c r="D68" s="1184" t="s">
        <v>1463</v>
      </c>
      <c r="E68" s="1169" t="s">
        <v>1464</v>
      </c>
      <c r="F68" s="357">
        <f ca="1">F40</f>
        <v>5.5E-2</v>
      </c>
      <c r="O68" s="1894" t="s">
        <v>1040</v>
      </c>
      <c r="P68" s="1933" t="s">
        <v>1577</v>
      </c>
      <c r="Q68" s="1886">
        <f ca="1">ROUND(Q69-Q70*Q71,0)</f>
        <v>345</v>
      </c>
      <c r="R68" s="1886" t="s">
        <v>1048</v>
      </c>
    </row>
    <row r="69" spans="1:18" s="1842" customFormat="1" ht="13.5" thickBot="1">
      <c r="A69" s="1170"/>
      <c r="B69" s="1171"/>
      <c r="C69" s="351"/>
      <c r="D69" s="1189" t="s">
        <v>1467</v>
      </c>
      <c r="E69" s="1169" t="s">
        <v>1468</v>
      </c>
      <c r="F69" s="379">
        <f ca="1">F41</f>
        <v>4.97</v>
      </c>
      <c r="O69" s="1894" t="s">
        <v>1045</v>
      </c>
      <c r="P69" s="1933" t="s">
        <v>1578</v>
      </c>
      <c r="Q69" s="1886">
        <f ca="1">C39</f>
        <v>573</v>
      </c>
      <c r="R69" s="1886" t="s">
        <v>1523</v>
      </c>
    </row>
    <row r="70" spans="1:18" s="1842" customFormat="1" ht="13.5" thickBot="1">
      <c r="A70" s="1173"/>
      <c r="B70" s="1174"/>
      <c r="C70" s="355"/>
      <c r="D70" s="1185"/>
      <c r="E70" s="1169" t="s">
        <v>1471</v>
      </c>
      <c r="F70" s="1275">
        <v>0.02</v>
      </c>
      <c r="O70" s="1894" t="s">
        <v>1046</v>
      </c>
      <c r="P70" s="1933" t="s">
        <v>1579</v>
      </c>
      <c r="Q70" s="1886">
        <f ca="1">C13</f>
        <v>2685</v>
      </c>
      <c r="R70" s="1886" t="s">
        <v>1523</v>
      </c>
    </row>
    <row r="71" spans="1:18" s="1842" customFormat="1" ht="13.5" thickBot="1">
      <c r="A71" s="1190" t="s">
        <v>1030</v>
      </c>
      <c r="B71" s="1191" t="s">
        <v>1481</v>
      </c>
      <c r="C71" s="382">
        <f ca="1">ROUND(C68*10000/F71,0)</f>
        <v>1977</v>
      </c>
      <c r="D71" s="1192" t="s">
        <v>1482</v>
      </c>
      <c r="E71" s="1193" t="s">
        <v>1483</v>
      </c>
      <c r="F71" s="385">
        <f ca="1">F43</f>
        <v>5775.17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228</v>
      </c>
      <c r="D75" s="1842"/>
      <c r="E75" s="1842"/>
      <c r="F75" s="1842"/>
      <c r="K75" s="1868"/>
      <c r="L75" s="1842"/>
      <c r="O75" s="1884" t="s">
        <v>1043</v>
      </c>
      <c r="P75" s="1885" t="s">
        <v>1543</v>
      </c>
      <c r="Q75" s="1886">
        <f ca="1">Q65+Q66</f>
        <v>9258</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0.60199999999999998</v>
      </c>
    </row>
    <row r="80" spans="1:18">
      <c r="B80" s="386" t="s">
        <v>1505</v>
      </c>
      <c r="C80" s="318">
        <f ca="1">ROUND(C75/C39,3)</f>
        <v>0.39800000000000002</v>
      </c>
    </row>
    <row r="81" spans="2:3">
      <c r="B81" s="314" t="s">
        <v>1506</v>
      </c>
      <c r="C81" s="282"/>
    </row>
    <row r="82" spans="2:3">
      <c r="B82" s="317" t="s">
        <v>1507</v>
      </c>
      <c r="C82" s="319">
        <f ca="1">1-C83</f>
        <v>-0.10299999999999998</v>
      </c>
    </row>
    <row r="83" spans="2:3">
      <c r="B83" s="317" t="s">
        <v>1508</v>
      </c>
      <c r="C83" s="318">
        <f ca="1">ROUND(C13/C40,3)</f>
        <v>1.103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15" sqref="J14:J15"/>
    </sheetView>
  </sheetViews>
  <sheetFormatPr defaultRowHeight="13.5"/>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5"/>
  <sheetViews>
    <sheetView workbookViewId="0">
      <selection activeCell="H11" sqref="H11"/>
    </sheetView>
  </sheetViews>
  <sheetFormatPr defaultRowHeight="13.5"/>
  <cols>
    <col min="4" max="4" width="11.625" bestFit="1" customWidth="1"/>
    <col min="5" max="5" width="9.5" bestFit="1" customWidth="1"/>
  </cols>
  <sheetData>
    <row r="3" spans="1:8">
      <c r="A3">
        <v>2019</v>
      </c>
      <c r="B3">
        <v>7623224.4000000004</v>
      </c>
      <c r="C3">
        <f>B3/365/'数据-汇总表'!F19</f>
        <v>3.6164383561643838</v>
      </c>
    </row>
    <row r="4" spans="1:8">
      <c r="A4">
        <v>2020</v>
      </c>
      <c r="B4">
        <v>7623224.4000000004</v>
      </c>
    </row>
    <row r="5" spans="1:8">
      <c r="A5">
        <v>2021</v>
      </c>
      <c r="B5">
        <f>B3</f>
        <v>7623224.4000000004</v>
      </c>
    </row>
    <row r="6" spans="1:8">
      <c r="A6">
        <v>2022</v>
      </c>
      <c r="B6">
        <f>B3</f>
        <v>7623224.4000000004</v>
      </c>
    </row>
    <row r="7" spans="1:8">
      <c r="A7">
        <v>2023</v>
      </c>
      <c r="B7">
        <f>B4</f>
        <v>7623224.4000000004</v>
      </c>
    </row>
    <row r="8" spans="1:8">
      <c r="A8">
        <v>2024</v>
      </c>
      <c r="B8">
        <v>762324.4</v>
      </c>
    </row>
    <row r="9" spans="1:8">
      <c r="C9" s="2958" t="s">
        <v>3081</v>
      </c>
      <c r="D9" s="2958" t="s">
        <v>3082</v>
      </c>
      <c r="E9" s="2958" t="s">
        <v>3083</v>
      </c>
      <c r="F9" s="2958" t="s">
        <v>3084</v>
      </c>
      <c r="G9" s="2959"/>
      <c r="H9" s="2959"/>
    </row>
    <row r="10" spans="1:8">
      <c r="C10" s="2959">
        <v>7296</v>
      </c>
      <c r="D10" s="2959">
        <f>C10*'数据-汇总表'!F19/10000</f>
        <v>4213.5640320000002</v>
      </c>
      <c r="E10" s="2960">
        <f>4213.56+700</f>
        <v>4913.5600000000004</v>
      </c>
      <c r="F10" s="2959">
        <f>E10/'数据-汇总表'!F19*10000</f>
        <v>8508.0785500686561</v>
      </c>
      <c r="G10" s="2959"/>
      <c r="H10" s="2958" t="s">
        <v>3085</v>
      </c>
    </row>
    <row r="11" spans="1:8">
      <c r="C11" s="2959"/>
      <c r="D11" s="2959"/>
      <c r="E11" s="2959">
        <f ca="1">结果表!G19</f>
        <v>6530</v>
      </c>
      <c r="F11" s="2959"/>
      <c r="G11" s="2959"/>
      <c r="H11" s="2959">
        <f ca="1">ROUND(E11/'数据-汇总表'!F19*10000,0)</f>
        <v>11307</v>
      </c>
    </row>
    <row r="12" spans="1:8">
      <c r="C12" s="2959"/>
      <c r="D12" s="2959"/>
      <c r="E12" s="2959"/>
      <c r="F12" s="2959"/>
      <c r="G12" s="2959"/>
      <c r="H12" s="2959"/>
    </row>
    <row r="13" spans="1:8">
      <c r="C13" s="2959"/>
      <c r="D13" s="2959"/>
      <c r="E13" s="2959"/>
      <c r="F13" s="2959"/>
      <c r="G13" s="2959"/>
      <c r="H13" s="2959"/>
    </row>
    <row r="14" spans="1:8">
      <c r="C14" s="2959"/>
      <c r="D14" s="2959"/>
      <c r="E14" s="2958" t="s">
        <v>3086</v>
      </c>
      <c r="F14" s="2959"/>
      <c r="G14" s="2959"/>
      <c r="H14" s="2959"/>
    </row>
    <row r="15" spans="1:8">
      <c r="C15" s="2959"/>
      <c r="D15" s="2959"/>
      <c r="E15" s="2961">
        <f ca="1">E11/E10-1</f>
        <v>0.32897532542596397</v>
      </c>
      <c r="F15" s="2959"/>
      <c r="G15" s="2959"/>
      <c r="H15" s="2959"/>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94" t="s">
        <v>1398</v>
      </c>
      <c r="C6" s="1296">
        <f ca="1">ROUND(F6*F8*F7*(1-F9),0)</f>
        <v>0</v>
      </c>
      <c r="D6" s="164" t="s">
        <v>3028</v>
      </c>
      <c r="E6" s="347" t="s">
        <v>1400</v>
      </c>
      <c r="F6" s="348">
        <f ca="1">INDIRECT("'数据-取费表'!u"&amp;$G$1)</f>
        <v>0</v>
      </c>
      <c r="G6" s="1851"/>
      <c r="H6" s="1291" t="s">
        <v>1032</v>
      </c>
      <c r="I6" s="3194" t="s">
        <v>1398</v>
      </c>
      <c r="J6" s="346">
        <f ca="1">ROUND(M6*M8*M7*(1-M9),0)</f>
        <v>0</v>
      </c>
      <c r="K6" s="1834" t="s">
        <v>3029</v>
      </c>
      <c r="L6" s="347" t="s">
        <v>1400</v>
      </c>
      <c r="M6" s="348">
        <f ca="1">INDIRECT("'数据-取费表'!z"&amp;$G$1)</f>
        <v>0</v>
      </c>
    </row>
    <row r="7" spans="1:37" ht="18" customHeight="1">
      <c r="A7" s="1295"/>
      <c r="B7" s="3195"/>
      <c r="C7" s="1297"/>
      <c r="D7" s="352"/>
      <c r="E7" s="1298" t="s">
        <v>1401</v>
      </c>
      <c r="F7" s="348">
        <f ca="1">IF(INDIRECT("'数据-取费表'!ah"&amp;$G$1)="",INDIRECT("'数据-取费表'!k"&amp;$G$1),INDIRECT("'数据-取费表'!ah"&amp;$G$1))</f>
        <v>0</v>
      </c>
      <c r="G7" s="1851"/>
      <c r="H7" s="349"/>
      <c r="I7" s="3195"/>
      <c r="J7" s="351"/>
      <c r="K7" s="352"/>
      <c r="L7" s="347" t="s">
        <v>1401</v>
      </c>
      <c r="M7" s="348">
        <f ca="1">F7</f>
        <v>0</v>
      </c>
    </row>
    <row r="8" spans="1:37" ht="18" customHeight="1">
      <c r="A8" s="349"/>
      <c r="B8" s="3195"/>
      <c r="C8" s="351"/>
      <c r="D8" s="352"/>
      <c r="E8" s="347" t="s">
        <v>1402</v>
      </c>
      <c r="F8" s="348">
        <f ca="1">INDIRECT("'数据-取费表'!ai"&amp;$G$1)</f>
        <v>0</v>
      </c>
      <c r="G8" s="1851"/>
      <c r="H8" s="349"/>
      <c r="I8" s="3195"/>
      <c r="J8" s="351"/>
      <c r="K8" s="352"/>
      <c r="L8" s="347" t="s">
        <v>1402</v>
      </c>
      <c r="M8" s="348">
        <f ca="1">INDIRECT("'数据-取费表'!ai"&amp;$G$1)</f>
        <v>0</v>
      </c>
    </row>
    <row r="9" spans="1:37" ht="18" customHeight="1">
      <c r="A9" s="349"/>
      <c r="B9" s="3196"/>
      <c r="C9" s="351"/>
      <c r="D9" s="352"/>
      <c r="E9" s="347" t="s">
        <v>1403</v>
      </c>
      <c r="F9" s="357">
        <f ca="1">INDIRECT("'数据-取费表'!w"&amp;$G$1)</f>
        <v>0</v>
      </c>
      <c r="G9" s="1851"/>
      <c r="H9" s="349"/>
      <c r="I9" s="319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1541</v>
      </c>
      <c r="J53" s="2953">
        <f ca="1">IF(M47="住宅",IF(D1="——",MAX(J51,L48),MAX(J51,L48-'数据-取费表'!B24)),IF(D1="——",MIN(J51,L48),MIN(J51,L48-'数据-取费表'!B24)))</f>
        <v>0</v>
      </c>
      <c r="K53" s="3192" t="s">
        <v>1542</v>
      </c>
      <c r="L53" s="3193"/>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2525</v>
      </c>
      <c r="B1" s="2565"/>
      <c r="C1" s="2565"/>
      <c r="D1" s="2565"/>
      <c r="E1" s="2566"/>
    </row>
    <row r="2" spans="1:6" ht="15.75">
      <c r="A2" s="2567" t="s">
        <v>2326</v>
      </c>
      <c r="B2" s="2568">
        <f ca="1">SUMIF(B6:B13,"&lt;&gt;#ref!",B6:B13)</f>
        <v>9258</v>
      </c>
      <c r="C2" s="2569" t="s">
        <v>2518</v>
      </c>
      <c r="D2" s="2570" t="s">
        <v>2519</v>
      </c>
      <c r="E2" s="2571">
        <f>SUM(E6:E13)</f>
        <v>5775.17</v>
      </c>
    </row>
    <row r="3" spans="1:6" ht="15.75">
      <c r="A3" s="2567" t="s">
        <v>1390</v>
      </c>
      <c r="B3" s="2568">
        <f ca="1">ROUND(B2*10000/E2,0)</f>
        <v>16031</v>
      </c>
      <c r="C3" s="2569" t="s">
        <v>2526</v>
      </c>
      <c r="D3" s="2572"/>
      <c r="E3" s="2573"/>
    </row>
    <row r="4" spans="1:6" ht="15.75">
      <c r="A4" s="2574"/>
      <c r="B4" s="2572"/>
      <c r="C4" s="2572"/>
      <c r="D4" s="2572"/>
      <c r="E4" s="2573"/>
    </row>
    <row r="5" spans="1:6" ht="15">
      <c r="A5" s="2575" t="s">
        <v>2520</v>
      </c>
      <c r="B5" s="3197" t="s">
        <v>2521</v>
      </c>
      <c r="C5" s="3197"/>
      <c r="D5" s="2576"/>
      <c r="E5" s="2577" t="s">
        <v>2522</v>
      </c>
      <c r="F5" s="2578" t="s">
        <v>2523</v>
      </c>
    </row>
    <row r="6" spans="1:6">
      <c r="A6" s="2579" t="str">
        <f>'数据-取费表'!AN6</f>
        <v>收益法</v>
      </c>
      <c r="B6" s="2578">
        <f ca="1">IF(F6="是",'数据-取费表'!AO6,0)</f>
        <v>9258</v>
      </c>
      <c r="C6" s="2569" t="s">
        <v>2518</v>
      </c>
      <c r="D6" s="2572"/>
      <c r="E6" s="2580">
        <f>IF(OR(A6=0,F6="否"),0,'数据-取费表'!K6+'数据-取费表'!S6)</f>
        <v>5775.17</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04" t="s">
        <v>1074</v>
      </c>
      <c r="B2" s="3205" t="s">
        <v>1075</v>
      </c>
      <c r="C2" s="3205"/>
      <c r="D2" s="1301" t="s">
        <v>1076</v>
      </c>
      <c r="E2" s="1301" t="s">
        <v>1077</v>
      </c>
      <c r="F2" s="1301" t="s">
        <v>1078</v>
      </c>
      <c r="G2" s="1301" t="s">
        <v>1079</v>
      </c>
      <c r="H2" s="1301" t="s">
        <v>1080</v>
      </c>
      <c r="I2" s="1302" t="s">
        <v>1081</v>
      </c>
    </row>
    <row r="3" spans="1:9">
      <c r="A3" s="3204"/>
      <c r="B3" s="3205" t="s">
        <v>1082</v>
      </c>
      <c r="C3" s="3205"/>
      <c r="D3" s="1303"/>
      <c r="E3" s="1301"/>
      <c r="F3" s="1304"/>
      <c r="G3" s="1304"/>
      <c r="H3" s="1305"/>
      <c r="I3" s="1306">
        <f>ROUND(D3*E3*F3*G3*H3/10000,0)</f>
        <v>0</v>
      </c>
    </row>
    <row r="4" spans="1:9">
      <c r="A4" s="3204"/>
      <c r="B4" s="3205" t="s">
        <v>1083</v>
      </c>
      <c r="C4" s="3205"/>
      <c r="D4" s="1303"/>
      <c r="E4" s="1301"/>
      <c r="F4" s="1304"/>
      <c r="G4" s="1304"/>
      <c r="H4" s="1305"/>
      <c r="I4" s="1306">
        <f t="shared" ref="I4:I9" si="0">ROUND(D4*E4*F4*G4*H4/10000,0)</f>
        <v>0</v>
      </c>
    </row>
    <row r="5" spans="1:9">
      <c r="A5" s="3204"/>
      <c r="B5" s="3205" t="s">
        <v>1084</v>
      </c>
      <c r="C5" s="3205"/>
      <c r="D5" s="1303"/>
      <c r="E5" s="1301"/>
      <c r="F5" s="1304"/>
      <c r="G5" s="1304"/>
      <c r="H5" s="1305"/>
      <c r="I5" s="1306">
        <f t="shared" si="0"/>
        <v>0</v>
      </c>
    </row>
    <row r="6" spans="1:9">
      <c r="A6" s="3204"/>
      <c r="B6" s="3205" t="s">
        <v>1085</v>
      </c>
      <c r="C6" s="3205"/>
      <c r="D6" s="1303"/>
      <c r="E6" s="1301"/>
      <c r="F6" s="1304"/>
      <c r="G6" s="1304"/>
      <c r="H6" s="1305"/>
      <c r="I6" s="1306">
        <f t="shared" si="0"/>
        <v>0</v>
      </c>
    </row>
    <row r="7" spans="1:9">
      <c r="A7" s="3204"/>
      <c r="B7" s="3205" t="s">
        <v>1086</v>
      </c>
      <c r="C7" s="3205"/>
      <c r="D7" s="1303"/>
      <c r="E7" s="1301"/>
      <c r="F7" s="1304"/>
      <c r="G7" s="1304"/>
      <c r="H7" s="1305"/>
      <c r="I7" s="1306">
        <f t="shared" si="0"/>
        <v>0</v>
      </c>
    </row>
    <row r="8" spans="1:9">
      <c r="A8" s="3204"/>
      <c r="B8" s="3205" t="s">
        <v>1087</v>
      </c>
      <c r="C8" s="3205"/>
      <c r="D8" s="1303"/>
      <c r="E8" s="1301"/>
      <c r="F8" s="1304"/>
      <c r="G8" s="1304"/>
      <c r="H8" s="1305"/>
      <c r="I8" s="1306">
        <f t="shared" si="0"/>
        <v>0</v>
      </c>
    </row>
    <row r="9" spans="1:9">
      <c r="A9" s="3204"/>
      <c r="B9" s="3205" t="s">
        <v>1088</v>
      </c>
      <c r="C9" s="3205"/>
      <c r="D9" s="1303"/>
      <c r="E9" s="1301"/>
      <c r="F9" s="1304"/>
      <c r="G9" s="1304"/>
      <c r="H9" s="1305"/>
      <c r="I9" s="1306">
        <f t="shared" si="0"/>
        <v>0</v>
      </c>
    </row>
    <row r="10" spans="1:9">
      <c r="A10" s="3204"/>
      <c r="B10" s="3206" t="s">
        <v>1089</v>
      </c>
      <c r="C10" s="3206"/>
      <c r="D10" s="1307"/>
      <c r="E10" s="1307" t="e">
        <f>ROUND(D1*10000/D10/H9,0)</f>
        <v>#DIV/0!</v>
      </c>
      <c r="F10" s="1308"/>
      <c r="G10" s="1308"/>
      <c r="H10" s="1309"/>
      <c r="I10" s="1310">
        <f>SUM(I3:I9)</f>
        <v>0</v>
      </c>
    </row>
    <row r="11" spans="1:9" ht="14.25">
      <c r="A11" s="3204" t="s">
        <v>1090</v>
      </c>
      <c r="B11" s="3205" t="s">
        <v>1091</v>
      </c>
      <c r="C11" s="3205"/>
      <c r="D11" s="1303" t="s">
        <v>1092</v>
      </c>
      <c r="E11" s="1303" t="s">
        <v>1093</v>
      </c>
      <c r="F11" s="1304" t="s">
        <v>1094</v>
      </c>
      <c r="G11" s="1304" t="s">
        <v>1080</v>
      </c>
      <c r="H11" s="1311" t="s">
        <v>1095</v>
      </c>
      <c r="I11" s="1302" t="s">
        <v>1081</v>
      </c>
    </row>
    <row r="12" spans="1:9">
      <c r="A12" s="3204"/>
      <c r="B12" s="3205" t="s">
        <v>1096</v>
      </c>
      <c r="C12" s="3205"/>
      <c r="D12" s="1303"/>
      <c r="E12" s="1303"/>
      <c r="F12" s="1304"/>
      <c r="G12" s="1305"/>
      <c r="H12" s="1312"/>
      <c r="I12" s="1302">
        <f>ROUND(D12*E12*F12*G12/10000,0)</f>
        <v>0</v>
      </c>
    </row>
    <row r="13" spans="1:9">
      <c r="A13" s="3204"/>
      <c r="B13" s="3205" t="s">
        <v>1097</v>
      </c>
      <c r="C13" s="3205"/>
      <c r="D13" s="1303"/>
      <c r="E13" s="1303"/>
      <c r="F13" s="1304"/>
      <c r="G13" s="1305"/>
      <c r="H13" s="1312"/>
      <c r="I13" s="1302">
        <f>ROUND(D13*E13*F13*G13/10000,0)</f>
        <v>0</v>
      </c>
    </row>
    <row r="14" spans="1:9">
      <c r="A14" s="3204"/>
      <c r="B14" s="3205" t="s">
        <v>1098</v>
      </c>
      <c r="C14" s="3205"/>
      <c r="D14" s="1303"/>
      <c r="E14" s="1303"/>
      <c r="F14" s="1304"/>
      <c r="G14" s="1305"/>
      <c r="H14" s="1312"/>
      <c r="I14" s="1302">
        <f>ROUND(D14*E14*F14*G14/10000,0)</f>
        <v>0</v>
      </c>
    </row>
    <row r="15" spans="1:9">
      <c r="A15" s="3204"/>
      <c r="B15" s="3206" t="s">
        <v>1089</v>
      </c>
      <c r="C15" s="3206"/>
      <c r="D15" s="1307"/>
      <c r="E15" s="1307">
        <f>SUM(E12:E14)</f>
        <v>0</v>
      </c>
      <c r="F15" s="1308"/>
      <c r="G15" s="1305"/>
      <c r="H15" s="1312"/>
      <c r="I15" s="1313">
        <f>SUM(I12:I14)</f>
        <v>0</v>
      </c>
    </row>
    <row r="16" spans="1:9" ht="24">
      <c r="A16" s="3204" t="s">
        <v>1099</v>
      </c>
      <c r="B16" s="3205" t="s">
        <v>1100</v>
      </c>
      <c r="C16" s="3205"/>
      <c r="D16" s="1303" t="s">
        <v>1076</v>
      </c>
      <c r="E16" s="1314" t="s">
        <v>1101</v>
      </c>
      <c r="F16" s="1304" t="s">
        <v>1102</v>
      </c>
      <c r="G16" s="1305" t="s">
        <v>1080</v>
      </c>
      <c r="H16" s="1311" t="s">
        <v>1095</v>
      </c>
      <c r="I16" s="1302" t="s">
        <v>1081</v>
      </c>
    </row>
    <row r="17" spans="1:9" ht="14.25">
      <c r="A17" s="3204"/>
      <c r="B17" s="3205" t="s">
        <v>1103</v>
      </c>
      <c r="C17" s="3205"/>
      <c r="D17" s="1303"/>
      <c r="E17" s="1303"/>
      <c r="F17" s="1304"/>
      <c r="G17" s="1305"/>
      <c r="H17" s="1315"/>
      <c r="I17" s="1316">
        <f>ROUND(D17*E17*F17*G17/10000,0)</f>
        <v>0</v>
      </c>
    </row>
    <row r="18" spans="1:9" ht="14.25">
      <c r="A18" s="3204"/>
      <c r="B18" s="3205" t="s">
        <v>1104</v>
      </c>
      <c r="C18" s="3205"/>
      <c r="D18" s="1303"/>
      <c r="E18" s="1303"/>
      <c r="F18" s="1304"/>
      <c r="G18" s="1305"/>
      <c r="H18" s="1315"/>
      <c r="I18" s="1316">
        <f>ROUND(D18*E18*F18*G18/10000,0)</f>
        <v>0</v>
      </c>
    </row>
    <row r="19" spans="1:9" ht="14.25">
      <c r="A19" s="3204"/>
      <c r="B19" s="3205" t="s">
        <v>1105</v>
      </c>
      <c r="C19" s="3205"/>
      <c r="D19" s="1303"/>
      <c r="E19" s="1303"/>
      <c r="F19" s="1304"/>
      <c r="G19" s="1305"/>
      <c r="H19" s="1315"/>
      <c r="I19" s="1316">
        <f>ROUND(D19*E19*F19*G19/10000,0)</f>
        <v>0</v>
      </c>
    </row>
    <row r="20" spans="1:9">
      <c r="A20" s="3204"/>
      <c r="B20" s="3206" t="s">
        <v>1089</v>
      </c>
      <c r="C20" s="3206"/>
      <c r="D20" s="1307">
        <f>SUM(D17:D19)</f>
        <v>0</v>
      </c>
      <c r="E20" s="1307"/>
      <c r="F20" s="1308"/>
      <c r="G20" s="1305"/>
      <c r="H20" s="1312"/>
      <c r="I20" s="1313">
        <f>SUM(I17:I19)</f>
        <v>0</v>
      </c>
    </row>
    <row r="21" spans="1:9">
      <c r="A21" s="3204"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01">
        <f>C27-C30-C31-C32</f>
        <v>0</v>
      </c>
      <c r="F26" s="3201"/>
      <c r="G26" s="3201"/>
      <c r="H26" s="1737" t="s">
        <v>1336</v>
      </c>
    </row>
    <row r="27" spans="1:9">
      <c r="A27" s="1324">
        <v>1</v>
      </c>
      <c r="B27" s="1325" t="s">
        <v>1115</v>
      </c>
      <c r="C27" s="1325">
        <f>C28+C29</f>
        <v>0</v>
      </c>
      <c r="D27" s="1325"/>
      <c r="E27" s="3202"/>
      <c r="F27" s="3202"/>
      <c r="G27" s="3202"/>
    </row>
    <row r="28" spans="1:9">
      <c r="A28" s="1326" t="s">
        <v>1116</v>
      </c>
      <c r="B28" s="1325" t="s">
        <v>1117</v>
      </c>
      <c r="C28" s="1325"/>
      <c r="D28" s="1325"/>
      <c r="E28" s="3202"/>
      <c r="F28" s="3202"/>
      <c r="G28" s="32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3"/>
      <c r="F32" s="3203"/>
      <c r="G32" s="3203"/>
    </row>
    <row r="33" spans="1:7" hidden="1">
      <c r="A33" s="3198" t="s">
        <v>1126</v>
      </c>
      <c r="B33" s="3199"/>
      <c r="C33" s="3199"/>
      <c r="D33" s="3200"/>
      <c r="E33" s="3201"/>
      <c r="F33" s="3201"/>
      <c r="G33" s="3201"/>
    </row>
    <row r="34" spans="1:7" hidden="1">
      <c r="A34" s="1328">
        <v>1</v>
      </c>
      <c r="B34" s="1325" t="s">
        <v>1127</v>
      </c>
      <c r="C34" s="1325"/>
      <c r="D34" s="1325"/>
      <c r="E34" s="3202"/>
      <c r="F34" s="3202"/>
      <c r="G34" s="3202"/>
    </row>
    <row r="35" spans="1:7" hidden="1">
      <c r="A35" s="1328">
        <v>2</v>
      </c>
      <c r="B35" s="1325" t="s">
        <v>1128</v>
      </c>
      <c r="C35" s="1325"/>
      <c r="D35" s="1325"/>
      <c r="E35" s="3202"/>
      <c r="F35" s="3202"/>
      <c r="G35" s="3202"/>
    </row>
    <row r="36" spans="1:7" hidden="1">
      <c r="A36" s="1328">
        <v>3</v>
      </c>
      <c r="B36" s="1325" t="s">
        <v>1129</v>
      </c>
      <c r="C36" s="1325"/>
      <c r="D36" s="1325"/>
      <c r="E36" s="3202"/>
      <c r="F36" s="3202"/>
      <c r="G36" s="3202"/>
    </row>
    <row r="37" spans="1:7" hidden="1">
      <c r="A37" s="1328">
        <v>4</v>
      </c>
      <c r="B37" s="1325" t="s">
        <v>1130</v>
      </c>
      <c r="C37" s="1325"/>
      <c r="D37" s="1325"/>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2528</v>
      </c>
      <c r="C1" s="1634" t="s">
        <v>2529</v>
      </c>
      <c r="D1" s="1621"/>
      <c r="E1" s="2586"/>
      <c r="F1" s="2587" t="s">
        <v>2530</v>
      </c>
      <c r="G1" s="1631" t="s">
        <v>2531</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2532</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2533</v>
      </c>
      <c r="D3" s="399">
        <f>IF(D1="",'数据-汇总表'!E3,SUMIF('数据-汇总表'!$C19:$C33,D1,'数据-汇总表'!$E19:$E33))</f>
        <v>5775.17</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2534</v>
      </c>
      <c r="B4" s="402"/>
      <c r="C4" s="3164" t="s">
        <v>2535</v>
      </c>
      <c r="D4" s="3165"/>
      <c r="E4" s="3166" t="s">
        <v>2536</v>
      </c>
      <c r="F4" s="3167"/>
      <c r="G4" s="3164" t="s">
        <v>2537</v>
      </c>
      <c r="H4" s="3165"/>
      <c r="I4" s="3164" t="s">
        <v>2538</v>
      </c>
      <c r="J4" s="3165"/>
      <c r="K4" s="2599" t="s">
        <v>2539</v>
      </c>
      <c r="L4" s="1130"/>
      <c r="M4" s="1131"/>
      <c r="N4" s="1131"/>
      <c r="O4" s="1131"/>
      <c r="P4" s="3168" t="s">
        <v>2540</v>
      </c>
      <c r="Q4" s="3169"/>
      <c r="R4" s="3174" t="s">
        <v>2536</v>
      </c>
      <c r="S4" s="3175"/>
      <c r="T4" s="3174" t="s">
        <v>2537</v>
      </c>
      <c r="U4" s="3175"/>
      <c r="V4" s="3180" t="s">
        <v>2538</v>
      </c>
      <c r="W4" s="3180"/>
      <c r="X4" s="1813"/>
      <c r="Y4" s="3174" t="s">
        <v>2540</v>
      </c>
      <c r="Z4" s="3175"/>
      <c r="AA4" s="3161" t="s">
        <v>2536</v>
      </c>
      <c r="AB4" s="3161" t="s">
        <v>2537</v>
      </c>
      <c r="AC4" s="3161" t="s">
        <v>2538</v>
      </c>
    </row>
    <row r="5" spans="1:29" ht="15">
      <c r="A5" s="404"/>
      <c r="B5" s="405"/>
      <c r="C5" s="3183" t="s">
        <v>2541</v>
      </c>
      <c r="D5" s="3184"/>
      <c r="E5" s="3190" t="s">
        <v>2542</v>
      </c>
      <c r="F5" s="3191"/>
      <c r="G5" s="3183" t="s">
        <v>2543</v>
      </c>
      <c r="H5" s="3184"/>
      <c r="I5" s="3183" t="s">
        <v>2544</v>
      </c>
      <c r="J5" s="3184"/>
      <c r="K5" s="2600"/>
      <c r="L5" s="1130"/>
      <c r="M5" s="1131"/>
      <c r="N5" s="1131"/>
      <c r="O5" s="1131"/>
      <c r="P5" s="3170"/>
      <c r="Q5" s="3171"/>
      <c r="R5" s="3176"/>
      <c r="S5" s="3177"/>
      <c r="T5" s="3176"/>
      <c r="U5" s="3177"/>
      <c r="V5" s="3180"/>
      <c r="W5" s="3180"/>
      <c r="X5" s="1813"/>
      <c r="Y5" s="3176"/>
      <c r="Z5" s="3177"/>
      <c r="AA5" s="3162"/>
      <c r="AB5" s="3162"/>
      <c r="AC5" s="3162"/>
    </row>
    <row r="6" spans="1:29" ht="15.75" thickBot="1">
      <c r="A6" s="406"/>
      <c r="B6" s="407"/>
      <c r="C6" s="3181" t="s">
        <v>2545</v>
      </c>
      <c r="D6" s="3182"/>
      <c r="E6" s="3188" t="s">
        <v>2545</v>
      </c>
      <c r="F6" s="3189"/>
      <c r="G6" s="3181" t="s">
        <v>2545</v>
      </c>
      <c r="H6" s="3182"/>
      <c r="I6" s="3181" t="s">
        <v>2545</v>
      </c>
      <c r="J6" s="3182"/>
      <c r="K6" s="2600" t="s">
        <v>2546</v>
      </c>
      <c r="L6" s="1130"/>
      <c r="M6" s="1131"/>
      <c r="N6" s="1131"/>
      <c r="O6" s="1131"/>
      <c r="P6" s="3172"/>
      <c r="Q6" s="3173"/>
      <c r="R6" s="3176"/>
      <c r="S6" s="3177"/>
      <c r="T6" s="3178"/>
      <c r="U6" s="3179"/>
      <c r="V6" s="3180"/>
      <c r="W6" s="3180"/>
      <c r="X6" s="1813"/>
      <c r="Y6" s="3178"/>
      <c r="Z6" s="3179"/>
      <c r="AA6" s="3163"/>
      <c r="AB6" s="3163"/>
      <c r="AC6" s="3163"/>
    </row>
    <row r="7" spans="1:29" s="117" customFormat="1" ht="15.75" thickBot="1">
      <c r="A7" s="408" t="s">
        <v>2547</v>
      </c>
      <c r="B7" s="409"/>
      <c r="C7" s="410">
        <f>'数据-取费表'!B2</f>
        <v>43718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85" t="s">
        <v>2548</v>
      </c>
      <c r="Q7" s="3187"/>
      <c r="R7" s="770" t="s">
        <v>23</v>
      </c>
      <c r="S7" s="771">
        <f t="shared" ref="S7:S15" si="0">F7</f>
        <v>0</v>
      </c>
      <c r="T7" s="770" t="s">
        <v>23</v>
      </c>
      <c r="U7" s="771">
        <f t="shared" ref="U7:U15" si="1">H7</f>
        <v>0</v>
      </c>
      <c r="V7" s="770" t="s">
        <v>23</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85" t="s">
        <v>2551</v>
      </c>
      <c r="Q8" s="3186"/>
      <c r="R8" s="770" t="s">
        <v>23</v>
      </c>
      <c r="S8" s="771">
        <f t="shared" si="0"/>
        <v>0</v>
      </c>
      <c r="T8" s="770" t="s">
        <v>23</v>
      </c>
      <c r="U8" s="771">
        <f t="shared" si="1"/>
        <v>0</v>
      </c>
      <c r="V8" s="770" t="s">
        <v>23</v>
      </c>
      <c r="W8" s="771">
        <f t="shared" si="2"/>
        <v>0</v>
      </c>
      <c r="X8" s="772"/>
      <c r="Y8" s="3185" t="s">
        <v>2551</v>
      </c>
      <c r="Z8" s="318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24"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4"/>
      <c r="Q11" s="1795"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24"/>
      <c r="Q12" s="1795">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24"/>
      <c r="Q13" s="1795">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24"/>
      <c r="Q14" s="1795">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2558</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2559</v>
      </c>
      <c r="Q15" s="1810" t="str">
        <f t="shared" si="6"/>
        <v>居住社区成熟度</v>
      </c>
      <c r="R15" s="774" t="s">
        <v>21</v>
      </c>
      <c r="S15" s="775">
        <f t="shared" si="0"/>
        <v>100</v>
      </c>
      <c r="T15" s="774" t="s">
        <v>21</v>
      </c>
      <c r="U15" s="775">
        <f t="shared" si="1"/>
        <v>100</v>
      </c>
      <c r="V15" s="774" t="s">
        <v>21</v>
      </c>
      <c r="W15" s="775">
        <f t="shared" si="2"/>
        <v>100</v>
      </c>
      <c r="X15" s="1813"/>
      <c r="Y15" s="3156" t="s">
        <v>2559</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23"/>
      <c r="Q16" s="1810"/>
      <c r="R16" s="774"/>
      <c r="S16" s="775"/>
      <c r="T16" s="774"/>
      <c r="U16" s="775"/>
      <c r="V16" s="774"/>
      <c r="W16" s="775"/>
      <c r="X16" s="1813"/>
      <c r="Y16" s="3157"/>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10" t="str">
        <f>B17</f>
        <v>交通便捷度</v>
      </c>
      <c r="R17" s="774" t="s">
        <v>21</v>
      </c>
      <c r="S17" s="775">
        <f>F17</f>
        <v>100</v>
      </c>
      <c r="T17" s="774" t="s">
        <v>21</v>
      </c>
      <c r="U17" s="775">
        <f>H17</f>
        <v>100</v>
      </c>
      <c r="V17" s="774" t="s">
        <v>21</v>
      </c>
      <c r="W17" s="775">
        <f>J17</f>
        <v>100</v>
      </c>
      <c r="X17" s="1813"/>
      <c r="Y17" s="3157"/>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23"/>
      <c r="Q18" s="1810"/>
      <c r="R18" s="774"/>
      <c r="S18" s="775"/>
      <c r="T18" s="774"/>
      <c r="U18" s="775"/>
      <c r="V18" s="774"/>
      <c r="W18" s="775"/>
      <c r="X18" s="1813"/>
      <c r="Y18" s="3157"/>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10" t="str">
        <f>B19</f>
        <v>公共配套设施</v>
      </c>
      <c r="R19" s="774" t="s">
        <v>21</v>
      </c>
      <c r="S19" s="775">
        <f>F19</f>
        <v>100</v>
      </c>
      <c r="T19" s="774" t="s">
        <v>21</v>
      </c>
      <c r="U19" s="775">
        <f>H19</f>
        <v>100</v>
      </c>
      <c r="V19" s="774" t="s">
        <v>21</v>
      </c>
      <c r="W19" s="775">
        <f>J19</f>
        <v>100</v>
      </c>
      <c r="X19" s="1813"/>
      <c r="Y19" s="3157"/>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23"/>
      <c r="Q20" s="1810"/>
      <c r="R20" s="774"/>
      <c r="S20" s="775"/>
      <c r="T20" s="774"/>
      <c r="U20" s="775"/>
      <c r="V20" s="774"/>
      <c r="W20" s="775"/>
      <c r="X20" s="1813"/>
      <c r="Y20" s="3157"/>
      <c r="Z20" s="1814"/>
      <c r="AA20" s="1811">
        <v>1</v>
      </c>
      <c r="AB20" s="1811">
        <v>1</v>
      </c>
      <c r="AC20" s="1811">
        <v>1</v>
      </c>
    </row>
    <row r="21" spans="1:29" ht="28.5">
      <c r="A21" s="428"/>
      <c r="B21" s="1384"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23"/>
      <c r="Q22" s="1810"/>
      <c r="R22" s="774"/>
      <c r="S22" s="775"/>
      <c r="T22" s="774"/>
      <c r="U22" s="775"/>
      <c r="V22" s="774"/>
      <c r="W22" s="775"/>
      <c r="X22" s="1813"/>
      <c r="Y22" s="3157"/>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10" t="str">
        <f>B23</f>
        <v>自然及人文环境</v>
      </c>
      <c r="R23" s="774" t="s">
        <v>21</v>
      </c>
      <c r="S23" s="775">
        <f>F23</f>
        <v>100</v>
      </c>
      <c r="T23" s="774" t="s">
        <v>21</v>
      </c>
      <c r="U23" s="775">
        <f>H23</f>
        <v>100</v>
      </c>
      <c r="V23" s="774" t="s">
        <v>21</v>
      </c>
      <c r="W23" s="775">
        <f>J23</f>
        <v>100</v>
      </c>
      <c r="X23" s="1813"/>
      <c r="Y23" s="3157"/>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23"/>
      <c r="Q24" s="1810"/>
      <c r="R24" s="774"/>
      <c r="S24" s="775"/>
      <c r="T24" s="774"/>
      <c r="U24" s="775"/>
      <c r="V24" s="774"/>
      <c r="W24" s="775"/>
      <c r="X24" s="1813"/>
      <c r="Y24" s="3157"/>
      <c r="Z24" s="1814"/>
      <c r="AA24" s="1811">
        <v>1</v>
      </c>
      <c r="AB24" s="1811">
        <v>1</v>
      </c>
      <c r="AC24" s="1811">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2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7"/>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23"/>
      <c r="Q26" s="1810" t="str">
        <f t="shared" si="11"/>
        <v>朝向</v>
      </c>
      <c r="R26" s="774" t="s">
        <v>21</v>
      </c>
      <c r="S26" s="775">
        <f t="shared" si="12"/>
        <v>100</v>
      </c>
      <c r="T26" s="774" t="s">
        <v>21</v>
      </c>
      <c r="U26" s="775">
        <f t="shared" si="13"/>
        <v>100</v>
      </c>
      <c r="V26" s="774" t="s">
        <v>21</v>
      </c>
      <c r="W26" s="775">
        <f t="shared" si="14"/>
        <v>100</v>
      </c>
      <c r="X26" s="1813"/>
      <c r="Y26" s="315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23"/>
      <c r="Q27" s="1795">
        <f t="shared" si="11"/>
        <v>111</v>
      </c>
      <c r="R27" s="770" t="s">
        <v>21</v>
      </c>
      <c r="S27" s="771">
        <f t="shared" si="12"/>
        <v>100</v>
      </c>
      <c r="T27" s="770" t="s">
        <v>21</v>
      </c>
      <c r="U27" s="771">
        <f t="shared" si="13"/>
        <v>100</v>
      </c>
      <c r="V27" s="770" t="s">
        <v>21</v>
      </c>
      <c r="W27" s="771">
        <f t="shared" si="14"/>
        <v>100</v>
      </c>
      <c r="X27" s="772"/>
      <c r="Y27" s="315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23"/>
      <c r="Q28" s="1810">
        <f t="shared" si="11"/>
        <v>111</v>
      </c>
      <c r="R28" s="774" t="s">
        <v>21</v>
      </c>
      <c r="S28" s="775">
        <f t="shared" si="12"/>
        <v>100</v>
      </c>
      <c r="T28" s="774" t="s">
        <v>21</v>
      </c>
      <c r="U28" s="775">
        <f t="shared" si="13"/>
        <v>100</v>
      </c>
      <c r="V28" s="774" t="s">
        <v>21</v>
      </c>
      <c r="W28" s="775">
        <f t="shared" si="14"/>
        <v>100</v>
      </c>
      <c r="X28" s="1813"/>
      <c r="Y28" s="315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23"/>
      <c r="Q29" s="1810">
        <f t="shared" si="11"/>
        <v>111</v>
      </c>
      <c r="R29" s="774" t="s">
        <v>21</v>
      </c>
      <c r="S29" s="775">
        <f t="shared" si="12"/>
        <v>100</v>
      </c>
      <c r="T29" s="774" t="s">
        <v>21</v>
      </c>
      <c r="U29" s="775">
        <f t="shared" si="13"/>
        <v>100</v>
      </c>
      <c r="V29" s="774" t="s">
        <v>21</v>
      </c>
      <c r="W29" s="775">
        <f t="shared" si="14"/>
        <v>100</v>
      </c>
      <c r="X29" s="1813"/>
      <c r="Y29" s="315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23"/>
      <c r="Q30" s="1810">
        <f t="shared" si="11"/>
        <v>111</v>
      </c>
      <c r="R30" s="774" t="s">
        <v>21</v>
      </c>
      <c r="S30" s="775">
        <f t="shared" si="12"/>
        <v>100</v>
      </c>
      <c r="T30" s="774" t="s">
        <v>21</v>
      </c>
      <c r="U30" s="775">
        <f t="shared" si="13"/>
        <v>100</v>
      </c>
      <c r="V30" s="774" t="s">
        <v>21</v>
      </c>
      <c r="W30" s="775">
        <f t="shared" si="14"/>
        <v>100</v>
      </c>
      <c r="X30" s="1813"/>
      <c r="Y30" s="315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23"/>
      <c r="Q31" s="1810">
        <f t="shared" si="11"/>
        <v>111</v>
      </c>
      <c r="R31" s="774" t="s">
        <v>21</v>
      </c>
      <c r="S31" s="775">
        <f t="shared" si="12"/>
        <v>100</v>
      </c>
      <c r="T31" s="774" t="s">
        <v>21</v>
      </c>
      <c r="U31" s="775">
        <f t="shared" si="13"/>
        <v>100</v>
      </c>
      <c r="V31" s="774" t="s">
        <v>21</v>
      </c>
      <c r="W31" s="775">
        <f t="shared" si="14"/>
        <v>100</v>
      </c>
      <c r="X31" s="1813"/>
      <c r="Y31" s="3157"/>
      <c r="Z31" s="1814">
        <f t="shared" si="18"/>
        <v>111</v>
      </c>
      <c r="AA31" s="1811">
        <f t="shared" si="15"/>
        <v>1</v>
      </c>
      <c r="AB31" s="1811">
        <f t="shared" si="16"/>
        <v>1</v>
      </c>
      <c r="AC31" s="1811">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9" t="s">
        <v>2564</v>
      </c>
      <c r="Q32" s="1810" t="str">
        <f t="shared" si="11"/>
        <v>建筑类型</v>
      </c>
      <c r="R32" s="774" t="s">
        <v>21</v>
      </c>
      <c r="S32" s="775">
        <f t="shared" si="12"/>
        <v>100</v>
      </c>
      <c r="T32" s="774" t="s">
        <v>21</v>
      </c>
      <c r="U32" s="775">
        <f t="shared" si="13"/>
        <v>100</v>
      </c>
      <c r="V32" s="774" t="s">
        <v>21</v>
      </c>
      <c r="W32" s="775">
        <f t="shared" si="14"/>
        <v>100</v>
      </c>
      <c r="X32" s="1813"/>
      <c r="Y32" s="3159"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20"/>
      <c r="Q33" s="776" t="str">
        <f t="shared" si="11"/>
        <v>项目建筑规模</v>
      </c>
      <c r="R33" s="777" t="s">
        <v>21</v>
      </c>
      <c r="S33" s="778" t="e">
        <f t="shared" si="12"/>
        <v>#N/A</v>
      </c>
      <c r="T33" s="777" t="s">
        <v>21</v>
      </c>
      <c r="U33" s="778" t="e">
        <f t="shared" si="13"/>
        <v>#N/A</v>
      </c>
      <c r="V33" s="777" t="s">
        <v>21</v>
      </c>
      <c r="W33" s="778" t="e">
        <f t="shared" si="14"/>
        <v>#N/A</v>
      </c>
      <c r="X33" s="779"/>
      <c r="Y33" s="3159"/>
      <c r="Z33" s="780" t="str">
        <f t="shared" si="18"/>
        <v>项目建筑规模</v>
      </c>
      <c r="AA33" s="1811" t="e">
        <f t="shared" si="15"/>
        <v>#N/A</v>
      </c>
      <c r="AB33" s="1811" t="e">
        <f t="shared" si="16"/>
        <v>#N/A</v>
      </c>
      <c r="AC33" s="1811"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20"/>
      <c r="Q34" s="1810" t="str">
        <f t="shared" si="11"/>
        <v>建筑结构</v>
      </c>
      <c r="R34" s="774" t="s">
        <v>21</v>
      </c>
      <c r="S34" s="775">
        <f t="shared" si="12"/>
        <v>100</v>
      </c>
      <c r="T34" s="774" t="s">
        <v>21</v>
      </c>
      <c r="U34" s="775">
        <f t="shared" si="13"/>
        <v>100</v>
      </c>
      <c r="V34" s="774" t="s">
        <v>21</v>
      </c>
      <c r="W34" s="775">
        <f t="shared" si="14"/>
        <v>100</v>
      </c>
      <c r="X34" s="1813"/>
      <c r="Y34" s="3159"/>
      <c r="Z34" s="1814" t="str">
        <f t="shared" si="18"/>
        <v>建筑结构</v>
      </c>
      <c r="AA34" s="1811">
        <f t="shared" si="15"/>
        <v>1</v>
      </c>
      <c r="AB34" s="1811">
        <f t="shared" si="16"/>
        <v>1</v>
      </c>
      <c r="AC34" s="1811">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20"/>
      <c r="Q35" s="1810" t="str">
        <f t="shared" si="11"/>
        <v>建筑品质</v>
      </c>
      <c r="R35" s="774" t="s">
        <v>21</v>
      </c>
      <c r="S35" s="775">
        <f t="shared" si="12"/>
        <v>100</v>
      </c>
      <c r="T35" s="774" t="s">
        <v>21</v>
      </c>
      <c r="U35" s="775">
        <f t="shared" si="13"/>
        <v>100</v>
      </c>
      <c r="V35" s="774" t="s">
        <v>21</v>
      </c>
      <c r="W35" s="775">
        <f t="shared" si="14"/>
        <v>100</v>
      </c>
      <c r="X35" s="1813"/>
      <c r="Y35" s="3159"/>
      <c r="Z35" s="1814" t="str">
        <f t="shared" si="18"/>
        <v>建筑品质</v>
      </c>
      <c r="AA35" s="1811">
        <f t="shared" si="15"/>
        <v>1</v>
      </c>
      <c r="AB35" s="1811">
        <f t="shared" si="16"/>
        <v>1</v>
      </c>
      <c r="AC35" s="1811">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20"/>
      <c r="Q36" s="1810" t="str">
        <f t="shared" si="11"/>
        <v>公共部分装修</v>
      </c>
      <c r="R36" s="774" t="s">
        <v>21</v>
      </c>
      <c r="S36" s="775">
        <f t="shared" si="12"/>
        <v>100</v>
      </c>
      <c r="T36" s="774" t="s">
        <v>21</v>
      </c>
      <c r="U36" s="775">
        <f t="shared" si="13"/>
        <v>100</v>
      </c>
      <c r="V36" s="774" t="s">
        <v>21</v>
      </c>
      <c r="W36" s="775">
        <f t="shared" si="14"/>
        <v>100</v>
      </c>
      <c r="X36" s="1813"/>
      <c r="Y36" s="3159"/>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0"/>
      <c r="Q37" s="1795" t="str">
        <f t="shared" si="11"/>
        <v>成新度</v>
      </c>
      <c r="R37" s="770" t="s">
        <v>21</v>
      </c>
      <c r="S37" s="771" t="e">
        <f t="shared" si="12"/>
        <v>#N/A</v>
      </c>
      <c r="T37" s="770" t="s">
        <v>21</v>
      </c>
      <c r="U37" s="771" t="e">
        <f t="shared" si="13"/>
        <v>#N/A</v>
      </c>
      <c r="V37" s="770" t="s">
        <v>21</v>
      </c>
      <c r="W37" s="771" t="e">
        <f t="shared" si="14"/>
        <v>#N/A</v>
      </c>
      <c r="X37" s="772"/>
      <c r="Y37" s="3159"/>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20" t="s">
        <v>2564</v>
      </c>
      <c r="Q38" s="1810" t="str">
        <f t="shared" si="11"/>
        <v>物业管理</v>
      </c>
      <c r="R38" s="774" t="s">
        <v>21</v>
      </c>
      <c r="S38" s="775">
        <f t="shared" si="12"/>
        <v>100</v>
      </c>
      <c r="T38" s="774" t="s">
        <v>21</v>
      </c>
      <c r="U38" s="775">
        <f t="shared" si="13"/>
        <v>100</v>
      </c>
      <c r="V38" s="774" t="s">
        <v>21</v>
      </c>
      <c r="W38" s="775">
        <f t="shared" si="14"/>
        <v>100</v>
      </c>
      <c r="X38" s="1813"/>
      <c r="Y38" s="3159" t="s">
        <v>2564</v>
      </c>
      <c r="Z38" s="1814" t="str">
        <f t="shared" si="18"/>
        <v>物业管理</v>
      </c>
      <c r="AA38" s="1811">
        <f t="shared" si="15"/>
        <v>1</v>
      </c>
      <c r="AB38" s="1811">
        <f t="shared" si="16"/>
        <v>1</v>
      </c>
      <c r="AC38" s="1811">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20"/>
      <c r="Q39" s="1810" t="str">
        <f t="shared" si="11"/>
        <v>市政基础设施</v>
      </c>
      <c r="R39" s="774" t="s">
        <v>21</v>
      </c>
      <c r="S39" s="775">
        <f t="shared" si="12"/>
        <v>100</v>
      </c>
      <c r="T39" s="774" t="s">
        <v>21</v>
      </c>
      <c r="U39" s="775">
        <f t="shared" si="13"/>
        <v>100</v>
      </c>
      <c r="V39" s="774" t="s">
        <v>21</v>
      </c>
      <c r="W39" s="775">
        <f t="shared" si="14"/>
        <v>100</v>
      </c>
      <c r="X39" s="1813"/>
      <c r="Y39" s="3159"/>
      <c r="Z39" s="1814" t="str">
        <f t="shared" si="18"/>
        <v>市政基础设施</v>
      </c>
      <c r="AA39" s="1811">
        <f t="shared" si="15"/>
        <v>1</v>
      </c>
      <c r="AB39" s="1811">
        <f t="shared" si="16"/>
        <v>1</v>
      </c>
      <c r="AC39" s="1811">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20"/>
      <c r="Q40" s="1810" t="str">
        <f t="shared" si="11"/>
        <v>房型</v>
      </c>
      <c r="R40" s="774" t="s">
        <v>21</v>
      </c>
      <c r="S40" s="775">
        <f t="shared" si="12"/>
        <v>100</v>
      </c>
      <c r="T40" s="774" t="s">
        <v>21</v>
      </c>
      <c r="U40" s="775">
        <f t="shared" si="13"/>
        <v>100</v>
      </c>
      <c r="V40" s="774" t="s">
        <v>21</v>
      </c>
      <c r="W40" s="775">
        <f t="shared" si="14"/>
        <v>100</v>
      </c>
      <c r="X40" s="1813"/>
      <c r="Y40" s="3159"/>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20"/>
      <c r="Q41" s="776" t="str">
        <f t="shared" si="11"/>
        <v>单套/主力户型建筑面积</v>
      </c>
      <c r="R41" s="777" t="s">
        <v>21</v>
      </c>
      <c r="S41" s="778">
        <f t="shared" si="12"/>
        <v>100</v>
      </c>
      <c r="T41" s="777" t="s">
        <v>21</v>
      </c>
      <c r="U41" s="778">
        <f t="shared" si="13"/>
        <v>100</v>
      </c>
      <c r="V41" s="777" t="s">
        <v>21</v>
      </c>
      <c r="W41" s="778">
        <f t="shared" si="14"/>
        <v>100</v>
      </c>
      <c r="X41" s="779"/>
      <c r="Y41" s="3159"/>
      <c r="Z41" s="780" t="str">
        <f t="shared" si="18"/>
        <v>单套/主力户型建筑面积</v>
      </c>
      <c r="AA41" s="1811">
        <f t="shared" si="15"/>
        <v>1</v>
      </c>
      <c r="AB41" s="1811">
        <f t="shared" si="16"/>
        <v>1</v>
      </c>
      <c r="AC41" s="1811">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20"/>
      <c r="Q42" s="1810" t="str">
        <f t="shared" si="11"/>
        <v>内部装修</v>
      </c>
      <c r="R42" s="774" t="s">
        <v>21</v>
      </c>
      <c r="S42" s="775">
        <f t="shared" si="12"/>
        <v>100</v>
      </c>
      <c r="T42" s="774" t="s">
        <v>21</v>
      </c>
      <c r="U42" s="775">
        <f t="shared" si="13"/>
        <v>100</v>
      </c>
      <c r="V42" s="774" t="s">
        <v>21</v>
      </c>
      <c r="W42" s="775">
        <f t="shared" si="14"/>
        <v>100</v>
      </c>
      <c r="X42" s="1813"/>
      <c r="Y42" s="3159"/>
      <c r="Z42" s="1814" t="str">
        <f t="shared" si="18"/>
        <v>内部装修</v>
      </c>
      <c r="AA42" s="1811">
        <f t="shared" si="15"/>
        <v>1</v>
      </c>
      <c r="AB42" s="1811">
        <f t="shared" si="16"/>
        <v>1</v>
      </c>
      <c r="AC42" s="1811">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20"/>
      <c r="Q43" s="1810" t="str">
        <f t="shared" si="11"/>
        <v>内部装修维护情况</v>
      </c>
      <c r="R43" s="774" t="s">
        <v>21</v>
      </c>
      <c r="S43" s="775">
        <f t="shared" si="12"/>
        <v>100</v>
      </c>
      <c r="T43" s="774" t="s">
        <v>21</v>
      </c>
      <c r="U43" s="775">
        <f t="shared" si="13"/>
        <v>100</v>
      </c>
      <c r="V43" s="774" t="s">
        <v>21</v>
      </c>
      <c r="W43" s="775">
        <f t="shared" si="14"/>
        <v>100</v>
      </c>
      <c r="X43" s="1813"/>
      <c r="Y43" s="315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20"/>
      <c r="Q44" s="1795">
        <f t="shared" si="11"/>
        <v>111</v>
      </c>
      <c r="R44" s="770" t="s">
        <v>21</v>
      </c>
      <c r="S44" s="771">
        <f t="shared" si="12"/>
        <v>100</v>
      </c>
      <c r="T44" s="770" t="s">
        <v>21</v>
      </c>
      <c r="U44" s="771">
        <f t="shared" si="13"/>
        <v>100</v>
      </c>
      <c r="V44" s="770" t="s">
        <v>21</v>
      </c>
      <c r="W44" s="771">
        <f t="shared" si="14"/>
        <v>100</v>
      </c>
      <c r="X44" s="772"/>
      <c r="Y44" s="315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20"/>
      <c r="Q45" s="1810">
        <f t="shared" si="11"/>
        <v>111</v>
      </c>
      <c r="R45" s="774" t="s">
        <v>21</v>
      </c>
      <c r="S45" s="775">
        <f t="shared" si="12"/>
        <v>100</v>
      </c>
      <c r="T45" s="774" t="s">
        <v>21</v>
      </c>
      <c r="U45" s="775">
        <f t="shared" si="13"/>
        <v>100</v>
      </c>
      <c r="V45" s="774" t="s">
        <v>21</v>
      </c>
      <c r="W45" s="775">
        <f t="shared" si="14"/>
        <v>100</v>
      </c>
      <c r="X45" s="1813"/>
      <c r="Y45" s="315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21"/>
      <c r="Q46" s="1810">
        <f t="shared" si="11"/>
        <v>111</v>
      </c>
      <c r="R46" s="774" t="s">
        <v>20</v>
      </c>
      <c r="S46" s="775">
        <f t="shared" si="12"/>
        <v>100</v>
      </c>
      <c r="T46" s="774" t="s">
        <v>20</v>
      </c>
      <c r="U46" s="775">
        <f t="shared" si="13"/>
        <v>100</v>
      </c>
      <c r="V46" s="774" t="s">
        <v>20</v>
      </c>
      <c r="W46" s="775">
        <f t="shared" si="14"/>
        <v>100</v>
      </c>
      <c r="X46" s="1813"/>
      <c r="Y46" s="3160"/>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4"/>
      <c r="L47" s="1143"/>
      <c r="M47" s="1144"/>
      <c r="N47" s="1131"/>
      <c r="O47" s="1144"/>
      <c r="P47" s="3151" t="str">
        <f>A47</f>
        <v>成交单价（元/平方米）</v>
      </c>
      <c r="Q47" s="3151"/>
      <c r="R47" s="3152">
        <f>E47</f>
        <v>0</v>
      </c>
      <c r="S47" s="3152"/>
      <c r="T47" s="3152">
        <f>G47</f>
        <v>0</v>
      </c>
      <c r="U47" s="3152"/>
      <c r="V47" s="3152">
        <f>I47</f>
        <v>0</v>
      </c>
      <c r="W47" s="3152"/>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5"/>
      <c r="L48" s="1143"/>
      <c r="M48" s="1144"/>
      <c r="N48" s="1144"/>
      <c r="O48" s="1144"/>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6"/>
      <c r="L49" s="1143"/>
      <c r="M49" s="1144"/>
      <c r="N49" s="1144"/>
      <c r="O49" s="1144"/>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9"/>
      <c r="Q57" s="504"/>
    </row>
    <row r="58" spans="1:29" s="508" customFormat="1" ht="15">
      <c r="A58" s="505" t="s">
        <v>2583</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2610</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2562</v>
      </c>
      <c r="B100" s="528" t="s">
        <v>2611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2614</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2615</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2618</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4">
        <v>6</v>
      </c>
      <c r="C139" s="1085">
        <v>96</v>
      </c>
      <c r="D139" s="2651" t="s">
        <v>2630</v>
      </c>
      <c r="E139" s="1086">
        <v>100</v>
      </c>
      <c r="F139" s="1087">
        <v>102.5</v>
      </c>
      <c r="G139" s="2651" t="s">
        <v>2630</v>
      </c>
      <c r="H139" s="1088">
        <v>105</v>
      </c>
      <c r="I139" s="2652" t="s">
        <v>2631</v>
      </c>
      <c r="J139" s="1085">
        <v>20</v>
      </c>
      <c r="K139" s="1089">
        <f>C145/(J139-2)</f>
        <v>4.0555555555555553E-3</v>
      </c>
    </row>
    <row r="140" spans="1:17" ht="15">
      <c r="B140" s="1090">
        <v>5</v>
      </c>
      <c r="C140" s="1091">
        <v>100</v>
      </c>
      <c r="D140" s="1091"/>
      <c r="E140" s="1092"/>
      <c r="F140" s="1093">
        <v>102</v>
      </c>
      <c r="G140" s="1091"/>
      <c r="H140" s="1094"/>
      <c r="I140" s="2653" t="s">
        <v>2632</v>
      </c>
      <c r="J140" s="315">
        <f>ROUNDUP((J139-1)/2,0)</f>
        <v>10</v>
      </c>
      <c r="K140" s="1095">
        <v>100</v>
      </c>
    </row>
    <row r="141" spans="1:17" ht="15">
      <c r="B141" s="1090">
        <v>4</v>
      </c>
      <c r="C141" s="1091">
        <v>102</v>
      </c>
      <c r="D141" s="1091"/>
      <c r="E141" s="1092"/>
      <c r="F141" s="1093">
        <v>101.5</v>
      </c>
      <c r="G141" s="1091"/>
      <c r="H141" s="1094"/>
      <c r="I141" s="2653" t="s">
        <v>2633</v>
      </c>
      <c r="J141" s="315">
        <v>1</v>
      </c>
      <c r="K141" s="1096">
        <f>ROUND(100+(J141-J140)*K139*100,1)</f>
        <v>96.4</v>
      </c>
    </row>
    <row r="142" spans="1:17" ht="15">
      <c r="B142" s="1090">
        <v>3</v>
      </c>
      <c r="C142" s="1091">
        <v>103</v>
      </c>
      <c r="D142" s="1091"/>
      <c r="E142" s="1092"/>
      <c r="F142" s="1093">
        <v>101</v>
      </c>
      <c r="G142" s="1091"/>
      <c r="H142" s="1094"/>
      <c r="I142" s="2653" t="s">
        <v>2634</v>
      </c>
      <c r="J142" s="315">
        <f>J139</f>
        <v>20</v>
      </c>
      <c r="K142" s="1097">
        <v>95</v>
      </c>
    </row>
    <row r="143" spans="1:17" ht="15">
      <c r="B143" s="1090">
        <v>2</v>
      </c>
      <c r="C143" s="1091">
        <v>100</v>
      </c>
      <c r="D143" s="1091"/>
      <c r="E143" s="1092"/>
      <c r="F143" s="1093">
        <v>100.5</v>
      </c>
      <c r="G143" s="1091"/>
      <c r="H143" s="1094"/>
      <c r="I143" s="2653" t="s">
        <v>2635</v>
      </c>
      <c r="J143" s="1091">
        <v>15</v>
      </c>
      <c r="K143" s="1096">
        <f>ROUND(100+(J143-J140)*K139*100,1)</f>
        <v>102</v>
      </c>
    </row>
    <row r="144" spans="1:17" ht="15">
      <c r="B144" s="1090">
        <v>1</v>
      </c>
      <c r="C144" s="1091">
        <v>98</v>
      </c>
      <c r="D144" s="2654" t="s">
        <v>2636</v>
      </c>
      <c r="E144" s="1092">
        <v>102</v>
      </c>
      <c r="F144" s="1098">
        <v>100</v>
      </c>
      <c r="G144" s="2654" t="s">
        <v>2636</v>
      </c>
      <c r="H144" s="1094">
        <v>105</v>
      </c>
      <c r="I144" s="2653" t="s">
        <v>2635</v>
      </c>
      <c r="J144" s="1091">
        <v>18</v>
      </c>
      <c r="K144" s="1096">
        <f>ROUND(100+(J144-J140)*K139*100,1)</f>
        <v>103.2</v>
      </c>
    </row>
    <row r="145" spans="2:11" ht="15.75" thickBot="1">
      <c r="B145" s="2655" t="s">
        <v>2637</v>
      </c>
      <c r="C145" s="1099">
        <f>ROUND(MAX(C139:C144)/MIN(C139:C144)-1,3)</f>
        <v>7.2999999999999995E-2</v>
      </c>
      <c r="D145" s="1100"/>
      <c r="E145" s="1100"/>
      <c r="F145" s="2656" t="s">
        <v>2638</v>
      </c>
      <c r="G145" s="2657"/>
      <c r="H145" s="2658"/>
      <c r="I145" s="2659" t="s">
        <v>2635</v>
      </c>
      <c r="J145" s="1101">
        <v>8</v>
      </c>
      <c r="K145" s="1102">
        <f>ROUND(100+(J145-J140)*K139*100,1)</f>
        <v>99.2</v>
      </c>
    </row>
    <row r="147" spans="2:11">
      <c r="B147" s="2640" t="s">
        <v>2639</v>
      </c>
    </row>
    <row r="148" spans="2:11">
      <c r="B148" s="264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估价对象为房地产，为所有。根据《国有土地使用证》[]，估价对象（分摊）出让国有建设用地使用权面积为0平方米，建筑面积为5775.17平方米。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估价对象为房地产,属开发建设的，该项目尚在开发建设中。根据《国有土地使用证》[]，估价对象（分摊）出让国有建设用地使用权面积为0平方米，规划建筑面积为5775.17平方米。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2019年9月10日（评估专业人员实地查勘之日）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2641</v>
      </c>
      <c r="C1" s="1634" t="s">
        <v>2529</v>
      </c>
      <c r="D1" s="1621"/>
      <c r="E1" s="2660"/>
      <c r="F1" s="2587"/>
      <c r="G1" s="1631" t="s">
        <v>2642</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2326</v>
      </c>
      <c r="B2" s="1418" t="e">
        <f ca="1">IF(C2="——",ROUND(C49*D3/10000,0),ROUND(C49*D3/10000,0)-D2)</f>
        <v>#DIV/0!</v>
      </c>
      <c r="C2" s="2589"/>
      <c r="D2" s="1365" t="e">
        <f ca="1">SUMIF(INDIRECT("'"&amp;F2&amp;"'"&amp;"!A:A"),"承租人权益价值",INDIRECT("'"&amp;F2&amp;"'"&amp;"!c:c"))</f>
        <v>#REF!</v>
      </c>
      <c r="E2" s="2590" t="s">
        <v>2327</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2328</v>
      </c>
      <c r="B3" s="609" t="e">
        <f ca="1">IF(C2="——",C49,ROUND(B2*10000/D3,0))</f>
        <v>#DIV/0!</v>
      </c>
      <c r="C3" s="400" t="s">
        <v>2643</v>
      </c>
      <c r="D3" s="399">
        <f>IF(D1="",'数据-汇总表'!E3,SUMIF('数据-汇总表'!$C19:$C33,D1,'数据-汇总表'!$E19:$E33))</f>
        <v>5775.17</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80" t="s">
        <v>2647</v>
      </c>
      <c r="AC4" s="3161" t="s">
        <v>2648</v>
      </c>
    </row>
    <row r="5" spans="1:29"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80"/>
      <c r="AC5" s="3162"/>
    </row>
    <row r="6" spans="1:29" ht="15.75" thickBot="1">
      <c r="A6" s="406"/>
      <c r="B6" s="407"/>
      <c r="C6" s="3181" t="s">
        <v>2545</v>
      </c>
      <c r="D6" s="3182"/>
      <c r="E6" s="3188" t="s">
        <v>2545</v>
      </c>
      <c r="F6" s="3189"/>
      <c r="G6" s="3181" t="s">
        <v>2545</v>
      </c>
      <c r="H6" s="3182"/>
      <c r="I6" s="3181" t="s">
        <v>2545</v>
      </c>
      <c r="J6" s="3182"/>
      <c r="K6" s="610" t="s">
        <v>2546</v>
      </c>
      <c r="L6" s="1130"/>
      <c r="M6" s="1131"/>
      <c r="N6" s="1131"/>
      <c r="O6" s="1131"/>
      <c r="P6" s="3172"/>
      <c r="Q6" s="3173"/>
      <c r="R6" s="3176"/>
      <c r="S6" s="3177"/>
      <c r="T6" s="3178"/>
      <c r="U6" s="3179"/>
      <c r="V6" s="3180"/>
      <c r="W6" s="3180"/>
      <c r="X6" s="1813"/>
      <c r="Y6" s="3178"/>
      <c r="Z6" s="3179"/>
      <c r="AA6" s="3163"/>
      <c r="AB6" s="3180"/>
      <c r="AC6" s="3163"/>
    </row>
    <row r="7" spans="1:29" s="117" customFormat="1" ht="15.75" thickBot="1">
      <c r="A7" s="408" t="s">
        <v>2547</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2548</v>
      </c>
      <c r="Q7" s="3187"/>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2559</v>
      </c>
      <c r="Q15" s="1810" t="str">
        <f t="shared" si="6"/>
        <v>商业繁华度</v>
      </c>
      <c r="R15" s="774" t="s">
        <v>17</v>
      </c>
      <c r="S15" s="775">
        <f t="shared" si="0"/>
        <v>100</v>
      </c>
      <c r="T15" s="774" t="s">
        <v>17</v>
      </c>
      <c r="U15" s="775">
        <f t="shared" si="1"/>
        <v>100</v>
      </c>
      <c r="V15" s="774" t="s">
        <v>17</v>
      </c>
      <c r="W15" s="775">
        <f t="shared" si="2"/>
        <v>100</v>
      </c>
      <c r="X15" s="1813"/>
      <c r="Y15" s="3156"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3"/>
      <c r="Q16" s="1810"/>
      <c r="R16" s="774"/>
      <c r="S16" s="775"/>
      <c r="T16" s="774"/>
      <c r="U16" s="775"/>
      <c r="V16" s="774"/>
      <c r="W16" s="775"/>
      <c r="X16" s="1813"/>
      <c r="Y16" s="3157"/>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15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23"/>
      <c r="Q18" s="1810"/>
      <c r="R18" s="774"/>
      <c r="S18" s="775"/>
      <c r="T18" s="774"/>
      <c r="U18" s="775"/>
      <c r="V18" s="774"/>
      <c r="W18" s="775"/>
      <c r="X18" s="1813"/>
      <c r="Y18" s="3157"/>
      <c r="Z18" s="1814"/>
      <c r="AA18" s="1811">
        <v>1</v>
      </c>
      <c r="AB18" s="1811">
        <v>1</v>
      </c>
      <c r="AC18" s="1811">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15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23"/>
      <c r="Q20" s="1810"/>
      <c r="R20" s="774"/>
      <c r="S20" s="775"/>
      <c r="T20" s="774"/>
      <c r="U20" s="775"/>
      <c r="V20" s="774"/>
      <c r="W20" s="775"/>
      <c r="X20" s="1813"/>
      <c r="Y20" s="3157"/>
      <c r="Z20" s="1814"/>
      <c r="AA20" s="1811">
        <v>1</v>
      </c>
      <c r="AB20" s="1811">
        <v>1</v>
      </c>
      <c r="AC20" s="1811">
        <v>1</v>
      </c>
    </row>
    <row r="21" spans="1:29" ht="28.5">
      <c r="A21" s="428"/>
      <c r="B21" s="1384"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23"/>
      <c r="Q22" s="1810"/>
      <c r="R22" s="774"/>
      <c r="S22" s="775"/>
      <c r="T22" s="774"/>
      <c r="U22" s="775"/>
      <c r="V22" s="774"/>
      <c r="W22" s="775"/>
      <c r="X22" s="1813"/>
      <c r="Y22" s="3157"/>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10" t="str">
        <f>B23</f>
        <v>自然及人文环境</v>
      </c>
      <c r="R23" s="774" t="s">
        <v>17</v>
      </c>
      <c r="S23" s="775">
        <f>F23</f>
        <v>100</v>
      </c>
      <c r="T23" s="774" t="s">
        <v>17</v>
      </c>
      <c r="U23" s="775">
        <f>H23</f>
        <v>100</v>
      </c>
      <c r="V23" s="774" t="s">
        <v>17</v>
      </c>
      <c r="W23" s="775">
        <f>J23</f>
        <v>100</v>
      </c>
      <c r="X23" s="1813"/>
      <c r="Y23" s="3157"/>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23"/>
      <c r="Q24" s="1810"/>
      <c r="R24" s="774"/>
      <c r="S24" s="775"/>
      <c r="T24" s="774"/>
      <c r="U24" s="775"/>
      <c r="V24" s="774"/>
      <c r="W24" s="775"/>
      <c r="X24" s="1813"/>
      <c r="Y24" s="3157"/>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10" t="str">
        <f t="shared" ref="Q25:Q46" si="11">B25</f>
        <v>临街状况</v>
      </c>
      <c r="R25" s="774" t="s">
        <v>17</v>
      </c>
      <c r="S25" s="775">
        <f>F25</f>
        <v>100</v>
      </c>
      <c r="T25" s="774" t="s">
        <v>17</v>
      </c>
      <c r="U25" s="775">
        <f>H25</f>
        <v>100</v>
      </c>
      <c r="V25" s="774" t="s">
        <v>17</v>
      </c>
      <c r="W25" s="775">
        <f>J25</f>
        <v>100</v>
      </c>
      <c r="X25" s="1813"/>
      <c r="Y25" s="3157"/>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10" t="str">
        <f t="shared" si="11"/>
        <v>平面位置/可视性</v>
      </c>
      <c r="R26" s="774" t="s">
        <v>17</v>
      </c>
      <c r="S26" s="775">
        <f>F26</f>
        <v>100</v>
      </c>
      <c r="T26" s="774" t="s">
        <v>17</v>
      </c>
      <c r="U26" s="775">
        <f>H26</f>
        <v>100</v>
      </c>
      <c r="V26" s="774" t="s">
        <v>17</v>
      </c>
      <c r="W26" s="775">
        <f>J26</f>
        <v>100</v>
      </c>
      <c r="X26" s="1813"/>
      <c r="Y26" s="3157"/>
      <c r="Z26" s="1814" t="str">
        <f>Q26</f>
        <v>平面位置/可视性</v>
      </c>
      <c r="AA26" s="1811">
        <f t="shared" si="3"/>
        <v>1</v>
      </c>
      <c r="AB26" s="1811">
        <f t="shared" si="4"/>
        <v>1</v>
      </c>
      <c r="AC26" s="1811">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23"/>
      <c r="Q27" s="1795" t="str">
        <f t="shared" si="11"/>
        <v>人流量</v>
      </c>
      <c r="R27" s="770" t="s">
        <v>17</v>
      </c>
      <c r="S27" s="771">
        <f>F27</f>
        <v>100</v>
      </c>
      <c r="T27" s="770" t="s">
        <v>17</v>
      </c>
      <c r="U27" s="771">
        <f>H27</f>
        <v>100</v>
      </c>
      <c r="V27" s="770" t="s">
        <v>17</v>
      </c>
      <c r="W27" s="771">
        <f>J27</f>
        <v>100</v>
      </c>
      <c r="X27" s="772"/>
      <c r="Y27" s="3157"/>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10">
        <f t="shared" si="11"/>
        <v>111</v>
      </c>
      <c r="R29" s="774" t="s">
        <v>17</v>
      </c>
      <c r="S29" s="775">
        <f t="shared" si="12"/>
        <v>100</v>
      </c>
      <c r="T29" s="774" t="s">
        <v>17</v>
      </c>
      <c r="U29" s="775">
        <f t="shared" si="13"/>
        <v>100</v>
      </c>
      <c r="V29" s="774" t="s">
        <v>17</v>
      </c>
      <c r="W29" s="775">
        <f t="shared" si="14"/>
        <v>100</v>
      </c>
      <c r="X29" s="1813"/>
      <c r="Y29" s="315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15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157"/>
      <c r="Z31" s="1814">
        <f t="shared" si="15"/>
        <v>111</v>
      </c>
      <c r="AA31" s="1811">
        <f t="shared" si="3"/>
        <v>1</v>
      </c>
      <c r="AB31" s="1811">
        <f t="shared" si="4"/>
        <v>1</v>
      </c>
      <c r="AC31" s="1811">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9" t="s">
        <v>2564</v>
      </c>
      <c r="Q32" s="1810" t="str">
        <f t="shared" si="11"/>
        <v>商业类型</v>
      </c>
      <c r="R32" s="774" t="s">
        <v>17</v>
      </c>
      <c r="S32" s="775">
        <f t="shared" si="12"/>
        <v>100</v>
      </c>
      <c r="T32" s="774" t="s">
        <v>17</v>
      </c>
      <c r="U32" s="775">
        <f t="shared" si="13"/>
        <v>100</v>
      </c>
      <c r="V32" s="774" t="s">
        <v>17</v>
      </c>
      <c r="W32" s="775">
        <f t="shared" si="14"/>
        <v>100</v>
      </c>
      <c r="X32" s="1813"/>
      <c r="Y32" s="3159"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0"/>
      <c r="Q33" s="776" t="str">
        <f t="shared" si="11"/>
        <v>项目建筑规模</v>
      </c>
      <c r="R33" s="777" t="s">
        <v>17</v>
      </c>
      <c r="S33" s="778" t="e">
        <f t="shared" si="12"/>
        <v>#N/A</v>
      </c>
      <c r="T33" s="777" t="s">
        <v>17</v>
      </c>
      <c r="U33" s="778" t="e">
        <f t="shared" si="13"/>
        <v>#N/A</v>
      </c>
      <c r="V33" s="777" t="s">
        <v>17</v>
      </c>
      <c r="W33" s="778" t="e">
        <f t="shared" si="14"/>
        <v>#N/A</v>
      </c>
      <c r="X33" s="779"/>
      <c r="Y33" s="3159"/>
      <c r="Z33" s="780" t="str">
        <f t="shared" si="15"/>
        <v>项目建筑规模</v>
      </c>
      <c r="AA33" s="1811" t="e">
        <f t="shared" si="3"/>
        <v>#N/A</v>
      </c>
      <c r="AB33" s="1811" t="e">
        <f t="shared" si="4"/>
        <v>#N/A</v>
      </c>
      <c r="AC33" s="1811"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20"/>
      <c r="Q34" s="1810" t="str">
        <f t="shared" si="11"/>
        <v>建筑结构</v>
      </c>
      <c r="R34" s="774" t="s">
        <v>17</v>
      </c>
      <c r="S34" s="775">
        <f t="shared" si="12"/>
        <v>100</v>
      </c>
      <c r="T34" s="774" t="s">
        <v>17</v>
      </c>
      <c r="U34" s="775">
        <f t="shared" si="13"/>
        <v>100</v>
      </c>
      <c r="V34" s="774" t="s">
        <v>17</v>
      </c>
      <c r="W34" s="775">
        <f t="shared" si="14"/>
        <v>100</v>
      </c>
      <c r="X34" s="1813"/>
      <c r="Y34" s="3159"/>
      <c r="Z34" s="1814" t="str">
        <f t="shared" si="15"/>
        <v>建筑结构</v>
      </c>
      <c r="AA34" s="1811">
        <f t="shared" si="3"/>
        <v>1</v>
      </c>
      <c r="AB34" s="1811">
        <f t="shared" si="4"/>
        <v>1</v>
      </c>
      <c r="AC34" s="1811">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20"/>
      <c r="Q35" s="1810" t="str">
        <f t="shared" si="11"/>
        <v>公共部分装修</v>
      </c>
      <c r="R35" s="774" t="s">
        <v>17</v>
      </c>
      <c r="S35" s="775">
        <f t="shared" si="12"/>
        <v>100</v>
      </c>
      <c r="T35" s="774" t="s">
        <v>17</v>
      </c>
      <c r="U35" s="775">
        <f t="shared" si="13"/>
        <v>100</v>
      </c>
      <c r="V35" s="774" t="s">
        <v>17</v>
      </c>
      <c r="W35" s="775">
        <f t="shared" si="14"/>
        <v>100</v>
      </c>
      <c r="X35" s="1813"/>
      <c r="Y35" s="3159"/>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0"/>
      <c r="Q36" s="1810" t="str">
        <f t="shared" si="11"/>
        <v>成新度</v>
      </c>
      <c r="R36" s="774" t="s">
        <v>17</v>
      </c>
      <c r="S36" s="775" t="e">
        <f t="shared" si="12"/>
        <v>#N/A</v>
      </c>
      <c r="T36" s="774" t="s">
        <v>17</v>
      </c>
      <c r="U36" s="775" t="e">
        <f t="shared" si="13"/>
        <v>#N/A</v>
      </c>
      <c r="V36" s="774" t="s">
        <v>17</v>
      </c>
      <c r="W36" s="775" t="e">
        <f t="shared" si="14"/>
        <v>#N/A</v>
      </c>
      <c r="X36" s="1813"/>
      <c r="Y36" s="3159"/>
      <c r="Z36" s="1814" t="str">
        <f t="shared" si="15"/>
        <v>成新度</v>
      </c>
      <c r="AA36" s="1811" t="e">
        <f t="shared" si="3"/>
        <v>#N/A</v>
      </c>
      <c r="AB36" s="1811" t="e">
        <f t="shared" si="4"/>
        <v>#N/A</v>
      </c>
      <c r="AC36" s="1811"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20"/>
      <c r="Q37" s="1795" t="str">
        <f t="shared" si="11"/>
        <v>市政基础设施</v>
      </c>
      <c r="R37" s="770" t="s">
        <v>17</v>
      </c>
      <c r="S37" s="771">
        <f t="shared" si="12"/>
        <v>100</v>
      </c>
      <c r="T37" s="770" t="s">
        <v>17</v>
      </c>
      <c r="U37" s="771">
        <f t="shared" si="13"/>
        <v>100</v>
      </c>
      <c r="V37" s="770" t="s">
        <v>17</v>
      </c>
      <c r="W37" s="771">
        <f t="shared" si="14"/>
        <v>100</v>
      </c>
      <c r="X37" s="772"/>
      <c r="Y37" s="3159"/>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20" t="s">
        <v>2564</v>
      </c>
      <c r="Q38" s="1810" t="str">
        <f t="shared" si="11"/>
        <v>业态</v>
      </c>
      <c r="R38" s="774" t="s">
        <v>17</v>
      </c>
      <c r="S38" s="775">
        <f t="shared" si="12"/>
        <v>100</v>
      </c>
      <c r="T38" s="774" t="s">
        <v>17</v>
      </c>
      <c r="U38" s="775">
        <f t="shared" si="13"/>
        <v>100</v>
      </c>
      <c r="V38" s="774" t="s">
        <v>17</v>
      </c>
      <c r="W38" s="775">
        <f t="shared" si="14"/>
        <v>100</v>
      </c>
      <c r="X38" s="1813"/>
      <c r="Y38" s="3159" t="s">
        <v>2564</v>
      </c>
      <c r="Z38" s="1814" t="str">
        <f t="shared" si="15"/>
        <v>业态</v>
      </c>
      <c r="AA38" s="1811">
        <f t="shared" si="3"/>
        <v>1</v>
      </c>
      <c r="AB38" s="1811">
        <f t="shared" si="4"/>
        <v>1</v>
      </c>
      <c r="AC38" s="1811">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20"/>
      <c r="Q39" s="1810" t="str">
        <f t="shared" si="11"/>
        <v>层高</v>
      </c>
      <c r="R39" s="774" t="s">
        <v>17</v>
      </c>
      <c r="S39" s="775">
        <f t="shared" si="12"/>
        <v>100</v>
      </c>
      <c r="T39" s="774" t="s">
        <v>17</v>
      </c>
      <c r="U39" s="775">
        <f t="shared" si="13"/>
        <v>100</v>
      </c>
      <c r="V39" s="774" t="s">
        <v>17</v>
      </c>
      <c r="W39" s="775">
        <f t="shared" si="14"/>
        <v>100</v>
      </c>
      <c r="X39" s="1813"/>
      <c r="Y39" s="3159"/>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0"/>
      <c r="Q40" s="1810" t="str">
        <f t="shared" si="11"/>
        <v>单套建筑面积</v>
      </c>
      <c r="R40" s="774" t="s">
        <v>17</v>
      </c>
      <c r="S40" s="775">
        <f t="shared" si="12"/>
        <v>100</v>
      </c>
      <c r="T40" s="774" t="s">
        <v>17</v>
      </c>
      <c r="U40" s="775">
        <f t="shared" si="13"/>
        <v>100</v>
      </c>
      <c r="V40" s="774" t="s">
        <v>17</v>
      </c>
      <c r="W40" s="775">
        <f t="shared" si="14"/>
        <v>100</v>
      </c>
      <c r="X40" s="1813"/>
      <c r="Y40" s="3159"/>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0"/>
      <c r="Q41" s="776" t="str">
        <f t="shared" si="11"/>
        <v>进深比</v>
      </c>
      <c r="R41" s="777" t="s">
        <v>17</v>
      </c>
      <c r="S41" s="778">
        <f t="shared" si="12"/>
        <v>100</v>
      </c>
      <c r="T41" s="777" t="s">
        <v>17</v>
      </c>
      <c r="U41" s="778">
        <f t="shared" si="13"/>
        <v>100</v>
      </c>
      <c r="V41" s="777" t="s">
        <v>17</v>
      </c>
      <c r="W41" s="778">
        <f t="shared" si="14"/>
        <v>100</v>
      </c>
      <c r="X41" s="779"/>
      <c r="Y41" s="3159"/>
      <c r="Z41" s="780" t="str">
        <f t="shared" si="15"/>
        <v>进深比</v>
      </c>
      <c r="AA41" s="1811">
        <f t="shared" si="3"/>
        <v>1</v>
      </c>
      <c r="AB41" s="1811">
        <f t="shared" si="4"/>
        <v>1</v>
      </c>
      <c r="AC41" s="1811">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20"/>
      <c r="Q42" s="1810" t="str">
        <f t="shared" si="11"/>
        <v>内部装修</v>
      </c>
      <c r="R42" s="774" t="s">
        <v>17</v>
      </c>
      <c r="S42" s="775">
        <f t="shared" si="12"/>
        <v>100</v>
      </c>
      <c r="T42" s="774" t="s">
        <v>17</v>
      </c>
      <c r="U42" s="775">
        <f t="shared" si="13"/>
        <v>100</v>
      </c>
      <c r="V42" s="774" t="s">
        <v>17</v>
      </c>
      <c r="W42" s="775">
        <f t="shared" si="14"/>
        <v>100</v>
      </c>
      <c r="X42" s="1813"/>
      <c r="Y42" s="3159"/>
      <c r="Z42" s="1814" t="str">
        <f t="shared" si="15"/>
        <v>内部装修</v>
      </c>
      <c r="AA42" s="1811">
        <f t="shared" si="3"/>
        <v>1</v>
      </c>
      <c r="AB42" s="1811">
        <f t="shared" si="4"/>
        <v>1</v>
      </c>
      <c r="AC42" s="1811">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20"/>
      <c r="Q43" s="1810" t="str">
        <f t="shared" si="11"/>
        <v>内部装修维护情况</v>
      </c>
      <c r="R43" s="774" t="s">
        <v>17</v>
      </c>
      <c r="S43" s="775">
        <f t="shared" si="12"/>
        <v>100</v>
      </c>
      <c r="T43" s="774" t="s">
        <v>17</v>
      </c>
      <c r="U43" s="775">
        <f t="shared" si="13"/>
        <v>100</v>
      </c>
      <c r="V43" s="774" t="s">
        <v>17</v>
      </c>
      <c r="W43" s="775">
        <f t="shared" si="14"/>
        <v>100</v>
      </c>
      <c r="X43" s="1813"/>
      <c r="Y43" s="315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0"/>
      <c r="Q44" s="1795">
        <f t="shared" si="11"/>
        <v>111</v>
      </c>
      <c r="R44" s="770" t="s">
        <v>17</v>
      </c>
      <c r="S44" s="771">
        <f t="shared" si="12"/>
        <v>100</v>
      </c>
      <c r="T44" s="770" t="s">
        <v>17</v>
      </c>
      <c r="U44" s="771">
        <f t="shared" si="13"/>
        <v>100</v>
      </c>
      <c r="V44" s="770" t="s">
        <v>17</v>
      </c>
      <c r="W44" s="771">
        <f t="shared" si="14"/>
        <v>100</v>
      </c>
      <c r="X44" s="772"/>
      <c r="Y44" s="315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0"/>
      <c r="Q45" s="1810">
        <f t="shared" si="11"/>
        <v>111</v>
      </c>
      <c r="R45" s="774" t="s">
        <v>17</v>
      </c>
      <c r="S45" s="775">
        <f t="shared" si="12"/>
        <v>100</v>
      </c>
      <c r="T45" s="774" t="s">
        <v>17</v>
      </c>
      <c r="U45" s="775">
        <f t="shared" si="13"/>
        <v>100</v>
      </c>
      <c r="V45" s="774" t="s">
        <v>17</v>
      </c>
      <c r="W45" s="775">
        <f t="shared" si="14"/>
        <v>100</v>
      </c>
      <c r="X45" s="1813"/>
      <c r="Y45" s="315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160"/>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51" t="str">
        <f>A47</f>
        <v>成交单价（元/平方米）</v>
      </c>
      <c r="Q47" s="3151"/>
      <c r="R47" s="3180">
        <f>E47</f>
        <v>0</v>
      </c>
      <c r="S47" s="3180"/>
      <c r="T47" s="3180">
        <f>G47</f>
        <v>0</v>
      </c>
      <c r="U47" s="3180"/>
      <c r="V47" s="3180">
        <f>I47</f>
        <v>0</v>
      </c>
      <c r="W47" s="318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2547</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2562</v>
      </c>
      <c r="B100" s="528" t="s">
        <v>2680</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2615</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2683</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2685</v>
      </c>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9"/>
      <c r="D2" s="1365" t="e">
        <f ca="1">SUMIF(INDIRECT("'"&amp;F2&amp;"'"&amp;"!A:A"),"承租人权益价值",INDIRECT("'"&amp;F2&amp;"'"&amp;"!c:c"))</f>
        <v>#REF!</v>
      </c>
      <c r="E2" s="2590" t="s">
        <v>2327</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5775.17</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231" t="s">
        <v>2650</v>
      </c>
      <c r="Q4" s="3232"/>
      <c r="R4" s="3235" t="s">
        <v>2646</v>
      </c>
      <c r="S4" s="3236"/>
      <c r="T4" s="3235" t="s">
        <v>2647</v>
      </c>
      <c r="U4" s="3236"/>
      <c r="V4" s="3237" t="s">
        <v>2648</v>
      </c>
      <c r="W4" s="3237"/>
      <c r="X4" s="2673"/>
      <c r="Y4" s="3235" t="s">
        <v>2650</v>
      </c>
      <c r="Z4" s="3236"/>
      <c r="AA4" s="3239" t="s">
        <v>2646</v>
      </c>
      <c r="AB4" s="3239" t="s">
        <v>2647</v>
      </c>
      <c r="AC4" s="3228" t="s">
        <v>2648</v>
      </c>
    </row>
    <row r="5" spans="1:29" ht="15">
      <c r="A5" s="404"/>
      <c r="B5" s="405"/>
      <c r="C5" s="3183" t="s">
        <v>2541</v>
      </c>
      <c r="D5" s="3184"/>
      <c r="E5" s="3190" t="s">
        <v>2542</v>
      </c>
      <c r="F5" s="3191"/>
      <c r="G5" s="3183" t="s">
        <v>2543</v>
      </c>
      <c r="H5" s="3184"/>
      <c r="I5" s="3183" t="s">
        <v>2544</v>
      </c>
      <c r="J5" s="3184"/>
      <c r="K5" s="610"/>
      <c r="L5" s="1130"/>
      <c r="M5" s="1131"/>
      <c r="N5" s="1131"/>
      <c r="O5" s="1131"/>
      <c r="P5" s="3233"/>
      <c r="Q5" s="3171"/>
      <c r="R5" s="3176"/>
      <c r="S5" s="3177"/>
      <c r="T5" s="3176"/>
      <c r="U5" s="3177"/>
      <c r="V5" s="3180"/>
      <c r="W5" s="3180"/>
      <c r="X5" s="1813"/>
      <c r="Y5" s="3176"/>
      <c r="Z5" s="3177"/>
      <c r="AA5" s="3162"/>
      <c r="AB5" s="3162"/>
      <c r="AC5" s="3229"/>
    </row>
    <row r="6" spans="1:29" ht="15.75" thickBot="1">
      <c r="A6" s="406"/>
      <c r="B6" s="407"/>
      <c r="C6" s="3181" t="s">
        <v>2545</v>
      </c>
      <c r="D6" s="3182"/>
      <c r="E6" s="3188" t="s">
        <v>2545</v>
      </c>
      <c r="F6" s="3189"/>
      <c r="G6" s="3181" t="s">
        <v>2545</v>
      </c>
      <c r="H6" s="3182"/>
      <c r="I6" s="3181" t="s">
        <v>2545</v>
      </c>
      <c r="J6" s="3182"/>
      <c r="K6" s="610" t="s">
        <v>2546</v>
      </c>
      <c r="L6" s="1130"/>
      <c r="M6" s="1131"/>
      <c r="N6" s="1131"/>
      <c r="O6" s="1131"/>
      <c r="P6" s="3234"/>
      <c r="Q6" s="3173"/>
      <c r="R6" s="3176"/>
      <c r="S6" s="3177"/>
      <c r="T6" s="3178"/>
      <c r="U6" s="3179"/>
      <c r="V6" s="3180"/>
      <c r="W6" s="3180"/>
      <c r="X6" s="1813"/>
      <c r="Y6" s="3178"/>
      <c r="Z6" s="3179"/>
      <c r="AA6" s="3163"/>
      <c r="AB6" s="3163"/>
      <c r="AC6" s="3230"/>
    </row>
    <row r="7" spans="1:29" s="117" customFormat="1" ht="15.75" thickBot="1">
      <c r="A7" s="408" t="s">
        <v>2547</v>
      </c>
      <c r="B7" s="409"/>
      <c r="C7" s="410">
        <f>'数据-取费表'!B2</f>
        <v>43718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2548</v>
      </c>
      <c r="Q7" s="3187"/>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2551</v>
      </c>
      <c r="Q8" s="3186"/>
      <c r="R8" s="770" t="s">
        <v>17</v>
      </c>
      <c r="S8" s="771">
        <f t="shared" si="0"/>
        <v>0</v>
      </c>
      <c r="T8" s="770" t="s">
        <v>17</v>
      </c>
      <c r="U8" s="771">
        <f t="shared" si="1"/>
        <v>0</v>
      </c>
      <c r="V8" s="770" t="s">
        <v>17</v>
      </c>
      <c r="W8" s="771">
        <f t="shared" si="2"/>
        <v>0</v>
      </c>
      <c r="X8" s="772"/>
      <c r="Y8" s="3185" t="s">
        <v>2551</v>
      </c>
      <c r="Z8" s="3186"/>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24"/>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2559</v>
      </c>
      <c r="Q15" s="1810" t="str">
        <f t="shared" si="6"/>
        <v>办公集聚程度</v>
      </c>
      <c r="R15" s="774" t="s">
        <v>17</v>
      </c>
      <c r="S15" s="775">
        <f t="shared" si="0"/>
        <v>100</v>
      </c>
      <c r="T15" s="774" t="s">
        <v>17</v>
      </c>
      <c r="U15" s="775">
        <f t="shared" si="1"/>
        <v>100</v>
      </c>
      <c r="V15" s="774" t="s">
        <v>17</v>
      </c>
      <c r="W15" s="775">
        <f t="shared" si="2"/>
        <v>100</v>
      </c>
      <c r="X15" s="1813"/>
      <c r="Y15" s="3156" t="s">
        <v>2559</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23"/>
      <c r="Q16" s="1810"/>
      <c r="R16" s="774"/>
      <c r="S16" s="775"/>
      <c r="T16" s="774"/>
      <c r="U16" s="775"/>
      <c r="V16" s="774"/>
      <c r="W16" s="775"/>
      <c r="X16" s="1813"/>
      <c r="Y16" s="3157"/>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157"/>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23"/>
      <c r="Q18" s="1810"/>
      <c r="R18" s="774"/>
      <c r="S18" s="775"/>
      <c r="T18" s="774"/>
      <c r="U18" s="775"/>
      <c r="V18" s="774"/>
      <c r="W18" s="775"/>
      <c r="X18" s="1813"/>
      <c r="Y18" s="3157"/>
      <c r="Z18" s="1814"/>
      <c r="AA18" s="1811">
        <v>1</v>
      </c>
      <c r="AB18" s="1811">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157"/>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23"/>
      <c r="Q20" s="1810"/>
      <c r="R20" s="774"/>
      <c r="S20" s="775"/>
      <c r="T20" s="774"/>
      <c r="U20" s="775"/>
      <c r="V20" s="774"/>
      <c r="W20" s="775"/>
      <c r="X20" s="1813"/>
      <c r="Y20" s="3157"/>
      <c r="Z20" s="1814"/>
      <c r="AA20" s="1811">
        <v>1</v>
      </c>
      <c r="AB20" s="1811">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157"/>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23"/>
      <c r="Q22" s="1810"/>
      <c r="R22" s="774"/>
      <c r="S22" s="775"/>
      <c r="T22" s="774"/>
      <c r="U22" s="775"/>
      <c r="V22" s="774"/>
      <c r="W22" s="775"/>
      <c r="X22" s="1813"/>
      <c r="Y22" s="3157"/>
      <c r="Z22" s="1814"/>
      <c r="AA22" s="1811">
        <v>1</v>
      </c>
      <c r="AB22" s="1811">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10" t="str">
        <f>B23</f>
        <v>环境质量</v>
      </c>
      <c r="R23" s="774" t="s">
        <v>17</v>
      </c>
      <c r="S23" s="775">
        <f>F23</f>
        <v>100</v>
      </c>
      <c r="T23" s="774" t="s">
        <v>17</v>
      </c>
      <c r="U23" s="775">
        <f>H23</f>
        <v>100</v>
      </c>
      <c r="V23" s="774" t="s">
        <v>17</v>
      </c>
      <c r="W23" s="775">
        <f>J23</f>
        <v>100</v>
      </c>
      <c r="X23" s="1813"/>
      <c r="Y23" s="3157"/>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23"/>
      <c r="Q24" s="1810"/>
      <c r="R24" s="774"/>
      <c r="S24" s="775"/>
      <c r="T24" s="774"/>
      <c r="U24" s="775"/>
      <c r="V24" s="774"/>
      <c r="W24" s="775"/>
      <c r="X24" s="1813"/>
      <c r="Y24" s="3157"/>
      <c r="Z24" s="1814"/>
      <c r="AA24" s="1811">
        <v>1</v>
      </c>
      <c r="AB24" s="1811">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23"/>
      <c r="Q25" s="1810" t="str">
        <f>B25</f>
        <v>毗邻道路的类型与等级</v>
      </c>
      <c r="R25" s="774" t="s">
        <v>17</v>
      </c>
      <c r="S25" s="775">
        <f>F25</f>
        <v>100</v>
      </c>
      <c r="T25" s="774" t="s">
        <v>17</v>
      </c>
      <c r="U25" s="775">
        <f>H25</f>
        <v>100</v>
      </c>
      <c r="V25" s="774" t="s">
        <v>17</v>
      </c>
      <c r="W25" s="775">
        <f>J25</f>
        <v>100</v>
      </c>
      <c r="X25" s="1813"/>
      <c r="Y25" s="3157"/>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23"/>
      <c r="Q26" s="1810"/>
      <c r="R26" s="774"/>
      <c r="S26" s="775"/>
      <c r="T26" s="774"/>
      <c r="U26" s="775"/>
      <c r="V26" s="774"/>
      <c r="W26" s="775"/>
      <c r="X26" s="1813"/>
      <c r="Y26" s="3157"/>
      <c r="Z26" s="1814"/>
      <c r="AA26" s="1811">
        <v>1</v>
      </c>
      <c r="AB26" s="1811">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10" t="str">
        <f t="shared" ref="Q27:Q47" si="11">B27</f>
        <v>楼层</v>
      </c>
      <c r="R27" s="774" t="s">
        <v>17</v>
      </c>
      <c r="S27" s="775">
        <f>F27</f>
        <v>100</v>
      </c>
      <c r="T27" s="774" t="s">
        <v>17</v>
      </c>
      <c r="U27" s="775">
        <f>H27</f>
        <v>100</v>
      </c>
      <c r="V27" s="774" t="s">
        <v>17</v>
      </c>
      <c r="W27" s="775">
        <f>J27</f>
        <v>100</v>
      </c>
      <c r="X27" s="1813"/>
      <c r="Y27" s="3157"/>
      <c r="Z27" s="1814" t="str">
        <f>Q27</f>
        <v>楼层</v>
      </c>
      <c r="AA27" s="1811">
        <f t="shared" si="3"/>
        <v>1</v>
      </c>
      <c r="AB27" s="1811">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23"/>
      <c r="Q28" s="1795" t="str">
        <f t="shared" si="11"/>
        <v>朝向</v>
      </c>
      <c r="R28" s="770" t="s">
        <v>17</v>
      </c>
      <c r="S28" s="771">
        <f>F28</f>
        <v>100</v>
      </c>
      <c r="T28" s="770" t="s">
        <v>17</v>
      </c>
      <c r="U28" s="771">
        <f>H28</f>
        <v>100</v>
      </c>
      <c r="V28" s="770" t="s">
        <v>17</v>
      </c>
      <c r="W28" s="771">
        <f>J28</f>
        <v>100</v>
      </c>
      <c r="X28" s="772"/>
      <c r="Y28" s="3157"/>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23"/>
      <c r="Q29" s="1810">
        <f t="shared" si="11"/>
        <v>111</v>
      </c>
      <c r="R29" s="774" t="s">
        <v>17</v>
      </c>
      <c r="S29" s="775">
        <f t="shared" ref="S29:S47" si="12">F29</f>
        <v>100</v>
      </c>
      <c r="T29" s="774" t="s">
        <v>17</v>
      </c>
      <c r="U29" s="775">
        <f t="shared" ref="U29:U47" si="13">H29</f>
        <v>100</v>
      </c>
      <c r="V29" s="774" t="s">
        <v>17</v>
      </c>
      <c r="W29" s="775">
        <f t="shared" ref="W29:W47" si="14">J29</f>
        <v>100</v>
      </c>
      <c r="X29" s="1813"/>
      <c r="Y29" s="3157"/>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157"/>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157"/>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23"/>
      <c r="Q32" s="1810">
        <f t="shared" si="11"/>
        <v>111</v>
      </c>
      <c r="R32" s="774" t="s">
        <v>17</v>
      </c>
      <c r="S32" s="775">
        <f t="shared" si="12"/>
        <v>100</v>
      </c>
      <c r="T32" s="774" t="s">
        <v>17</v>
      </c>
      <c r="U32" s="775">
        <f t="shared" si="13"/>
        <v>100</v>
      </c>
      <c r="V32" s="774" t="s">
        <v>17</v>
      </c>
      <c r="W32" s="775">
        <f t="shared" si="14"/>
        <v>100</v>
      </c>
      <c r="X32" s="1813"/>
      <c r="Y32" s="3157"/>
      <c r="Z32" s="1814">
        <f t="shared" si="15"/>
        <v>111</v>
      </c>
      <c r="AA32" s="1811">
        <f t="shared" si="3"/>
        <v>1</v>
      </c>
      <c r="AB32" s="1811">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9" t="s">
        <v>2564</v>
      </c>
      <c r="Q33" s="1810" t="str">
        <f t="shared" si="11"/>
        <v>建筑类型</v>
      </c>
      <c r="R33" s="774" t="s">
        <v>17</v>
      </c>
      <c r="S33" s="775">
        <f t="shared" si="12"/>
        <v>100</v>
      </c>
      <c r="T33" s="774" t="s">
        <v>17</v>
      </c>
      <c r="U33" s="775">
        <f t="shared" si="13"/>
        <v>100</v>
      </c>
      <c r="V33" s="774" t="s">
        <v>17</v>
      </c>
      <c r="W33" s="775">
        <f t="shared" si="14"/>
        <v>100</v>
      </c>
      <c r="X33" s="1813"/>
      <c r="Y33" s="3159" t="s">
        <v>2564</v>
      </c>
      <c r="Z33" s="1814" t="str">
        <f t="shared" si="15"/>
        <v>建筑类型</v>
      </c>
      <c r="AA33" s="1811">
        <f t="shared" si="3"/>
        <v>1</v>
      </c>
      <c r="AB33" s="1811">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0"/>
      <c r="Q34" s="776" t="str">
        <f t="shared" si="11"/>
        <v>项目建筑规模</v>
      </c>
      <c r="R34" s="777" t="s">
        <v>17</v>
      </c>
      <c r="S34" s="778" t="e">
        <f t="shared" si="12"/>
        <v>#N/A</v>
      </c>
      <c r="T34" s="777" t="s">
        <v>17</v>
      </c>
      <c r="U34" s="778" t="e">
        <f t="shared" si="13"/>
        <v>#N/A</v>
      </c>
      <c r="V34" s="777" t="s">
        <v>17</v>
      </c>
      <c r="W34" s="778" t="e">
        <f t="shared" si="14"/>
        <v>#N/A</v>
      </c>
      <c r="X34" s="779"/>
      <c r="Y34" s="3159"/>
      <c r="Z34" s="780" t="str">
        <f t="shared" si="15"/>
        <v>项目建筑规模</v>
      </c>
      <c r="AA34" s="1811" t="e">
        <f t="shared" si="3"/>
        <v>#N/A</v>
      </c>
      <c r="AB34" s="1811"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0"/>
      <c r="Q35" s="1810" t="str">
        <f t="shared" si="11"/>
        <v>建筑结构</v>
      </c>
      <c r="R35" s="774" t="s">
        <v>17</v>
      </c>
      <c r="S35" s="775">
        <f t="shared" si="12"/>
        <v>100</v>
      </c>
      <c r="T35" s="774" t="s">
        <v>17</v>
      </c>
      <c r="U35" s="775">
        <f t="shared" si="13"/>
        <v>100</v>
      </c>
      <c r="V35" s="774" t="s">
        <v>17</v>
      </c>
      <c r="W35" s="775">
        <f t="shared" si="14"/>
        <v>100</v>
      </c>
      <c r="X35" s="1813"/>
      <c r="Y35" s="3159"/>
      <c r="Z35" s="1814" t="str">
        <f t="shared" si="15"/>
        <v>建筑结构</v>
      </c>
      <c r="AA35" s="1811">
        <f t="shared" si="3"/>
        <v>1</v>
      </c>
      <c r="AB35" s="1811">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0"/>
      <c r="Q36" s="1810" t="str">
        <f t="shared" si="11"/>
        <v>公共部分装修</v>
      </c>
      <c r="R36" s="774" t="s">
        <v>17</v>
      </c>
      <c r="S36" s="775">
        <f t="shared" si="12"/>
        <v>100</v>
      </c>
      <c r="T36" s="774" t="s">
        <v>17</v>
      </c>
      <c r="U36" s="775">
        <f t="shared" si="13"/>
        <v>100</v>
      </c>
      <c r="V36" s="774" t="s">
        <v>17</v>
      </c>
      <c r="W36" s="775">
        <f t="shared" si="14"/>
        <v>100</v>
      </c>
      <c r="X36" s="1813"/>
      <c r="Y36" s="3159"/>
      <c r="Z36" s="1814" t="str">
        <f t="shared" si="15"/>
        <v>公共部分装修</v>
      </c>
      <c r="AA36" s="1811">
        <f t="shared" si="3"/>
        <v>1</v>
      </c>
      <c r="AB36" s="1811">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0"/>
      <c r="Q37" s="1810" t="str">
        <f t="shared" si="11"/>
        <v>成新度</v>
      </c>
      <c r="R37" s="774" t="s">
        <v>17</v>
      </c>
      <c r="S37" s="775" t="e">
        <f t="shared" si="12"/>
        <v>#N/A</v>
      </c>
      <c r="T37" s="774" t="s">
        <v>17</v>
      </c>
      <c r="U37" s="775" t="e">
        <f t="shared" si="13"/>
        <v>#N/A</v>
      </c>
      <c r="V37" s="774" t="s">
        <v>17</v>
      </c>
      <c r="W37" s="775" t="e">
        <f t="shared" si="14"/>
        <v>#N/A</v>
      </c>
      <c r="X37" s="1813"/>
      <c r="Y37" s="3159"/>
      <c r="Z37" s="1814" t="str">
        <f t="shared" si="15"/>
        <v>成新度</v>
      </c>
      <c r="AA37" s="1811" t="e">
        <f t="shared" si="3"/>
        <v>#N/A</v>
      </c>
      <c r="AB37" s="1811"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0"/>
      <c r="Q38" s="1795" t="str">
        <f t="shared" si="11"/>
        <v>写字楼等级</v>
      </c>
      <c r="R38" s="770" t="s">
        <v>17</v>
      </c>
      <c r="S38" s="771">
        <f t="shared" si="12"/>
        <v>100</v>
      </c>
      <c r="T38" s="770" t="s">
        <v>17</v>
      </c>
      <c r="U38" s="771">
        <f t="shared" si="13"/>
        <v>100</v>
      </c>
      <c r="V38" s="770" t="s">
        <v>17</v>
      </c>
      <c r="W38" s="771">
        <f t="shared" si="14"/>
        <v>100</v>
      </c>
      <c r="X38" s="772"/>
      <c r="Y38" s="3159"/>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0" t="s">
        <v>2564</v>
      </c>
      <c r="Q39" s="1810" t="str">
        <f t="shared" si="11"/>
        <v>物业管理</v>
      </c>
      <c r="R39" s="774" t="s">
        <v>17</v>
      </c>
      <c r="S39" s="775">
        <f t="shared" si="12"/>
        <v>100</v>
      </c>
      <c r="T39" s="774" t="s">
        <v>17</v>
      </c>
      <c r="U39" s="775">
        <f t="shared" si="13"/>
        <v>100</v>
      </c>
      <c r="V39" s="774" t="s">
        <v>17</v>
      </c>
      <c r="W39" s="775">
        <f t="shared" si="14"/>
        <v>100</v>
      </c>
      <c r="X39" s="1813"/>
      <c r="Y39" s="3159" t="s">
        <v>2564</v>
      </c>
      <c r="Z39" s="1814" t="str">
        <f t="shared" si="15"/>
        <v>物业管理</v>
      </c>
      <c r="AA39" s="1811">
        <f t="shared" si="3"/>
        <v>1</v>
      </c>
      <c r="AB39" s="1811">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0"/>
      <c r="Q40" s="1810" t="str">
        <f t="shared" si="11"/>
        <v>市政基础设施</v>
      </c>
      <c r="R40" s="774" t="s">
        <v>17</v>
      </c>
      <c r="S40" s="775">
        <f t="shared" si="12"/>
        <v>100</v>
      </c>
      <c r="T40" s="774" t="s">
        <v>17</v>
      </c>
      <c r="U40" s="775">
        <f t="shared" si="13"/>
        <v>100</v>
      </c>
      <c r="V40" s="774" t="s">
        <v>17</v>
      </c>
      <c r="W40" s="775">
        <f t="shared" si="14"/>
        <v>100</v>
      </c>
      <c r="X40" s="1813"/>
      <c r="Y40" s="3159"/>
      <c r="Z40" s="1814" t="str">
        <f t="shared" si="15"/>
        <v>市政基础设施</v>
      </c>
      <c r="AA40" s="1811">
        <f t="shared" si="3"/>
        <v>1</v>
      </c>
      <c r="AB40" s="1811">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0"/>
      <c r="Q41" s="1810" t="str">
        <f t="shared" si="11"/>
        <v>层高</v>
      </c>
      <c r="R41" s="774" t="s">
        <v>17</v>
      </c>
      <c r="S41" s="775">
        <f t="shared" si="12"/>
        <v>100</v>
      </c>
      <c r="T41" s="774" t="s">
        <v>17</v>
      </c>
      <c r="U41" s="775">
        <f t="shared" si="13"/>
        <v>100</v>
      </c>
      <c r="V41" s="774" t="s">
        <v>17</v>
      </c>
      <c r="W41" s="775">
        <f t="shared" si="14"/>
        <v>100</v>
      </c>
      <c r="X41" s="1813"/>
      <c r="Y41" s="3159"/>
      <c r="Z41" s="1814" t="str">
        <f t="shared" si="15"/>
        <v>层高</v>
      </c>
      <c r="AA41" s="1811">
        <f t="shared" si="3"/>
        <v>1</v>
      </c>
      <c r="AB41" s="1811">
        <f t="shared" si="4"/>
        <v>1</v>
      </c>
      <c r="AC41" s="2677">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0"/>
      <c r="Q42" s="776" t="str">
        <f t="shared" si="11"/>
        <v>单套建筑面积</v>
      </c>
      <c r="R42" s="777" t="s">
        <v>17</v>
      </c>
      <c r="S42" s="778">
        <f t="shared" si="12"/>
        <v>100</v>
      </c>
      <c r="T42" s="777" t="s">
        <v>17</v>
      </c>
      <c r="U42" s="778">
        <f t="shared" si="13"/>
        <v>100</v>
      </c>
      <c r="V42" s="777" t="s">
        <v>17</v>
      </c>
      <c r="W42" s="778">
        <f t="shared" si="14"/>
        <v>100</v>
      </c>
      <c r="X42" s="779"/>
      <c r="Y42" s="3159"/>
      <c r="Z42" s="780" t="str">
        <f t="shared" si="15"/>
        <v>单套建筑面积</v>
      </c>
      <c r="AA42" s="1811">
        <f t="shared" si="3"/>
        <v>1</v>
      </c>
      <c r="AB42" s="1811">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0"/>
      <c r="Q43" s="1810" t="str">
        <f t="shared" si="11"/>
        <v>内部装修</v>
      </c>
      <c r="R43" s="774" t="s">
        <v>17</v>
      </c>
      <c r="S43" s="775">
        <f t="shared" si="12"/>
        <v>100</v>
      </c>
      <c r="T43" s="774" t="s">
        <v>17</v>
      </c>
      <c r="U43" s="775">
        <f t="shared" si="13"/>
        <v>100</v>
      </c>
      <c r="V43" s="774" t="s">
        <v>17</v>
      </c>
      <c r="W43" s="775">
        <f t="shared" si="14"/>
        <v>100</v>
      </c>
      <c r="X43" s="1813"/>
      <c r="Y43" s="3159"/>
      <c r="Z43" s="1814" t="str">
        <f t="shared" si="15"/>
        <v>内部装修</v>
      </c>
      <c r="AA43" s="1811">
        <f t="shared" si="3"/>
        <v>1</v>
      </c>
      <c r="AB43" s="1811">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20"/>
      <c r="Q44" s="1810" t="str">
        <f t="shared" si="11"/>
        <v>内部装修维护情况</v>
      </c>
      <c r="R44" s="774" t="s">
        <v>17</v>
      </c>
      <c r="S44" s="775">
        <f t="shared" si="12"/>
        <v>100</v>
      </c>
      <c r="T44" s="774" t="s">
        <v>17</v>
      </c>
      <c r="U44" s="775">
        <f t="shared" si="13"/>
        <v>100</v>
      </c>
      <c r="V44" s="774" t="s">
        <v>17</v>
      </c>
      <c r="W44" s="775">
        <f t="shared" si="14"/>
        <v>100</v>
      </c>
      <c r="X44" s="1813"/>
      <c r="Y44" s="3159"/>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0"/>
      <c r="Q45" s="1795">
        <f t="shared" si="11"/>
        <v>111</v>
      </c>
      <c r="R45" s="770" t="s">
        <v>17</v>
      </c>
      <c r="S45" s="771">
        <f t="shared" si="12"/>
        <v>100</v>
      </c>
      <c r="T45" s="770" t="s">
        <v>17</v>
      </c>
      <c r="U45" s="771">
        <f t="shared" si="13"/>
        <v>100</v>
      </c>
      <c r="V45" s="770" t="s">
        <v>17</v>
      </c>
      <c r="W45" s="771">
        <f t="shared" si="14"/>
        <v>100</v>
      </c>
      <c r="X45" s="772"/>
      <c r="Y45" s="3159"/>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159"/>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1"/>
      <c r="Q47" s="1810">
        <f t="shared" si="11"/>
        <v>111</v>
      </c>
      <c r="R47" s="774" t="s">
        <v>17</v>
      </c>
      <c r="S47" s="775">
        <f t="shared" si="12"/>
        <v>100</v>
      </c>
      <c r="T47" s="774" t="s">
        <v>17</v>
      </c>
      <c r="U47" s="775">
        <f t="shared" si="13"/>
        <v>100</v>
      </c>
      <c r="V47" s="774" t="s">
        <v>17</v>
      </c>
      <c r="W47" s="775">
        <f t="shared" si="14"/>
        <v>100</v>
      </c>
      <c r="X47" s="1813"/>
      <c r="Y47" s="3160"/>
      <c r="Z47" s="1814">
        <f t="shared" si="15"/>
        <v>111</v>
      </c>
      <c r="AA47" s="1811">
        <f t="shared" si="3"/>
        <v>1</v>
      </c>
      <c r="AB47" s="1811">
        <f t="shared" si="4"/>
        <v>1</v>
      </c>
      <c r="AC47" s="2677">
        <f t="shared" si="5"/>
        <v>1</v>
      </c>
    </row>
    <row r="48" spans="1:29" ht="15">
      <c r="A48" s="479" t="s">
        <v>2576</v>
      </c>
      <c r="B48" s="480"/>
      <c r="C48" s="1407" t="s">
        <v>1</v>
      </c>
      <c r="D48" s="1408"/>
      <c r="E48" s="1409"/>
      <c r="F48" s="1410"/>
      <c r="G48" s="1411"/>
      <c r="H48" s="1412"/>
      <c r="I48" s="1409"/>
      <c r="J48" s="485"/>
      <c r="K48" s="783"/>
      <c r="L48" s="1143"/>
      <c r="M48" s="1131"/>
      <c r="N48" s="1131"/>
      <c r="O48" s="1131"/>
      <c r="P48" s="3224" t="str">
        <f>A48</f>
        <v>成交单价（元/平方米）</v>
      </c>
      <c r="Q48" s="3151"/>
      <c r="R48" s="3152">
        <f>E48</f>
        <v>0</v>
      </c>
      <c r="S48" s="3152"/>
      <c r="T48" s="3152">
        <f>G48</f>
        <v>0</v>
      </c>
      <c r="U48" s="3152"/>
      <c r="V48" s="3152">
        <f>I48</f>
        <v>0</v>
      </c>
      <c r="W48" s="3152"/>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151"/>
      <c r="R49" s="3152" t="e">
        <f>IF(F1="售价",ROUND(PRODUCT(R48,AA7:AA47),0),ROUND(PRODUCT(R48,AA7:AA47),1))</f>
        <v>#DIV/0!</v>
      </c>
      <c r="S49" s="3152"/>
      <c r="T49" s="3152" t="e">
        <f>IF(F1="售价",ROUND(PRODUCT(T48,AB7:AB47),0),ROUND(PRODUCT(T48,AB7:AB47),1))</f>
        <v>#DIV/0!</v>
      </c>
      <c r="U49" s="3152"/>
      <c r="V49" s="3152" t="e">
        <f>IF(F1="售价",ROUND(PRODUCT(V48,AC7:AC47),0),ROUND(PRODUCT(V48,AC7:AC47),1))</f>
        <v>#DIV/0!</v>
      </c>
      <c r="W49" s="3152"/>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4"/>
      <c r="Q58" s="504"/>
    </row>
    <row r="59" spans="1:29" s="508" customFormat="1" ht="15">
      <c r="A59" s="505" t="s">
        <v>2547</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2587</v>
      </c>
      <c r="B64" s="528" t="s">
        <v>2553</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2698</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2562</v>
      </c>
      <c r="B101" s="528" t="s">
        <v>2611</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2613</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2615</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2616</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2617</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2700</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2619</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7"/>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9"/>
      <c r="D2" s="1124" t="e">
        <f ca="1">SUMIF(INDIRECT("'"&amp;F2&amp;"'"&amp;"!A:A"),"承租人权益价值",INDIRECT("'"&amp;F2&amp;"'"&amp;"!c:c"))</f>
        <v>#REF!</v>
      </c>
      <c r="E2" s="2590" t="s">
        <v>2327</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62" t="s">
        <v>2647</v>
      </c>
      <c r="AC4" s="3161" t="s">
        <v>2648</v>
      </c>
    </row>
    <row r="5" spans="1:29"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62"/>
      <c r="AC5" s="3162"/>
    </row>
    <row r="6" spans="1:29" ht="15.75" thickBot="1">
      <c r="A6" s="406"/>
      <c r="B6" s="407"/>
      <c r="C6" s="3181" t="s">
        <v>2545</v>
      </c>
      <c r="D6" s="3182"/>
      <c r="E6" s="3188" t="s">
        <v>2545</v>
      </c>
      <c r="F6" s="3189"/>
      <c r="G6" s="3181" t="s">
        <v>2545</v>
      </c>
      <c r="H6" s="3182"/>
      <c r="I6" s="3181" t="s">
        <v>2545</v>
      </c>
      <c r="J6" s="3182"/>
      <c r="K6" s="610" t="s">
        <v>2546</v>
      </c>
      <c r="L6" s="1130"/>
      <c r="M6" s="1131"/>
      <c r="N6" s="1131"/>
      <c r="O6" s="1131"/>
      <c r="P6" s="3172"/>
      <c r="Q6" s="3173"/>
      <c r="R6" s="3176"/>
      <c r="S6" s="3177"/>
      <c r="T6" s="3178"/>
      <c r="U6" s="3179"/>
      <c r="V6" s="3180"/>
      <c r="W6" s="3180"/>
      <c r="X6" s="1813"/>
      <c r="Y6" s="3178"/>
      <c r="Z6" s="3179"/>
      <c r="AA6" s="3163"/>
      <c r="AB6" s="3163"/>
      <c r="AC6" s="3163"/>
    </row>
    <row r="7" spans="1:29" s="117" customFormat="1" ht="15.75" thickBot="1">
      <c r="A7" s="408" t="s">
        <v>2547</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2548</v>
      </c>
      <c r="Q7" s="3187"/>
      <c r="R7" s="770" t="s">
        <v>17</v>
      </c>
      <c r="S7" s="771">
        <f t="shared" ref="S7:S14" si="0">F7</f>
        <v>0</v>
      </c>
      <c r="T7" s="770" t="s">
        <v>17</v>
      </c>
      <c r="U7" s="771">
        <f t="shared" ref="U7:U14" si="1">H7</f>
        <v>0</v>
      </c>
      <c r="V7" s="770" t="s">
        <v>17</v>
      </c>
      <c r="W7" s="771">
        <f t="shared" ref="W7:W14"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1" t="s">
        <v>2554</v>
      </c>
      <c r="Q9" s="1795" t="str">
        <f t="shared" ref="Q9:Q14" si="6">B9</f>
        <v>用途</v>
      </c>
      <c r="R9" s="770" t="s">
        <v>17</v>
      </c>
      <c r="S9" s="771">
        <f t="shared" si="0"/>
        <v>100</v>
      </c>
      <c r="T9" s="770" t="s">
        <v>17</v>
      </c>
      <c r="U9" s="771">
        <f t="shared" si="1"/>
        <v>100</v>
      </c>
      <c r="V9" s="770" t="s">
        <v>17</v>
      </c>
      <c r="W9" s="771">
        <f t="shared" si="2"/>
        <v>100</v>
      </c>
      <c r="X9" s="772"/>
      <c r="Y9" s="300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1"/>
      <c r="Q11" s="1795">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6" t="s">
        <v>2559</v>
      </c>
      <c r="Q14" s="1810" t="str">
        <f t="shared" si="6"/>
        <v>交通便捷度</v>
      </c>
      <c r="R14" s="774" t="s">
        <v>17</v>
      </c>
      <c r="S14" s="775">
        <f t="shared" si="0"/>
        <v>100</v>
      </c>
      <c r="T14" s="774" t="s">
        <v>17</v>
      </c>
      <c r="U14" s="775">
        <f t="shared" si="1"/>
        <v>100</v>
      </c>
      <c r="V14" s="774" t="s">
        <v>17</v>
      </c>
      <c r="W14" s="775">
        <f t="shared" si="2"/>
        <v>100</v>
      </c>
      <c r="X14" s="1813"/>
      <c r="Y14" s="3156"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7"/>
      <c r="Q15" s="1810"/>
      <c r="R15" s="774"/>
      <c r="S15" s="775"/>
      <c r="T15" s="774"/>
      <c r="U15" s="775"/>
      <c r="V15" s="774"/>
      <c r="W15" s="775"/>
      <c r="X15" s="1813"/>
      <c r="Y15" s="3157"/>
      <c r="Z15" s="1814"/>
      <c r="AA15" s="1811">
        <v>1</v>
      </c>
      <c r="AB15" s="1811">
        <v>1</v>
      </c>
      <c r="AC15" s="1811">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7"/>
      <c r="Q16" s="1810" t="str">
        <f>B16</f>
        <v>公共配套设施</v>
      </c>
      <c r="R16" s="774" t="s">
        <v>17</v>
      </c>
      <c r="S16" s="775">
        <f>F16</f>
        <v>100</v>
      </c>
      <c r="T16" s="774" t="s">
        <v>17</v>
      </c>
      <c r="U16" s="775">
        <f>H16</f>
        <v>100</v>
      </c>
      <c r="V16" s="774" t="s">
        <v>17</v>
      </c>
      <c r="W16" s="775">
        <f>J16</f>
        <v>100</v>
      </c>
      <c r="X16" s="1813"/>
      <c r="Y16" s="3157"/>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57"/>
      <c r="Q17" s="1810"/>
      <c r="R17" s="774"/>
      <c r="S17" s="775"/>
      <c r="T17" s="774"/>
      <c r="U17" s="775"/>
      <c r="V17" s="774"/>
      <c r="W17" s="775"/>
      <c r="X17" s="1813"/>
      <c r="Y17" s="3157"/>
      <c r="Z17" s="1814"/>
      <c r="AA17" s="1811">
        <v>1</v>
      </c>
      <c r="AB17" s="1811">
        <v>1</v>
      </c>
      <c r="AC17" s="1811">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7"/>
      <c r="Q18" s="1810" t="str">
        <f>B18</f>
        <v>基础设施水平</v>
      </c>
      <c r="R18" s="774" t="s">
        <v>17</v>
      </c>
      <c r="S18" s="775">
        <f>F18</f>
        <v>100</v>
      </c>
      <c r="T18" s="774" t="s">
        <v>17</v>
      </c>
      <c r="U18" s="775">
        <f>H18</f>
        <v>100</v>
      </c>
      <c r="V18" s="774" t="s">
        <v>17</v>
      </c>
      <c r="W18" s="775">
        <f>J18</f>
        <v>100</v>
      </c>
      <c r="X18" s="1813"/>
      <c r="Y18" s="3157"/>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57"/>
      <c r="Q19" s="1810"/>
      <c r="R19" s="774"/>
      <c r="S19" s="775"/>
      <c r="T19" s="774"/>
      <c r="U19" s="775"/>
      <c r="V19" s="774"/>
      <c r="W19" s="775"/>
      <c r="X19" s="1813"/>
      <c r="Y19" s="3157"/>
      <c r="Z19" s="1814"/>
      <c r="AA19" s="1811">
        <v>1</v>
      </c>
      <c r="AB19" s="1811">
        <v>1</v>
      </c>
      <c r="AC19" s="1811">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7"/>
      <c r="Q20" s="1810" t="str">
        <f>B20</f>
        <v>自然及人文环境</v>
      </c>
      <c r="R20" s="774" t="s">
        <v>17</v>
      </c>
      <c r="S20" s="775">
        <f>F20</f>
        <v>100</v>
      </c>
      <c r="T20" s="774" t="s">
        <v>17</v>
      </c>
      <c r="U20" s="775">
        <f>H20</f>
        <v>100</v>
      </c>
      <c r="V20" s="774" t="s">
        <v>17</v>
      </c>
      <c r="W20" s="775">
        <f>J20</f>
        <v>100</v>
      </c>
      <c r="X20" s="1813"/>
      <c r="Y20" s="315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7"/>
      <c r="Q21" s="1810"/>
      <c r="R21" s="774"/>
      <c r="S21" s="775"/>
      <c r="T21" s="774"/>
      <c r="U21" s="775"/>
      <c r="V21" s="774"/>
      <c r="W21" s="775"/>
      <c r="X21" s="1813"/>
      <c r="Y21" s="3157"/>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7"/>
      <c r="Q22" s="1810" t="str">
        <f>B22</f>
        <v>楼层</v>
      </c>
      <c r="R22" s="774" t="s">
        <v>17</v>
      </c>
      <c r="S22" s="775">
        <f>F22</f>
        <v>100</v>
      </c>
      <c r="T22" s="774" t="s">
        <v>17</v>
      </c>
      <c r="U22" s="775">
        <f>H22</f>
        <v>100</v>
      </c>
      <c r="V22" s="774" t="s">
        <v>17</v>
      </c>
      <c r="W22" s="775">
        <f>J22</f>
        <v>100</v>
      </c>
      <c r="X22" s="1813"/>
      <c r="Y22" s="315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7"/>
      <c r="Q23" s="1810">
        <f>B23</f>
        <v>111</v>
      </c>
      <c r="R23" s="774" t="s">
        <v>17</v>
      </c>
      <c r="S23" s="775">
        <f>F23</f>
        <v>100</v>
      </c>
      <c r="T23" s="774" t="s">
        <v>17</v>
      </c>
      <c r="U23" s="775">
        <f>H23</f>
        <v>100</v>
      </c>
      <c r="V23" s="774" t="s">
        <v>17</v>
      </c>
      <c r="W23" s="775">
        <f>J23</f>
        <v>100</v>
      </c>
      <c r="X23" s="1813"/>
      <c r="Y23" s="315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7"/>
      <c r="Q24" s="1810">
        <f t="shared" ref="Q24:Q36" si="11">B24</f>
        <v>111</v>
      </c>
      <c r="R24" s="774" t="s">
        <v>17</v>
      </c>
      <c r="S24" s="775">
        <f>F24</f>
        <v>100</v>
      </c>
      <c r="T24" s="774" t="s">
        <v>17</v>
      </c>
      <c r="U24" s="775">
        <f>H24</f>
        <v>100</v>
      </c>
      <c r="V24" s="774" t="s">
        <v>17</v>
      </c>
      <c r="W24" s="775">
        <f>J24</f>
        <v>100</v>
      </c>
      <c r="X24" s="1813"/>
      <c r="Y24" s="315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7"/>
      <c r="Q25" s="1795">
        <f t="shared" si="11"/>
        <v>111</v>
      </c>
      <c r="R25" s="770" t="s">
        <v>17</v>
      </c>
      <c r="S25" s="771">
        <f>F25</f>
        <v>100</v>
      </c>
      <c r="T25" s="770" t="s">
        <v>17</v>
      </c>
      <c r="U25" s="771">
        <f>H25</f>
        <v>100</v>
      </c>
      <c r="V25" s="770" t="s">
        <v>17</v>
      </c>
      <c r="W25" s="771">
        <f>J25</f>
        <v>100</v>
      </c>
      <c r="X25" s="772"/>
      <c r="Y25" s="3157"/>
      <c r="Z25" s="55">
        <f>Q25</f>
        <v>111</v>
      </c>
      <c r="AA25" s="1811">
        <f>D25/F25</f>
        <v>1</v>
      </c>
      <c r="AB25" s="1811">
        <f>D25/H25</f>
        <v>1</v>
      </c>
      <c r="AC25" s="1811">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8"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9"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9"/>
      <c r="Q27" s="776" t="str">
        <f t="shared" si="11"/>
        <v>项目停车位配比</v>
      </c>
      <c r="R27" s="777" t="s">
        <v>17</v>
      </c>
      <c r="S27" s="778">
        <f t="shared" si="12"/>
        <v>100</v>
      </c>
      <c r="T27" s="777" t="s">
        <v>17</v>
      </c>
      <c r="U27" s="778">
        <f t="shared" si="13"/>
        <v>100</v>
      </c>
      <c r="V27" s="777" t="s">
        <v>17</v>
      </c>
      <c r="W27" s="778">
        <f t="shared" si="14"/>
        <v>100</v>
      </c>
      <c r="X27" s="779"/>
      <c r="Y27" s="3159"/>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9"/>
      <c r="Q28" s="1810" t="str">
        <f t="shared" si="11"/>
        <v>公共部分装修</v>
      </c>
      <c r="R28" s="774" t="s">
        <v>17</v>
      </c>
      <c r="S28" s="775">
        <f t="shared" si="12"/>
        <v>100</v>
      </c>
      <c r="T28" s="774" t="s">
        <v>17</v>
      </c>
      <c r="U28" s="775">
        <f t="shared" si="13"/>
        <v>100</v>
      </c>
      <c r="V28" s="774" t="s">
        <v>17</v>
      </c>
      <c r="W28" s="775">
        <f t="shared" si="14"/>
        <v>100</v>
      </c>
      <c r="X28" s="1813"/>
      <c r="Y28" s="3159"/>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9"/>
      <c r="Q29" s="1810" t="str">
        <f t="shared" si="11"/>
        <v>成新率</v>
      </c>
      <c r="R29" s="774" t="s">
        <v>17</v>
      </c>
      <c r="S29" s="775" t="e">
        <f t="shared" si="12"/>
        <v>#N/A</v>
      </c>
      <c r="T29" s="774" t="s">
        <v>17</v>
      </c>
      <c r="U29" s="775" t="e">
        <f t="shared" si="13"/>
        <v>#N/A</v>
      </c>
      <c r="V29" s="774" t="s">
        <v>17</v>
      </c>
      <c r="W29" s="775" t="e">
        <f t="shared" si="14"/>
        <v>#N/A</v>
      </c>
      <c r="X29" s="1813"/>
      <c r="Y29" s="3159"/>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9"/>
      <c r="Q30" s="1810" t="str">
        <f t="shared" si="11"/>
        <v>物业等级</v>
      </c>
      <c r="R30" s="774" t="s">
        <v>17</v>
      </c>
      <c r="S30" s="775">
        <f t="shared" si="12"/>
        <v>100</v>
      </c>
      <c r="T30" s="774" t="s">
        <v>17</v>
      </c>
      <c r="U30" s="775">
        <f t="shared" si="13"/>
        <v>100</v>
      </c>
      <c r="V30" s="774" t="s">
        <v>17</v>
      </c>
      <c r="W30" s="775">
        <f t="shared" si="14"/>
        <v>100</v>
      </c>
      <c r="X30" s="1813"/>
      <c r="Y30" s="3159"/>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9"/>
      <c r="Q31" s="1795" t="str">
        <f t="shared" si="11"/>
        <v>停车位面积</v>
      </c>
      <c r="R31" s="770" t="s">
        <v>17</v>
      </c>
      <c r="S31" s="771" t="e">
        <f t="shared" si="12"/>
        <v>#N/A</v>
      </c>
      <c r="T31" s="770" t="s">
        <v>17</v>
      </c>
      <c r="U31" s="771" t="e">
        <f t="shared" si="13"/>
        <v>#N/A</v>
      </c>
      <c r="V31" s="770" t="s">
        <v>17</v>
      </c>
      <c r="W31" s="771" t="e">
        <f t="shared" si="14"/>
        <v>#N/A</v>
      </c>
      <c r="X31" s="772"/>
      <c r="Y31" s="315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9" t="s">
        <v>2564</v>
      </c>
      <c r="Q32" s="1810" t="str">
        <f t="shared" si="11"/>
        <v>车位类型</v>
      </c>
      <c r="R32" s="774" t="s">
        <v>17</v>
      </c>
      <c r="S32" s="775">
        <f t="shared" si="12"/>
        <v>100</v>
      </c>
      <c r="T32" s="774" t="s">
        <v>17</v>
      </c>
      <c r="U32" s="775">
        <f t="shared" si="13"/>
        <v>100</v>
      </c>
      <c r="V32" s="774" t="s">
        <v>17</v>
      </c>
      <c r="W32" s="775">
        <f t="shared" si="14"/>
        <v>100</v>
      </c>
      <c r="X32" s="1813"/>
      <c r="Y32" s="3159"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9"/>
      <c r="Q33" s="1810" t="str">
        <f t="shared" si="11"/>
        <v>是否直接入户</v>
      </c>
      <c r="R33" s="774" t="s">
        <v>17</v>
      </c>
      <c r="S33" s="775">
        <f t="shared" si="12"/>
        <v>100</v>
      </c>
      <c r="T33" s="774" t="s">
        <v>17</v>
      </c>
      <c r="U33" s="775">
        <f t="shared" si="13"/>
        <v>100</v>
      </c>
      <c r="V33" s="774" t="s">
        <v>17</v>
      </c>
      <c r="W33" s="775">
        <f t="shared" si="14"/>
        <v>100</v>
      </c>
      <c r="X33" s="1813"/>
      <c r="Y33" s="315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9"/>
      <c r="Q34" s="1810">
        <f t="shared" si="11"/>
        <v>111</v>
      </c>
      <c r="R34" s="774" t="s">
        <v>17</v>
      </c>
      <c r="S34" s="775">
        <f t="shared" si="12"/>
        <v>100</v>
      </c>
      <c r="T34" s="774" t="s">
        <v>17</v>
      </c>
      <c r="U34" s="775">
        <f t="shared" si="13"/>
        <v>100</v>
      </c>
      <c r="V34" s="774" t="s">
        <v>17</v>
      </c>
      <c r="W34" s="775">
        <f t="shared" si="14"/>
        <v>100</v>
      </c>
      <c r="X34" s="1813"/>
      <c r="Y34" s="315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9"/>
      <c r="Q35" s="776">
        <f t="shared" si="11"/>
        <v>111</v>
      </c>
      <c r="R35" s="777" t="s">
        <v>17</v>
      </c>
      <c r="S35" s="778">
        <f t="shared" si="12"/>
        <v>100</v>
      </c>
      <c r="T35" s="777" t="s">
        <v>17</v>
      </c>
      <c r="U35" s="778">
        <f t="shared" si="13"/>
        <v>100</v>
      </c>
      <c r="V35" s="777" t="s">
        <v>17</v>
      </c>
      <c r="W35" s="778">
        <f t="shared" si="14"/>
        <v>100</v>
      </c>
      <c r="X35" s="779"/>
      <c r="Y35" s="315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9"/>
      <c r="Q36" s="1810">
        <f t="shared" si="11"/>
        <v>111</v>
      </c>
      <c r="R36" s="774" t="s">
        <v>17</v>
      </c>
      <c r="S36" s="775">
        <f t="shared" si="12"/>
        <v>100</v>
      </c>
      <c r="T36" s="774" t="s">
        <v>17</v>
      </c>
      <c r="U36" s="775">
        <f t="shared" si="13"/>
        <v>100</v>
      </c>
      <c r="V36" s="774" t="s">
        <v>17</v>
      </c>
      <c r="W36" s="775">
        <f t="shared" si="14"/>
        <v>100</v>
      </c>
      <c r="X36" s="1813"/>
      <c r="Y36" s="3159"/>
      <c r="Z36" s="1814">
        <f t="shared" si="15"/>
        <v>111</v>
      </c>
      <c r="AA36" s="1811">
        <f t="shared" si="3"/>
        <v>1</v>
      </c>
      <c r="AB36" s="1811">
        <f t="shared" si="4"/>
        <v>1</v>
      </c>
      <c r="AC36" s="1811">
        <f t="shared" si="5"/>
        <v>1</v>
      </c>
    </row>
    <row r="37" spans="1:29" ht="15">
      <c r="A37" s="479" t="s">
        <v>2719</v>
      </c>
      <c r="B37" s="2698" t="s">
        <v>2720</v>
      </c>
      <c r="C37" s="1407" t="s">
        <v>1</v>
      </c>
      <c r="D37" s="1408"/>
      <c r="E37" s="1409"/>
      <c r="F37" s="1410"/>
      <c r="G37" s="1411"/>
      <c r="H37" s="1412"/>
      <c r="I37" s="1409"/>
      <c r="J37" s="1412"/>
      <c r="K37" s="619"/>
      <c r="L37" s="1143"/>
      <c r="M37" s="1144"/>
      <c r="N37" s="1131"/>
      <c r="O37" s="1144"/>
      <c r="P37" s="3151" t="str">
        <f>A37</f>
        <v>成交单价</v>
      </c>
      <c r="Q37" s="3151"/>
      <c r="R37" s="3152">
        <f>E37</f>
        <v>0</v>
      </c>
      <c r="S37" s="3152"/>
      <c r="T37" s="3152">
        <f>G37</f>
        <v>0</v>
      </c>
      <c r="U37" s="3152"/>
      <c r="V37" s="3152">
        <f>I37</f>
        <v>0</v>
      </c>
      <c r="W37" s="3152"/>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1" t="str">
        <f>A38</f>
        <v>比较价值（元/平方米）</v>
      </c>
      <c r="Q38" s="3151"/>
      <c r="R38" s="3152" t="e">
        <f>IF(F1="售价",ROUND(PRODUCT(R37,AA7:AA36),0),ROUND(PRODUCT(R37,AA7:AA36),1))</f>
        <v>#DIV/0!</v>
      </c>
      <c r="S38" s="3152"/>
      <c r="T38" s="3152" t="e">
        <f>IF(F1="售价",ROUND(PRODUCT(T37,AB7:AB36),0),ROUND(PRODUCT(T37,AB7:AB36),1))</f>
        <v>#DIV/0!</v>
      </c>
      <c r="U38" s="3152"/>
      <c r="V38" s="3152" t="e">
        <f>IF(F1="售价",ROUND(PRODUCT(V37,AC7:AC36),0),ROUND(PRODUCT(V37,AC7:AC36),1))</f>
        <v>#DIV/0!</v>
      </c>
      <c r="W38" s="3152"/>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9"/>
      <c r="D2" s="1124" t="e">
        <f ca="1">SUMIF(INDIRECT("'"&amp;F2&amp;"'"&amp;"!A:A"),"承租人权益价值",INDIRECT("'"&amp;F2&amp;"'"&amp;"!c:c"))</f>
        <v>#REF!</v>
      </c>
      <c r="E2" s="2590" t="s">
        <v>2327</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62" t="s">
        <v>2647</v>
      </c>
      <c r="AC4" s="3161" t="s">
        <v>2648</v>
      </c>
    </row>
    <row r="5" spans="1:29"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62"/>
      <c r="AC5" s="3162"/>
    </row>
    <row r="6" spans="1:29" ht="15.75" thickBot="1">
      <c r="A6" s="406"/>
      <c r="B6" s="407"/>
      <c r="C6" s="3181" t="s">
        <v>2545</v>
      </c>
      <c r="D6" s="3182"/>
      <c r="E6" s="3188" t="s">
        <v>2545</v>
      </c>
      <c r="F6" s="3189"/>
      <c r="G6" s="3181" t="s">
        <v>2545</v>
      </c>
      <c r="H6" s="3182"/>
      <c r="I6" s="3181" t="s">
        <v>2545</v>
      </c>
      <c r="J6" s="3182"/>
      <c r="K6" s="610" t="s">
        <v>2546</v>
      </c>
      <c r="L6" s="1130"/>
      <c r="M6" s="1131"/>
      <c r="N6" s="1131"/>
      <c r="O6" s="1131"/>
      <c r="P6" s="3172"/>
      <c r="Q6" s="3173"/>
      <c r="R6" s="3176"/>
      <c r="S6" s="3177"/>
      <c r="T6" s="3178"/>
      <c r="U6" s="3179"/>
      <c r="V6" s="3180"/>
      <c r="W6" s="3180"/>
      <c r="X6" s="1813"/>
      <c r="Y6" s="3178"/>
      <c r="Z6" s="3179"/>
      <c r="AA6" s="3163"/>
      <c r="AB6" s="3163"/>
      <c r="AC6" s="3163"/>
    </row>
    <row r="7" spans="1:29" s="117" customFormat="1" ht="15.75" thickBot="1">
      <c r="A7" s="408" t="s">
        <v>2547</v>
      </c>
      <c r="B7" s="409"/>
      <c r="C7" s="410">
        <f>'数据-取费表'!B2</f>
        <v>43718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85" t="s">
        <v>2548</v>
      </c>
      <c r="Q7" s="3187"/>
      <c r="R7" s="770" t="s">
        <v>17</v>
      </c>
      <c r="S7" s="771">
        <f t="shared" ref="S7:S14" si="0">F7</f>
        <v>0</v>
      </c>
      <c r="T7" s="770" t="s">
        <v>17</v>
      </c>
      <c r="U7" s="771">
        <f t="shared" ref="U7:U14" si="1">H7</f>
        <v>0</v>
      </c>
      <c r="V7" s="770" t="s">
        <v>17</v>
      </c>
      <c r="W7" s="771">
        <f t="shared" ref="W7:W14" si="2">J7</f>
        <v>0</v>
      </c>
      <c r="X7" s="772"/>
      <c r="Y7" s="3185" t="s">
        <v>2548</v>
      </c>
      <c r="Z7" s="318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1" t="s">
        <v>2554</v>
      </c>
      <c r="Q9" s="1795" t="str">
        <f t="shared" ref="Q9:Q14" si="6">B9</f>
        <v>用途</v>
      </c>
      <c r="R9" s="770" t="s">
        <v>17</v>
      </c>
      <c r="S9" s="771">
        <f t="shared" si="0"/>
        <v>100</v>
      </c>
      <c r="T9" s="770" t="s">
        <v>17</v>
      </c>
      <c r="U9" s="771">
        <f t="shared" si="1"/>
        <v>100</v>
      </c>
      <c r="V9" s="770" t="s">
        <v>17</v>
      </c>
      <c r="W9" s="771">
        <f t="shared" si="2"/>
        <v>100</v>
      </c>
      <c r="X9" s="772"/>
      <c r="Y9" s="300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1"/>
      <c r="Q11" s="1795">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6" t="s">
        <v>2559</v>
      </c>
      <c r="Q14" s="1810" t="str">
        <f t="shared" si="6"/>
        <v>交通便捷度</v>
      </c>
      <c r="R14" s="774" t="s">
        <v>17</v>
      </c>
      <c r="S14" s="775">
        <f t="shared" si="0"/>
        <v>100</v>
      </c>
      <c r="T14" s="774" t="s">
        <v>17</v>
      </c>
      <c r="U14" s="775">
        <f t="shared" si="1"/>
        <v>100</v>
      </c>
      <c r="V14" s="774" t="s">
        <v>17</v>
      </c>
      <c r="W14" s="775">
        <f t="shared" si="2"/>
        <v>100</v>
      </c>
      <c r="X14" s="1813"/>
      <c r="Y14" s="3156"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7"/>
      <c r="Q15" s="1810"/>
      <c r="R15" s="774"/>
      <c r="S15" s="775"/>
      <c r="T15" s="774"/>
      <c r="U15" s="775"/>
      <c r="V15" s="774"/>
      <c r="W15" s="775"/>
      <c r="X15" s="1813"/>
      <c r="Y15" s="3157"/>
      <c r="Z15" s="1814"/>
      <c r="AA15" s="1811">
        <v>1</v>
      </c>
      <c r="AB15" s="1811">
        <v>1</v>
      </c>
      <c r="AC15" s="1811">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7"/>
      <c r="Q16" s="1810" t="str">
        <f>B16</f>
        <v>公共配套设施</v>
      </c>
      <c r="R16" s="774" t="s">
        <v>17</v>
      </c>
      <c r="S16" s="775">
        <f>F16</f>
        <v>100</v>
      </c>
      <c r="T16" s="774" t="s">
        <v>17</v>
      </c>
      <c r="U16" s="775">
        <f>H16</f>
        <v>100</v>
      </c>
      <c r="V16" s="774" t="s">
        <v>17</v>
      </c>
      <c r="W16" s="775">
        <f>J16</f>
        <v>100</v>
      </c>
      <c r="X16" s="1813"/>
      <c r="Y16" s="3157"/>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57"/>
      <c r="Q17" s="1810"/>
      <c r="R17" s="774"/>
      <c r="S17" s="775"/>
      <c r="T17" s="774"/>
      <c r="U17" s="775"/>
      <c r="V17" s="774"/>
      <c r="W17" s="775"/>
      <c r="X17" s="1813"/>
      <c r="Y17" s="3157"/>
      <c r="Z17" s="1814"/>
      <c r="AA17" s="1811">
        <v>1</v>
      </c>
      <c r="AB17" s="1811">
        <v>1</v>
      </c>
      <c r="AC17" s="1811">
        <v>1</v>
      </c>
    </row>
    <row r="18" spans="1:29" ht="28.5">
      <c r="A18" s="428"/>
      <c r="B18" s="1384"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7"/>
      <c r="Q18" s="1810" t="str">
        <f>B18</f>
        <v>基础设施水平</v>
      </c>
      <c r="R18" s="774" t="s">
        <v>17</v>
      </c>
      <c r="S18" s="775">
        <f>F18</f>
        <v>100</v>
      </c>
      <c r="T18" s="774" t="s">
        <v>17</v>
      </c>
      <c r="U18" s="775">
        <f>H18</f>
        <v>100</v>
      </c>
      <c r="V18" s="774" t="s">
        <v>17</v>
      </c>
      <c r="W18" s="775">
        <f>J18</f>
        <v>100</v>
      </c>
      <c r="X18" s="1813"/>
      <c r="Y18" s="3157"/>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57"/>
      <c r="Q19" s="1810"/>
      <c r="R19" s="774"/>
      <c r="S19" s="775"/>
      <c r="T19" s="774"/>
      <c r="U19" s="775"/>
      <c r="V19" s="774"/>
      <c r="W19" s="775"/>
      <c r="X19" s="1813"/>
      <c r="Y19" s="3157"/>
      <c r="Z19" s="1814"/>
      <c r="AA19" s="1811">
        <v>1</v>
      </c>
      <c r="AB19" s="1811">
        <v>1</v>
      </c>
      <c r="AC19" s="1811">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7"/>
      <c r="Q20" s="1810" t="str">
        <f>B20</f>
        <v>自然及人文环境</v>
      </c>
      <c r="R20" s="774" t="s">
        <v>17</v>
      </c>
      <c r="S20" s="775">
        <f>F20</f>
        <v>100</v>
      </c>
      <c r="T20" s="774" t="s">
        <v>17</v>
      </c>
      <c r="U20" s="775">
        <f>H20</f>
        <v>100</v>
      </c>
      <c r="V20" s="774" t="s">
        <v>17</v>
      </c>
      <c r="W20" s="775">
        <f>J20</f>
        <v>100</v>
      </c>
      <c r="X20" s="1813"/>
      <c r="Y20" s="315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7"/>
      <c r="Q21" s="1810"/>
      <c r="R21" s="774"/>
      <c r="S21" s="775"/>
      <c r="T21" s="774"/>
      <c r="U21" s="775"/>
      <c r="V21" s="774"/>
      <c r="W21" s="775"/>
      <c r="X21" s="1813"/>
      <c r="Y21" s="3157"/>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7"/>
      <c r="Q22" s="1810" t="str">
        <f>B22</f>
        <v>楼层</v>
      </c>
      <c r="R22" s="774" t="s">
        <v>17</v>
      </c>
      <c r="S22" s="775">
        <f>F22</f>
        <v>100</v>
      </c>
      <c r="T22" s="774" t="s">
        <v>17</v>
      </c>
      <c r="U22" s="775">
        <f>H22</f>
        <v>100</v>
      </c>
      <c r="V22" s="774" t="s">
        <v>17</v>
      </c>
      <c r="W22" s="775">
        <f>J22</f>
        <v>100</v>
      </c>
      <c r="X22" s="1813"/>
      <c r="Y22" s="3157"/>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7"/>
      <c r="Q23" s="1810">
        <f>B23</f>
        <v>111</v>
      </c>
      <c r="R23" s="774" t="s">
        <v>17</v>
      </c>
      <c r="S23" s="775">
        <f>F23</f>
        <v>100</v>
      </c>
      <c r="T23" s="774" t="s">
        <v>17</v>
      </c>
      <c r="U23" s="775">
        <f>H23</f>
        <v>100</v>
      </c>
      <c r="V23" s="774" t="s">
        <v>17</v>
      </c>
      <c r="W23" s="775">
        <f>J23</f>
        <v>100</v>
      </c>
      <c r="X23" s="1813"/>
      <c r="Y23" s="3157"/>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7"/>
      <c r="Q24" s="1810">
        <f t="shared" ref="Q24:Q34" si="11">B24</f>
        <v>111</v>
      </c>
      <c r="R24" s="774" t="s">
        <v>17</v>
      </c>
      <c r="S24" s="775">
        <f>F24</f>
        <v>100</v>
      </c>
      <c r="T24" s="774" t="s">
        <v>17</v>
      </c>
      <c r="U24" s="775">
        <f>H24</f>
        <v>100</v>
      </c>
      <c r="V24" s="774" t="s">
        <v>17</v>
      </c>
      <c r="W24" s="775">
        <f>J24</f>
        <v>100</v>
      </c>
      <c r="X24" s="1813"/>
      <c r="Y24" s="3157"/>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57"/>
      <c r="Q25" s="1795">
        <f t="shared" si="11"/>
        <v>111</v>
      </c>
      <c r="R25" s="770" t="s">
        <v>17</v>
      </c>
      <c r="S25" s="771">
        <f>F25</f>
        <v>100</v>
      </c>
      <c r="T25" s="770" t="s">
        <v>17</v>
      </c>
      <c r="U25" s="771">
        <f>H25</f>
        <v>100</v>
      </c>
      <c r="V25" s="770" t="s">
        <v>17</v>
      </c>
      <c r="W25" s="771">
        <f>J25</f>
        <v>100</v>
      </c>
      <c r="X25" s="772"/>
      <c r="Y25" s="3157"/>
      <c r="Z25" s="55">
        <f>Q25</f>
        <v>111</v>
      </c>
      <c r="AA25" s="1811">
        <f>D25/F25</f>
        <v>1</v>
      </c>
      <c r="AB25" s="1811">
        <f>D25/H25</f>
        <v>1</v>
      </c>
      <c r="AC25" s="1811">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158"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9"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9"/>
      <c r="Q27" s="776" t="str">
        <f t="shared" si="11"/>
        <v>成新率</v>
      </c>
      <c r="R27" s="777" t="s">
        <v>17</v>
      </c>
      <c r="S27" s="778" t="e">
        <f t="shared" si="12"/>
        <v>#N/A</v>
      </c>
      <c r="T27" s="777" t="s">
        <v>17</v>
      </c>
      <c r="U27" s="778" t="e">
        <f t="shared" si="13"/>
        <v>#N/A</v>
      </c>
      <c r="V27" s="777" t="s">
        <v>17</v>
      </c>
      <c r="W27" s="778" t="e">
        <f t="shared" si="14"/>
        <v>#N/A</v>
      </c>
      <c r="X27" s="779"/>
      <c r="Y27" s="3159"/>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9"/>
      <c r="Q28" s="1810" t="str">
        <f t="shared" si="11"/>
        <v>物业等级</v>
      </c>
      <c r="R28" s="774" t="s">
        <v>17</v>
      </c>
      <c r="S28" s="775">
        <f t="shared" si="12"/>
        <v>100</v>
      </c>
      <c r="T28" s="774" t="s">
        <v>17</v>
      </c>
      <c r="U28" s="775">
        <f t="shared" si="13"/>
        <v>100</v>
      </c>
      <c r="V28" s="774" t="s">
        <v>17</v>
      </c>
      <c r="W28" s="775">
        <f t="shared" si="14"/>
        <v>100</v>
      </c>
      <c r="X28" s="1813"/>
      <c r="Y28" s="3159"/>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9"/>
      <c r="Q29" s="1810" t="str">
        <f t="shared" si="11"/>
        <v>有无电梯</v>
      </c>
      <c r="R29" s="774" t="s">
        <v>17</v>
      </c>
      <c r="S29" s="775">
        <f t="shared" si="12"/>
        <v>100</v>
      </c>
      <c r="T29" s="774" t="s">
        <v>17</v>
      </c>
      <c r="U29" s="775">
        <f t="shared" si="13"/>
        <v>100</v>
      </c>
      <c r="V29" s="774" t="s">
        <v>17</v>
      </c>
      <c r="W29" s="775">
        <f t="shared" si="14"/>
        <v>100</v>
      </c>
      <c r="X29" s="1813"/>
      <c r="Y29" s="3159"/>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9"/>
      <c r="Q30" s="1810" t="str">
        <f t="shared" si="11"/>
        <v>建筑面积</v>
      </c>
      <c r="R30" s="774" t="s">
        <v>17</v>
      </c>
      <c r="S30" s="775" t="e">
        <f t="shared" si="12"/>
        <v>#N/A</v>
      </c>
      <c r="T30" s="774" t="s">
        <v>17</v>
      </c>
      <c r="U30" s="775" t="e">
        <f t="shared" si="13"/>
        <v>#N/A</v>
      </c>
      <c r="V30" s="774" t="s">
        <v>17</v>
      </c>
      <c r="W30" s="775" t="e">
        <f t="shared" si="14"/>
        <v>#N/A</v>
      </c>
      <c r="X30" s="1813"/>
      <c r="Y30" s="3159"/>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9"/>
      <c r="Q31" s="1795" t="str">
        <f t="shared" si="11"/>
        <v>是否封闭</v>
      </c>
      <c r="R31" s="770" t="s">
        <v>17</v>
      </c>
      <c r="S31" s="771">
        <f t="shared" si="12"/>
        <v>100</v>
      </c>
      <c r="T31" s="770" t="s">
        <v>17</v>
      </c>
      <c r="U31" s="771">
        <f t="shared" si="13"/>
        <v>100</v>
      </c>
      <c r="V31" s="770" t="s">
        <v>17</v>
      </c>
      <c r="W31" s="771">
        <f t="shared" si="14"/>
        <v>100</v>
      </c>
      <c r="X31" s="772"/>
      <c r="Y31" s="315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9" t="s">
        <v>2564</v>
      </c>
      <c r="Q32" s="1810">
        <f t="shared" si="11"/>
        <v>111</v>
      </c>
      <c r="R32" s="774" t="s">
        <v>17</v>
      </c>
      <c r="S32" s="775">
        <f t="shared" si="12"/>
        <v>100</v>
      </c>
      <c r="T32" s="774" t="s">
        <v>17</v>
      </c>
      <c r="U32" s="775">
        <f t="shared" si="13"/>
        <v>100</v>
      </c>
      <c r="V32" s="774" t="s">
        <v>17</v>
      </c>
      <c r="W32" s="775">
        <f t="shared" si="14"/>
        <v>100</v>
      </c>
      <c r="X32" s="1813"/>
      <c r="Y32" s="3159" t="s">
        <v>2564</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9"/>
      <c r="Q33" s="1810">
        <f t="shared" si="11"/>
        <v>111</v>
      </c>
      <c r="R33" s="774" t="s">
        <v>17</v>
      </c>
      <c r="S33" s="775">
        <f t="shared" si="12"/>
        <v>100</v>
      </c>
      <c r="T33" s="774" t="s">
        <v>17</v>
      </c>
      <c r="U33" s="775">
        <f t="shared" si="13"/>
        <v>100</v>
      </c>
      <c r="V33" s="774" t="s">
        <v>17</v>
      </c>
      <c r="W33" s="775">
        <f t="shared" si="14"/>
        <v>100</v>
      </c>
      <c r="X33" s="1813"/>
      <c r="Y33" s="315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59"/>
      <c r="Q34" s="1810">
        <f t="shared" si="11"/>
        <v>111</v>
      </c>
      <c r="R34" s="774" t="s">
        <v>17</v>
      </c>
      <c r="S34" s="775">
        <f t="shared" si="12"/>
        <v>100</v>
      </c>
      <c r="T34" s="774" t="s">
        <v>17</v>
      </c>
      <c r="U34" s="775">
        <f t="shared" si="13"/>
        <v>100</v>
      </c>
      <c r="V34" s="774" t="s">
        <v>17</v>
      </c>
      <c r="W34" s="775">
        <f t="shared" si="14"/>
        <v>100</v>
      </c>
      <c r="X34" s="1813"/>
      <c r="Y34" s="3159"/>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51" t="str">
        <f>A35</f>
        <v>成交单价（元/平方米）</v>
      </c>
      <c r="Q35" s="3151"/>
      <c r="R35" s="3152">
        <f>E35</f>
        <v>0</v>
      </c>
      <c r="S35" s="3152"/>
      <c r="T35" s="3152">
        <f>G35</f>
        <v>0</v>
      </c>
      <c r="U35" s="3152"/>
      <c r="V35" s="3152">
        <f>I35</f>
        <v>0</v>
      </c>
      <c r="W35" s="3152"/>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51" t="str">
        <f>A36</f>
        <v>比较价值（元/平方米）</v>
      </c>
      <c r="Q36" s="3151"/>
      <c r="R36" s="3152" t="e">
        <f>IF(F1="售价",ROUND(PRODUCT(R35,AA7:AA34),0),ROUND(PRODUCT(R35,AA7:AA34),1))</f>
        <v>#DIV/0!</v>
      </c>
      <c r="S36" s="3152"/>
      <c r="T36" s="3152" t="e">
        <f>IF(F1="售价",ROUND(PRODUCT(T35,AB7:AB34),0),ROUND(PRODUCT(T35,AB7:AB34),1))</f>
        <v>#DIV/0!</v>
      </c>
      <c r="U36" s="3152"/>
      <c r="V36" s="3152" t="e">
        <f>IF(F1="售价",ROUND(PRODUCT(V35,AC7:AC34),0),ROUND(PRODUCT(V35,AC7:AC34),1))</f>
        <v>#DIV/0!</v>
      </c>
      <c r="W36" s="3152"/>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62" t="s">
        <v>2647</v>
      </c>
      <c r="AC4" s="3161" t="s">
        <v>2648</v>
      </c>
    </row>
    <row r="5" spans="1:30"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62"/>
      <c r="AC5" s="3162"/>
    </row>
    <row r="6" spans="1:30" ht="15.75" thickBot="1">
      <c r="A6" s="406"/>
      <c r="B6" s="407"/>
      <c r="C6" s="3181" t="s">
        <v>2545</v>
      </c>
      <c r="D6" s="3182"/>
      <c r="E6" s="3188" t="s">
        <v>2545</v>
      </c>
      <c r="F6" s="3189"/>
      <c r="G6" s="3181" t="s">
        <v>2545</v>
      </c>
      <c r="H6" s="3182"/>
      <c r="I6" s="3181" t="s">
        <v>2545</v>
      </c>
      <c r="J6" s="3182"/>
      <c r="K6" s="610" t="s">
        <v>2546</v>
      </c>
      <c r="L6" s="1130"/>
      <c r="M6" s="1131"/>
      <c r="N6" s="1131"/>
      <c r="O6" s="1131"/>
      <c r="P6" s="3172"/>
      <c r="Q6" s="3173"/>
      <c r="R6" s="3176"/>
      <c r="S6" s="3177"/>
      <c r="T6" s="3178"/>
      <c r="U6" s="3179"/>
      <c r="V6" s="3180"/>
      <c r="W6" s="3180"/>
      <c r="X6" s="1813"/>
      <c r="Y6" s="3178"/>
      <c r="Z6" s="3179"/>
      <c r="AA6" s="3163"/>
      <c r="AB6" s="3163"/>
      <c r="AC6" s="3163"/>
    </row>
    <row r="7" spans="1:30" s="117" customFormat="1" ht="15.75" thickBot="1">
      <c r="A7" s="408" t="s">
        <v>2547</v>
      </c>
      <c r="B7" s="409"/>
      <c r="C7" s="410">
        <f>'数据-取费表'!B2</f>
        <v>43718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85" t="s">
        <v>2548</v>
      </c>
      <c r="Q7" s="3187"/>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51"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51"/>
      <c r="Q10" s="1795" t="str">
        <f t="shared" si="6"/>
        <v>土地使用年限（年）</v>
      </c>
      <c r="R10" s="770" t="s">
        <v>17</v>
      </c>
      <c r="S10" s="771">
        <f t="shared" si="0"/>
        <v>110</v>
      </c>
      <c r="T10" s="770" t="s">
        <v>17</v>
      </c>
      <c r="U10" s="771">
        <f t="shared" si="1"/>
        <v>110</v>
      </c>
      <c r="V10" s="770" t="s">
        <v>17</v>
      </c>
      <c r="W10" s="771">
        <f t="shared" si="2"/>
        <v>110</v>
      </c>
      <c r="X10" s="772"/>
      <c r="Y10" s="3006"/>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1"/>
      <c r="Q12" s="1795"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2558</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6" t="s">
        <v>2559</v>
      </c>
      <c r="Q15" s="1810" t="str">
        <f t="shared" si="6"/>
        <v>居住社区成熟度</v>
      </c>
      <c r="R15" s="774" t="s">
        <v>17</v>
      </c>
      <c r="S15" s="775">
        <f t="shared" si="0"/>
        <v>100</v>
      </c>
      <c r="T15" s="774" t="s">
        <v>17</v>
      </c>
      <c r="U15" s="775">
        <f t="shared" si="1"/>
        <v>100</v>
      </c>
      <c r="V15" s="774" t="s">
        <v>17</v>
      </c>
      <c r="W15" s="775">
        <f t="shared" si="2"/>
        <v>100</v>
      </c>
      <c r="X15" s="1813"/>
      <c r="Y15" s="3156" t="s">
        <v>2559</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57"/>
      <c r="Q16" s="1810"/>
      <c r="R16" s="774"/>
      <c r="S16" s="775"/>
      <c r="T16" s="774"/>
      <c r="U16" s="775"/>
      <c r="V16" s="774"/>
      <c r="W16" s="775"/>
      <c r="X16" s="1813"/>
      <c r="Y16" s="3157"/>
      <c r="Z16" s="1814"/>
      <c r="AA16" s="1811">
        <v>1</v>
      </c>
      <c r="AB16" s="1811">
        <v>1</v>
      </c>
      <c r="AC16" s="1811">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7"/>
      <c r="Q17" s="1810" t="str">
        <f>B17</f>
        <v>商业繁华度</v>
      </c>
      <c r="R17" s="774" t="s">
        <v>17</v>
      </c>
      <c r="S17" s="775">
        <f>F17</f>
        <v>100</v>
      </c>
      <c r="T17" s="774" t="s">
        <v>17</v>
      </c>
      <c r="U17" s="775">
        <f>H17</f>
        <v>100</v>
      </c>
      <c r="V17" s="774" t="s">
        <v>17</v>
      </c>
      <c r="W17" s="775">
        <f>J17</f>
        <v>100</v>
      </c>
      <c r="X17" s="1813"/>
      <c r="Y17" s="3157"/>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57"/>
      <c r="Q18" s="1810"/>
      <c r="R18" s="774"/>
      <c r="S18" s="775"/>
      <c r="T18" s="774"/>
      <c r="U18" s="775"/>
      <c r="V18" s="774"/>
      <c r="W18" s="775"/>
      <c r="X18" s="1813"/>
      <c r="Y18" s="3157"/>
      <c r="Z18" s="1814"/>
      <c r="AA18" s="1811">
        <v>1</v>
      </c>
      <c r="AB18" s="1811">
        <v>1</v>
      </c>
      <c r="AC18" s="1811">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7"/>
      <c r="Q19" s="1810" t="str">
        <f>B19</f>
        <v>办公集聚程度</v>
      </c>
      <c r="R19" s="774" t="s">
        <v>17</v>
      </c>
      <c r="S19" s="775">
        <f>F19</f>
        <v>100</v>
      </c>
      <c r="T19" s="774" t="s">
        <v>17</v>
      </c>
      <c r="U19" s="775">
        <f>H19</f>
        <v>100</v>
      </c>
      <c r="V19" s="774" t="s">
        <v>17</v>
      </c>
      <c r="W19" s="775">
        <f>J19</f>
        <v>100</v>
      </c>
      <c r="X19" s="1813"/>
      <c r="Y19" s="3157"/>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57"/>
      <c r="Q20" s="1810"/>
      <c r="R20" s="774"/>
      <c r="S20" s="775"/>
      <c r="T20" s="774"/>
      <c r="U20" s="775"/>
      <c r="V20" s="774"/>
      <c r="W20" s="775"/>
      <c r="X20" s="1813"/>
      <c r="Y20" s="3157"/>
      <c r="Z20" s="1814"/>
      <c r="AA20" s="1811">
        <v>1</v>
      </c>
      <c r="AB20" s="1811">
        <v>1</v>
      </c>
      <c r="AC20" s="1811">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7"/>
      <c r="Q21" s="1810" t="str">
        <f>B21</f>
        <v>交通便捷度</v>
      </c>
      <c r="R21" s="774" t="s">
        <v>17</v>
      </c>
      <c r="S21" s="775">
        <f>F21</f>
        <v>100</v>
      </c>
      <c r="T21" s="774" t="s">
        <v>17</v>
      </c>
      <c r="U21" s="775">
        <f>H21</f>
        <v>100</v>
      </c>
      <c r="V21" s="774" t="s">
        <v>17</v>
      </c>
      <c r="W21" s="775">
        <f>J21</f>
        <v>100</v>
      </c>
      <c r="X21" s="1813"/>
      <c r="Y21" s="3157"/>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57"/>
      <c r="Q22" s="1810"/>
      <c r="R22" s="774"/>
      <c r="S22" s="775"/>
      <c r="T22" s="774"/>
      <c r="U22" s="775"/>
      <c r="V22" s="774"/>
      <c r="W22" s="775"/>
      <c r="X22" s="1813"/>
      <c r="Y22" s="3157"/>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7"/>
      <c r="Q23" s="1810" t="str">
        <f t="shared" ref="Q23:Q37" si="8">B23</f>
        <v>区域土地利用方向</v>
      </c>
      <c r="R23" s="774" t="s">
        <v>17</v>
      </c>
      <c r="S23" s="775">
        <f>F23</f>
        <v>100</v>
      </c>
      <c r="T23" s="774" t="s">
        <v>17</v>
      </c>
      <c r="U23" s="775">
        <f>H23</f>
        <v>100</v>
      </c>
      <c r="V23" s="774" t="s">
        <v>17</v>
      </c>
      <c r="W23" s="775">
        <f>J23</f>
        <v>100</v>
      </c>
      <c r="X23" s="1813"/>
      <c r="Y23" s="3157"/>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57"/>
      <c r="Q24" s="1810"/>
      <c r="R24" s="774"/>
      <c r="S24" s="775"/>
      <c r="T24" s="774"/>
      <c r="U24" s="775"/>
      <c r="V24" s="774"/>
      <c r="W24" s="775"/>
      <c r="X24" s="1813"/>
      <c r="Y24" s="3157"/>
      <c r="Z24" s="1814"/>
      <c r="AA24" s="1811"/>
      <c r="AB24" s="1811"/>
      <c r="AC24" s="1811"/>
    </row>
    <row r="25" spans="1:29" ht="57">
      <c r="A25" s="404"/>
      <c r="B25" s="1384"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7"/>
      <c r="Q25" s="1810" t="str">
        <f t="shared" si="8"/>
        <v>自然及人文环境状况</v>
      </c>
      <c r="R25" s="774" t="s">
        <v>17</v>
      </c>
      <c r="S25" s="775">
        <f>F25</f>
        <v>100</v>
      </c>
      <c r="T25" s="774" t="s">
        <v>17</v>
      </c>
      <c r="U25" s="775">
        <f>H25</f>
        <v>100</v>
      </c>
      <c r="V25" s="774" t="s">
        <v>17</v>
      </c>
      <c r="W25" s="775">
        <f>J25</f>
        <v>100</v>
      </c>
      <c r="X25" s="1813"/>
      <c r="Y25" s="3157"/>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57"/>
      <c r="Q26" s="1810"/>
      <c r="R26" s="774"/>
      <c r="S26" s="775"/>
      <c r="T26" s="774"/>
      <c r="U26" s="775"/>
      <c r="V26" s="774"/>
      <c r="W26" s="775"/>
      <c r="X26" s="1813"/>
      <c r="Y26" s="3157"/>
      <c r="Z26" s="1814"/>
      <c r="AA26" s="1811">
        <v>1</v>
      </c>
      <c r="AB26" s="1811">
        <v>1</v>
      </c>
      <c r="AC26" s="1811">
        <v>1</v>
      </c>
    </row>
    <row r="27" spans="1:29" s="117" customFormat="1" ht="42.75">
      <c r="A27" s="649"/>
      <c r="B27" s="1384"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7"/>
      <c r="Q27" s="1795" t="str">
        <f t="shared" si="8"/>
        <v>公共配套设施</v>
      </c>
      <c r="R27" s="770" t="s">
        <v>17</v>
      </c>
      <c r="S27" s="771">
        <f>F27</f>
        <v>100</v>
      </c>
      <c r="T27" s="770" t="s">
        <v>17</v>
      </c>
      <c r="U27" s="771">
        <f>H27</f>
        <v>100</v>
      </c>
      <c r="V27" s="770" t="s">
        <v>17</v>
      </c>
      <c r="W27" s="771">
        <f>J27</f>
        <v>100</v>
      </c>
      <c r="X27" s="772"/>
      <c r="Y27" s="3157"/>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57"/>
      <c r="Q28" s="1795"/>
      <c r="R28" s="770"/>
      <c r="S28" s="771"/>
      <c r="T28" s="770"/>
      <c r="U28" s="771"/>
      <c r="V28" s="770"/>
      <c r="W28" s="771"/>
      <c r="X28" s="772"/>
      <c r="Y28" s="3157"/>
      <c r="Z28" s="55"/>
      <c r="AA28" s="1811">
        <v>1</v>
      </c>
      <c r="AB28" s="1811">
        <v>1</v>
      </c>
      <c r="AC28" s="1811">
        <v>1</v>
      </c>
    </row>
    <row r="29" spans="1:29" s="117" customFormat="1" ht="28.5">
      <c r="A29" s="649"/>
      <c r="B29" s="1384"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7"/>
      <c r="Q29" s="1795"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57"/>
      <c r="Q30" s="1795"/>
      <c r="R30" s="770"/>
      <c r="S30" s="771"/>
      <c r="T30" s="770"/>
      <c r="U30" s="771"/>
      <c r="V30" s="770"/>
      <c r="W30" s="771"/>
      <c r="X30" s="772"/>
      <c r="Y30" s="3157"/>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7"/>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7"/>
      <c r="Q32" s="1810" t="str">
        <f t="shared" si="8"/>
        <v>毗邻道路的类型与等级</v>
      </c>
      <c r="R32" s="774" t="s">
        <v>17</v>
      </c>
      <c r="S32" s="775">
        <f t="shared" si="10"/>
        <v>100</v>
      </c>
      <c r="T32" s="774" t="s">
        <v>17</v>
      </c>
      <c r="U32" s="775">
        <f t="shared" si="11"/>
        <v>100</v>
      </c>
      <c r="V32" s="774" t="s">
        <v>17</v>
      </c>
      <c r="W32" s="775">
        <f t="shared" si="12"/>
        <v>100</v>
      </c>
      <c r="X32" s="1813"/>
      <c r="Y32" s="3157"/>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57"/>
      <c r="Q33" s="1810"/>
      <c r="R33" s="774"/>
      <c r="S33" s="775"/>
      <c r="T33" s="774"/>
      <c r="U33" s="775"/>
      <c r="V33" s="774"/>
      <c r="W33" s="775"/>
      <c r="X33" s="1813"/>
      <c r="Y33" s="3157"/>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7"/>
      <c r="Q34" s="1810" t="str">
        <f t="shared" si="8"/>
        <v>土地级别</v>
      </c>
      <c r="R34" s="774" t="s">
        <v>17</v>
      </c>
      <c r="S34" s="775">
        <f t="shared" si="10"/>
        <v>100</v>
      </c>
      <c r="T34" s="774" t="s">
        <v>17</v>
      </c>
      <c r="U34" s="775">
        <f t="shared" si="11"/>
        <v>100</v>
      </c>
      <c r="V34" s="774" t="s">
        <v>17</v>
      </c>
      <c r="W34" s="775">
        <f t="shared" si="12"/>
        <v>100</v>
      </c>
      <c r="X34" s="1813"/>
      <c r="Y34" s="315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7"/>
      <c r="Q35" s="1810">
        <f t="shared" si="8"/>
        <v>111</v>
      </c>
      <c r="R35" s="774" t="s">
        <v>17</v>
      </c>
      <c r="S35" s="775">
        <f t="shared" si="10"/>
        <v>100</v>
      </c>
      <c r="T35" s="774" t="s">
        <v>17</v>
      </c>
      <c r="U35" s="775">
        <f t="shared" si="11"/>
        <v>100</v>
      </c>
      <c r="V35" s="774" t="s">
        <v>17</v>
      </c>
      <c r="W35" s="775">
        <f t="shared" si="12"/>
        <v>100</v>
      </c>
      <c r="X35" s="1813"/>
      <c r="Y35" s="315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8" t="s">
        <v>2564</v>
      </c>
      <c r="Q36" s="1810">
        <f t="shared" si="8"/>
        <v>111</v>
      </c>
      <c r="R36" s="774" t="s">
        <v>17</v>
      </c>
      <c r="S36" s="775">
        <f t="shared" si="10"/>
        <v>100</v>
      </c>
      <c r="T36" s="774" t="s">
        <v>17</v>
      </c>
      <c r="U36" s="775">
        <f t="shared" si="11"/>
        <v>100</v>
      </c>
      <c r="V36" s="774" t="s">
        <v>17</v>
      </c>
      <c r="W36" s="775">
        <f t="shared" si="12"/>
        <v>100</v>
      </c>
      <c r="X36" s="1813"/>
      <c r="Y36" s="3159"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9"/>
      <c r="Q37" s="1810">
        <f t="shared" si="8"/>
        <v>111</v>
      </c>
      <c r="R37" s="777" t="s">
        <v>17</v>
      </c>
      <c r="S37" s="778">
        <f t="shared" si="10"/>
        <v>100</v>
      </c>
      <c r="T37" s="777" t="s">
        <v>17</v>
      </c>
      <c r="U37" s="778">
        <f t="shared" si="11"/>
        <v>100</v>
      </c>
      <c r="V37" s="777" t="s">
        <v>17</v>
      </c>
      <c r="W37" s="778">
        <f t="shared" si="12"/>
        <v>100</v>
      </c>
      <c r="X37" s="779"/>
      <c r="Y37" s="3159"/>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9"/>
      <c r="Q38" s="1810" t="str">
        <f>B38</f>
        <v>宗地面积</v>
      </c>
      <c r="R38" s="774" t="s">
        <v>17</v>
      </c>
      <c r="S38" s="775" t="e">
        <f t="shared" si="10"/>
        <v>#N/A</v>
      </c>
      <c r="T38" s="774" t="s">
        <v>17</v>
      </c>
      <c r="U38" s="775" t="e">
        <f t="shared" si="11"/>
        <v>#N/A</v>
      </c>
      <c r="V38" s="774" t="s">
        <v>17</v>
      </c>
      <c r="W38" s="775" t="e">
        <f t="shared" si="12"/>
        <v>#N/A</v>
      </c>
      <c r="X38" s="1813"/>
      <c r="Y38" s="3159"/>
      <c r="Z38" s="1814" t="str">
        <f t="shared" si="13"/>
        <v>宗地面积</v>
      </c>
      <c r="AA38" s="1811" t="e">
        <f t="shared" si="3"/>
        <v>#N/A</v>
      </c>
      <c r="AB38" s="1811" t="e">
        <f t="shared" si="4"/>
        <v>#N/A</v>
      </c>
      <c r="AC38" s="1811"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59"/>
      <c r="Q39" s="1810" t="str">
        <f t="shared" ref="Q39:Q45" si="14">B39</f>
        <v>宗地形状</v>
      </c>
      <c r="R39" s="774" t="s">
        <v>17</v>
      </c>
      <c r="S39" s="775">
        <f t="shared" si="10"/>
        <v>100</v>
      </c>
      <c r="T39" s="774" t="s">
        <v>17</v>
      </c>
      <c r="U39" s="775">
        <f t="shared" si="11"/>
        <v>100</v>
      </c>
      <c r="V39" s="774" t="s">
        <v>17</v>
      </c>
      <c r="W39" s="775">
        <f t="shared" si="12"/>
        <v>100</v>
      </c>
      <c r="X39" s="1813"/>
      <c r="Y39" s="3159"/>
      <c r="Z39" s="1814" t="str">
        <f t="shared" si="13"/>
        <v>宗地形状</v>
      </c>
      <c r="AA39" s="1811">
        <f t="shared" si="3"/>
        <v>1</v>
      </c>
      <c r="AB39" s="1811">
        <f t="shared" si="4"/>
        <v>1</v>
      </c>
      <c r="AC39" s="1811">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59"/>
      <c r="Q40" s="1810" t="str">
        <f t="shared" si="14"/>
        <v>临街宽度及深度</v>
      </c>
      <c r="R40" s="774" t="s">
        <v>17</v>
      </c>
      <c r="S40" s="775">
        <f t="shared" si="10"/>
        <v>100</v>
      </c>
      <c r="T40" s="774" t="s">
        <v>17</v>
      </c>
      <c r="U40" s="775">
        <f t="shared" si="11"/>
        <v>100</v>
      </c>
      <c r="V40" s="774" t="s">
        <v>17</v>
      </c>
      <c r="W40" s="775">
        <f t="shared" si="12"/>
        <v>100</v>
      </c>
      <c r="X40" s="1813"/>
      <c r="Y40" s="3159"/>
      <c r="Z40" s="1814" t="str">
        <f t="shared" si="13"/>
        <v>临街宽度及深度</v>
      </c>
      <c r="AA40" s="1811">
        <f t="shared" si="3"/>
        <v>1</v>
      </c>
      <c r="AB40" s="1811">
        <f t="shared" si="4"/>
        <v>1</v>
      </c>
      <c r="AC40" s="1811">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59"/>
      <c r="Q41" s="1810" t="str">
        <f t="shared" si="14"/>
        <v>宗地开发程度</v>
      </c>
      <c r="R41" s="770" t="s">
        <v>17</v>
      </c>
      <c r="S41" s="771">
        <f t="shared" si="10"/>
        <v>100</v>
      </c>
      <c r="T41" s="770" t="s">
        <v>17</v>
      </c>
      <c r="U41" s="771">
        <f t="shared" si="11"/>
        <v>100</v>
      </c>
      <c r="V41" s="770" t="s">
        <v>17</v>
      </c>
      <c r="W41" s="771">
        <f t="shared" si="12"/>
        <v>100</v>
      </c>
      <c r="X41" s="772"/>
      <c r="Y41" s="3159"/>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59" t="s">
        <v>2564</v>
      </c>
      <c r="Q42" s="1810" t="str">
        <f t="shared" si="14"/>
        <v>工程地质条件</v>
      </c>
      <c r="R42" s="774" t="s">
        <v>17</v>
      </c>
      <c r="S42" s="775">
        <f t="shared" si="10"/>
        <v>100</v>
      </c>
      <c r="T42" s="774" t="s">
        <v>17</v>
      </c>
      <c r="U42" s="775">
        <f t="shared" si="11"/>
        <v>100</v>
      </c>
      <c r="V42" s="774" t="s">
        <v>17</v>
      </c>
      <c r="W42" s="775">
        <f t="shared" si="12"/>
        <v>100</v>
      </c>
      <c r="X42" s="1813"/>
      <c r="Y42" s="3159"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9"/>
      <c r="Q43" s="1810">
        <f t="shared" si="14"/>
        <v>111</v>
      </c>
      <c r="R43" s="774" t="s">
        <v>17</v>
      </c>
      <c r="S43" s="775">
        <f t="shared" si="10"/>
        <v>100</v>
      </c>
      <c r="T43" s="774" t="s">
        <v>17</v>
      </c>
      <c r="U43" s="775">
        <f t="shared" si="11"/>
        <v>100</v>
      </c>
      <c r="V43" s="774" t="s">
        <v>17</v>
      </c>
      <c r="W43" s="775">
        <f t="shared" si="12"/>
        <v>100</v>
      </c>
      <c r="X43" s="1813"/>
      <c r="Y43" s="315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9"/>
      <c r="Q44" s="1810">
        <f t="shared" si="14"/>
        <v>111</v>
      </c>
      <c r="R44" s="774" t="s">
        <v>17</v>
      </c>
      <c r="S44" s="775">
        <f t="shared" si="10"/>
        <v>100</v>
      </c>
      <c r="T44" s="774" t="s">
        <v>17</v>
      </c>
      <c r="U44" s="775">
        <f t="shared" si="11"/>
        <v>100</v>
      </c>
      <c r="V44" s="774" t="s">
        <v>17</v>
      </c>
      <c r="W44" s="775">
        <f t="shared" si="12"/>
        <v>100</v>
      </c>
      <c r="X44" s="1813"/>
      <c r="Y44" s="315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9"/>
      <c r="Q45" s="1810">
        <f t="shared" si="14"/>
        <v>111</v>
      </c>
      <c r="R45" s="777" t="s">
        <v>17</v>
      </c>
      <c r="S45" s="778">
        <f t="shared" si="10"/>
        <v>100</v>
      </c>
      <c r="T45" s="777" t="s">
        <v>17</v>
      </c>
      <c r="U45" s="778">
        <f t="shared" si="11"/>
        <v>100</v>
      </c>
      <c r="V45" s="777" t="s">
        <v>17</v>
      </c>
      <c r="W45" s="778">
        <f t="shared" si="12"/>
        <v>100</v>
      </c>
      <c r="X45" s="779"/>
      <c r="Y45" s="3159"/>
      <c r="Z45" s="780">
        <f t="shared" si="13"/>
        <v>111</v>
      </c>
      <c r="AA45" s="1811">
        <f t="shared" si="3"/>
        <v>1</v>
      </c>
      <c r="AB45" s="1811">
        <f t="shared" si="4"/>
        <v>1</v>
      </c>
      <c r="AC45" s="1811">
        <f t="shared" si="5"/>
        <v>1</v>
      </c>
    </row>
    <row r="46" spans="1:29" ht="15">
      <c r="A46" s="479" t="s">
        <v>2719</v>
      </c>
      <c r="B46" s="2707" t="s">
        <v>2755</v>
      </c>
      <c r="C46" s="682" t="s">
        <v>1</v>
      </c>
      <c r="D46" s="481"/>
      <c r="E46" s="482"/>
      <c r="F46" s="483"/>
      <c r="G46" s="484"/>
      <c r="H46" s="485"/>
      <c r="I46" s="482"/>
      <c r="J46" s="485"/>
      <c r="K46" s="783"/>
      <c r="L46" s="1143"/>
      <c r="M46" s="1144"/>
      <c r="N46" s="1131"/>
      <c r="O46" s="1144"/>
      <c r="P46" s="3151" t="str">
        <f>A46</f>
        <v>成交单价</v>
      </c>
      <c r="Q46" s="3151"/>
      <c r="R46" s="3180">
        <f>E46</f>
        <v>0</v>
      </c>
      <c r="S46" s="3180"/>
      <c r="T46" s="3180">
        <f>G46</f>
        <v>0</v>
      </c>
      <c r="U46" s="3180"/>
      <c r="V46" s="3180">
        <f>I46</f>
        <v>0</v>
      </c>
      <c r="W46" s="318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51" t="str">
        <f>A47</f>
        <v>比较价值（元/平方米）</v>
      </c>
      <c r="Q47" s="3151"/>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53" t="str">
        <f>A48</f>
        <v>估价对象XX用房的比较价值（楼面单价，元/平方米）</v>
      </c>
      <c r="Q48" s="3154"/>
      <c r="R48" s="3241" t="e">
        <f>ROUND(AVERAGE(R47:V47),0)</f>
        <v>#DIV/0!</v>
      </c>
      <c r="S48" s="3241"/>
      <c r="T48" s="3241"/>
      <c r="U48" s="3241"/>
      <c r="V48" s="3241"/>
      <c r="W48" s="324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8" t="s">
        <v>2759</v>
      </c>
      <c r="D55" s="2709" t="s">
        <v>2760</v>
      </c>
      <c r="E55" s="686" t="s">
        <v>2761</v>
      </c>
      <c r="F55" s="1107" t="s">
        <v>2762</v>
      </c>
      <c r="G55" s="3164" t="s">
        <v>2763</v>
      </c>
      <c r="H55" s="3242"/>
      <c r="I55" s="144" t="s">
        <v>2764</v>
      </c>
      <c r="J55" s="2710">
        <f>项目基本情况!F35</f>
        <v>0</v>
      </c>
      <c r="K55" s="2711" t="s">
        <v>2765</v>
      </c>
      <c r="L55" s="1106"/>
      <c r="M55" s="1144"/>
      <c r="N55" s="1144"/>
      <c r="O55" s="1144"/>
    </row>
    <row r="56" spans="1:15" s="692" customFormat="1">
      <c r="A56" s="688" t="s">
        <v>2766</v>
      </c>
      <c r="B56" s="689" t="e">
        <f>C48</f>
        <v>#DIV/0!</v>
      </c>
      <c r="C56" s="690">
        <v>1</v>
      </c>
      <c r="D56" s="1163">
        <v>1</v>
      </c>
      <c r="E56" s="690">
        <f>'数据-汇总表'!E8+'数据-汇总表'!E9</f>
        <v>5775.17</v>
      </c>
      <c r="F56" s="1103" t="e">
        <f t="shared" ref="F56:F65" si="15">ROUND(B56*E56/10000,0)</f>
        <v>#DIV/0!</v>
      </c>
      <c r="G56" s="3224"/>
      <c r="H56" s="3151"/>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2"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2"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5775.17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4" t="s">
        <v>2781</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2782</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4" t="s">
        <v>2645</v>
      </c>
      <c r="D4" s="3165"/>
      <c r="E4" s="3166" t="s">
        <v>2646</v>
      </c>
      <c r="F4" s="3167"/>
      <c r="G4" s="3164" t="s">
        <v>2647</v>
      </c>
      <c r="H4" s="3165"/>
      <c r="I4" s="3164" t="s">
        <v>2648</v>
      </c>
      <c r="J4" s="3165"/>
      <c r="K4" s="610" t="s">
        <v>2649</v>
      </c>
      <c r="L4" s="1130"/>
      <c r="M4" s="1131"/>
      <c r="N4" s="1131"/>
      <c r="O4" s="1131"/>
      <c r="P4" s="3168" t="s">
        <v>2650</v>
      </c>
      <c r="Q4" s="3169"/>
      <c r="R4" s="3174" t="s">
        <v>2646</v>
      </c>
      <c r="S4" s="3175"/>
      <c r="T4" s="3174" t="s">
        <v>2647</v>
      </c>
      <c r="U4" s="3175"/>
      <c r="V4" s="3180" t="s">
        <v>2648</v>
      </c>
      <c r="W4" s="3180"/>
      <c r="X4" s="1813"/>
      <c r="Y4" s="3174" t="s">
        <v>2650</v>
      </c>
      <c r="Z4" s="3175"/>
      <c r="AA4" s="3161" t="s">
        <v>2646</v>
      </c>
      <c r="AB4" s="3162" t="s">
        <v>2647</v>
      </c>
      <c r="AC4" s="3161" t="s">
        <v>2648</v>
      </c>
    </row>
    <row r="5" spans="1:29" ht="15">
      <c r="A5" s="404"/>
      <c r="B5" s="405"/>
      <c r="C5" s="3183" t="s">
        <v>2541</v>
      </c>
      <c r="D5" s="3184"/>
      <c r="E5" s="3190" t="s">
        <v>2542</v>
      </c>
      <c r="F5" s="3191"/>
      <c r="G5" s="3183" t="s">
        <v>2543</v>
      </c>
      <c r="H5" s="3184"/>
      <c r="I5" s="3183" t="s">
        <v>2544</v>
      </c>
      <c r="J5" s="3184"/>
      <c r="K5" s="610"/>
      <c r="L5" s="1130"/>
      <c r="M5" s="1131"/>
      <c r="N5" s="1131"/>
      <c r="O5" s="1131"/>
      <c r="P5" s="3170"/>
      <c r="Q5" s="3171"/>
      <c r="R5" s="3176"/>
      <c r="S5" s="3177"/>
      <c r="T5" s="3176"/>
      <c r="U5" s="3177"/>
      <c r="V5" s="3180"/>
      <c r="W5" s="3180"/>
      <c r="X5" s="1813"/>
      <c r="Y5" s="3176"/>
      <c r="Z5" s="3177"/>
      <c r="AA5" s="3162"/>
      <c r="AB5" s="3162"/>
      <c r="AC5" s="3162"/>
    </row>
    <row r="6" spans="1:29" ht="15.75" thickBot="1">
      <c r="A6" s="406"/>
      <c r="B6" s="407"/>
      <c r="C6" s="3244" t="s">
        <v>2796</v>
      </c>
      <c r="D6" s="3245"/>
      <c r="E6" s="3246" t="s">
        <v>2796</v>
      </c>
      <c r="F6" s="3247"/>
      <c r="G6" s="3244" t="s">
        <v>2796</v>
      </c>
      <c r="H6" s="3245"/>
      <c r="I6" s="3244" t="s">
        <v>2796</v>
      </c>
      <c r="J6" s="3245"/>
      <c r="K6" s="610" t="s">
        <v>2546</v>
      </c>
      <c r="L6" s="1130"/>
      <c r="M6" s="1131"/>
      <c r="N6" s="1131"/>
      <c r="O6" s="1131"/>
      <c r="P6" s="3172"/>
      <c r="Q6" s="3173"/>
      <c r="R6" s="3176"/>
      <c r="S6" s="3177"/>
      <c r="T6" s="3178"/>
      <c r="U6" s="3179"/>
      <c r="V6" s="3180"/>
      <c r="W6" s="3180"/>
      <c r="X6" s="1813"/>
      <c r="Y6" s="3178"/>
      <c r="Z6" s="3179"/>
      <c r="AA6" s="3163"/>
      <c r="AB6" s="3163"/>
      <c r="AC6" s="3163"/>
    </row>
    <row r="7" spans="1:29" s="117" customFormat="1" ht="15.75" thickBot="1">
      <c r="A7" s="408" t="s">
        <v>2547</v>
      </c>
      <c r="B7" s="409"/>
      <c r="C7" s="410">
        <f>'数据-取费表'!B2</f>
        <v>43718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85" t="s">
        <v>2548</v>
      </c>
      <c r="Q7" s="3187"/>
      <c r="R7" s="770" t="s">
        <v>17</v>
      </c>
      <c r="S7" s="771">
        <f t="shared" ref="S7:S15" si="0">F7</f>
        <v>0</v>
      </c>
      <c r="T7" s="770" t="s">
        <v>17</v>
      </c>
      <c r="U7" s="771">
        <f t="shared" ref="U7:U15" si="1">H7</f>
        <v>0</v>
      </c>
      <c r="V7" s="770" t="s">
        <v>17</v>
      </c>
      <c r="W7" s="771">
        <f t="shared" ref="W7:W15" si="2">J7</f>
        <v>0</v>
      </c>
      <c r="X7" s="772"/>
      <c r="Y7" s="3185" t="s">
        <v>2548</v>
      </c>
      <c r="Z7" s="318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2551</v>
      </c>
      <c r="Q8" s="3186"/>
      <c r="R8" s="770" t="s">
        <v>17</v>
      </c>
      <c r="S8" s="771">
        <f t="shared" si="0"/>
        <v>0</v>
      </c>
      <c r="T8" s="770" t="s">
        <v>17</v>
      </c>
      <c r="U8" s="771">
        <f t="shared" si="1"/>
        <v>0</v>
      </c>
      <c r="V8" s="770" t="s">
        <v>17</v>
      </c>
      <c r="W8" s="771">
        <f t="shared" si="2"/>
        <v>0</v>
      </c>
      <c r="X8" s="772"/>
      <c r="Y8" s="3185" t="s">
        <v>2551</v>
      </c>
      <c r="Z8" s="3186"/>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51" t="s">
        <v>2554</v>
      </c>
      <c r="Q9" s="1795"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51"/>
      <c r="Q10" s="1795" t="str">
        <f t="shared" si="6"/>
        <v>土地使用年限（年）</v>
      </c>
      <c r="R10" s="770" t="s">
        <v>17</v>
      </c>
      <c r="S10" s="771">
        <f t="shared" si="0"/>
        <v>110</v>
      </c>
      <c r="T10" s="770" t="s">
        <v>17</v>
      </c>
      <c r="U10" s="771">
        <f t="shared" si="1"/>
        <v>110</v>
      </c>
      <c r="V10" s="770" t="s">
        <v>17</v>
      </c>
      <c r="W10" s="771">
        <f t="shared" si="2"/>
        <v>110</v>
      </c>
      <c r="X10" s="772"/>
      <c r="Y10" s="3006"/>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6" t="s">
        <v>2559</v>
      </c>
      <c r="Q15" s="1810" t="str">
        <f t="shared" si="6"/>
        <v>产业集聚程度</v>
      </c>
      <c r="R15" s="774" t="s">
        <v>17</v>
      </c>
      <c r="S15" s="775">
        <f t="shared" si="0"/>
        <v>100</v>
      </c>
      <c r="T15" s="774" t="s">
        <v>17</v>
      </c>
      <c r="U15" s="775">
        <f t="shared" si="1"/>
        <v>100</v>
      </c>
      <c r="V15" s="774" t="s">
        <v>17</v>
      </c>
      <c r="W15" s="775">
        <f t="shared" si="2"/>
        <v>100</v>
      </c>
      <c r="X15" s="1813"/>
      <c r="Y15" s="3156" t="s">
        <v>2559</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57"/>
      <c r="Q16" s="1810"/>
      <c r="R16" s="774"/>
      <c r="S16" s="775"/>
      <c r="T16" s="774"/>
      <c r="U16" s="775"/>
      <c r="V16" s="774"/>
      <c r="W16" s="775"/>
      <c r="X16" s="1813"/>
      <c r="Y16" s="3157"/>
      <c r="Z16" s="1814"/>
      <c r="AA16" s="1811">
        <v>1</v>
      </c>
      <c r="AB16" s="1811">
        <v>1</v>
      </c>
      <c r="AC16" s="1811">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7"/>
      <c r="Q17" s="1810" t="str">
        <f>B17</f>
        <v>交通便捷度</v>
      </c>
      <c r="R17" s="774" t="s">
        <v>17</v>
      </c>
      <c r="S17" s="775">
        <f>F17</f>
        <v>100</v>
      </c>
      <c r="T17" s="774" t="s">
        <v>17</v>
      </c>
      <c r="U17" s="775">
        <f>H17</f>
        <v>100</v>
      </c>
      <c r="V17" s="774" t="s">
        <v>17</v>
      </c>
      <c r="W17" s="775">
        <f>J17</f>
        <v>100</v>
      </c>
      <c r="X17" s="1813"/>
      <c r="Y17" s="3157"/>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57"/>
      <c r="Q18" s="1810"/>
      <c r="R18" s="774"/>
      <c r="S18" s="775"/>
      <c r="T18" s="774"/>
      <c r="U18" s="775"/>
      <c r="V18" s="774"/>
      <c r="W18" s="775"/>
      <c r="X18" s="1813"/>
      <c r="Y18" s="3157"/>
      <c r="Z18" s="1814"/>
      <c r="AA18" s="1811">
        <v>1</v>
      </c>
      <c r="AB18" s="1811">
        <v>1</v>
      </c>
      <c r="AC18" s="1811">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7"/>
      <c r="Q19" s="1810" t="str">
        <f t="shared" ref="Q19:Q33" si="8">B19</f>
        <v>区域土地利用方向</v>
      </c>
      <c r="R19" s="774" t="s">
        <v>17</v>
      </c>
      <c r="S19" s="775">
        <f>F19</f>
        <v>100</v>
      </c>
      <c r="T19" s="774" t="s">
        <v>17</v>
      </c>
      <c r="U19" s="775">
        <f>H19</f>
        <v>100</v>
      </c>
      <c r="V19" s="774" t="s">
        <v>17</v>
      </c>
      <c r="W19" s="775">
        <f>J19</f>
        <v>100</v>
      </c>
      <c r="X19" s="1813"/>
      <c r="Y19" s="3157"/>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57"/>
      <c r="Q20" s="1810"/>
      <c r="R20" s="774"/>
      <c r="S20" s="775"/>
      <c r="T20" s="774"/>
      <c r="U20" s="775"/>
      <c r="V20" s="774"/>
      <c r="W20" s="775"/>
      <c r="X20" s="1813"/>
      <c r="Y20" s="3157"/>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7"/>
      <c r="Q21" s="1810" t="str">
        <f t="shared" si="8"/>
        <v>环境状况</v>
      </c>
      <c r="R21" s="774" t="s">
        <v>17</v>
      </c>
      <c r="S21" s="775">
        <f>F21</f>
        <v>100</v>
      </c>
      <c r="T21" s="774" t="s">
        <v>17</v>
      </c>
      <c r="U21" s="775">
        <f>H21</f>
        <v>100</v>
      </c>
      <c r="V21" s="774" t="s">
        <v>17</v>
      </c>
      <c r="W21" s="775">
        <f>J21</f>
        <v>100</v>
      </c>
      <c r="X21" s="1813"/>
      <c r="Y21" s="3157"/>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57"/>
      <c r="Q22" s="1810"/>
      <c r="R22" s="774"/>
      <c r="S22" s="775"/>
      <c r="T22" s="774"/>
      <c r="U22" s="775"/>
      <c r="V22" s="774"/>
      <c r="W22" s="775"/>
      <c r="X22" s="1813"/>
      <c r="Y22" s="3157"/>
      <c r="Z22" s="1814"/>
      <c r="AA22" s="1811">
        <v>1</v>
      </c>
      <c r="AB22" s="1811">
        <v>1</v>
      </c>
      <c r="AC22" s="1811">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7"/>
      <c r="Q23" s="1795" t="str">
        <f t="shared" si="8"/>
        <v>公共配套设施</v>
      </c>
      <c r="R23" s="770" t="s">
        <v>17</v>
      </c>
      <c r="S23" s="771">
        <f>F23</f>
        <v>100</v>
      </c>
      <c r="T23" s="770" t="s">
        <v>17</v>
      </c>
      <c r="U23" s="771">
        <f>H23</f>
        <v>100</v>
      </c>
      <c r="V23" s="770" t="s">
        <v>17</v>
      </c>
      <c r="W23" s="771">
        <f>J23</f>
        <v>100</v>
      </c>
      <c r="X23" s="772"/>
      <c r="Y23" s="3157"/>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57"/>
      <c r="Q24" s="1795"/>
      <c r="R24" s="770"/>
      <c r="S24" s="771"/>
      <c r="T24" s="770"/>
      <c r="U24" s="771"/>
      <c r="V24" s="770"/>
      <c r="W24" s="771"/>
      <c r="X24" s="772"/>
      <c r="Y24" s="3157"/>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7"/>
      <c r="Q25" s="1795"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57"/>
      <c r="Q26" s="1795"/>
      <c r="R26" s="770"/>
      <c r="S26" s="771"/>
      <c r="T26" s="770"/>
      <c r="U26" s="771"/>
      <c r="V26" s="770"/>
      <c r="W26" s="771"/>
      <c r="X26" s="772"/>
      <c r="Y26" s="315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7"/>
      <c r="Z27" s="1814" t="str">
        <f t="shared" ref="Z27:Z40" si="13">Q27</f>
        <v>临街状况</v>
      </c>
      <c r="AA27" s="1811">
        <f t="shared" si="3"/>
        <v>1</v>
      </c>
      <c r="AB27" s="1811">
        <f t="shared" si="4"/>
        <v>1</v>
      </c>
      <c r="AC27" s="1811">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7"/>
      <c r="Q28" s="1810" t="str">
        <f t="shared" si="8"/>
        <v>毗邻道路的类型与等级</v>
      </c>
      <c r="R28" s="774" t="s">
        <v>17</v>
      </c>
      <c r="S28" s="775">
        <f t="shared" si="10"/>
        <v>100</v>
      </c>
      <c r="T28" s="774" t="s">
        <v>17</v>
      </c>
      <c r="U28" s="775">
        <f t="shared" si="11"/>
        <v>100</v>
      </c>
      <c r="V28" s="774" t="s">
        <v>17</v>
      </c>
      <c r="W28" s="775">
        <f t="shared" si="12"/>
        <v>100</v>
      </c>
      <c r="X28" s="1813"/>
      <c r="Y28" s="3157"/>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57"/>
      <c r="Q29" s="1810"/>
      <c r="R29" s="774"/>
      <c r="S29" s="775"/>
      <c r="T29" s="774"/>
      <c r="U29" s="775"/>
      <c r="V29" s="774"/>
      <c r="W29" s="775"/>
      <c r="X29" s="1813"/>
      <c r="Y29" s="3157"/>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7"/>
      <c r="Q30" s="1810" t="str">
        <f t="shared" si="8"/>
        <v>土地级别</v>
      </c>
      <c r="R30" s="774" t="s">
        <v>17</v>
      </c>
      <c r="S30" s="775">
        <f t="shared" si="10"/>
        <v>100</v>
      </c>
      <c r="T30" s="774" t="s">
        <v>17</v>
      </c>
      <c r="U30" s="775">
        <f t="shared" si="11"/>
        <v>100</v>
      </c>
      <c r="V30" s="774" t="s">
        <v>17</v>
      </c>
      <c r="W30" s="775">
        <f t="shared" si="12"/>
        <v>100</v>
      </c>
      <c r="X30" s="1813"/>
      <c r="Y30" s="3157"/>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7"/>
      <c r="Q31" s="1810">
        <f t="shared" si="8"/>
        <v>111</v>
      </c>
      <c r="R31" s="774" t="s">
        <v>17</v>
      </c>
      <c r="S31" s="775">
        <f t="shared" si="10"/>
        <v>100</v>
      </c>
      <c r="T31" s="774" t="s">
        <v>17</v>
      </c>
      <c r="U31" s="775">
        <f t="shared" si="11"/>
        <v>100</v>
      </c>
      <c r="V31" s="774" t="s">
        <v>17</v>
      </c>
      <c r="W31" s="775">
        <f t="shared" si="12"/>
        <v>100</v>
      </c>
      <c r="X31" s="1813"/>
      <c r="Y31" s="3157"/>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8" t="s">
        <v>2564</v>
      </c>
      <c r="Q32" s="1810">
        <f t="shared" si="8"/>
        <v>111</v>
      </c>
      <c r="R32" s="774" t="s">
        <v>17</v>
      </c>
      <c r="S32" s="775">
        <f t="shared" si="10"/>
        <v>100</v>
      </c>
      <c r="T32" s="774" t="s">
        <v>17</v>
      </c>
      <c r="U32" s="775">
        <f t="shared" si="11"/>
        <v>100</v>
      </c>
      <c r="V32" s="774" t="s">
        <v>17</v>
      </c>
      <c r="W32" s="775">
        <f t="shared" si="12"/>
        <v>100</v>
      </c>
      <c r="X32" s="1813"/>
      <c r="Y32" s="3159" t="s">
        <v>2564</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9"/>
      <c r="Q33" s="1810">
        <f t="shared" si="8"/>
        <v>111</v>
      </c>
      <c r="R33" s="777" t="s">
        <v>17</v>
      </c>
      <c r="S33" s="778">
        <f t="shared" si="10"/>
        <v>100</v>
      </c>
      <c r="T33" s="777" t="s">
        <v>17</v>
      </c>
      <c r="U33" s="778">
        <f t="shared" si="11"/>
        <v>100</v>
      </c>
      <c r="V33" s="777" t="s">
        <v>17</v>
      </c>
      <c r="W33" s="778">
        <f t="shared" si="12"/>
        <v>100</v>
      </c>
      <c r="X33" s="779"/>
      <c r="Y33" s="3159"/>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59"/>
      <c r="Q34" s="1810" t="str">
        <f>B34</f>
        <v>宗地面积</v>
      </c>
      <c r="R34" s="774" t="s">
        <v>17</v>
      </c>
      <c r="S34" s="775" t="e">
        <f t="shared" si="10"/>
        <v>#N/A</v>
      </c>
      <c r="T34" s="774" t="s">
        <v>17</v>
      </c>
      <c r="U34" s="775" t="e">
        <f t="shared" si="11"/>
        <v>#N/A</v>
      </c>
      <c r="V34" s="774" t="s">
        <v>17</v>
      </c>
      <c r="W34" s="775" t="e">
        <f t="shared" si="12"/>
        <v>#N/A</v>
      </c>
      <c r="X34" s="1813"/>
      <c r="Y34" s="3159"/>
      <c r="Z34" s="1814" t="str">
        <f t="shared" si="13"/>
        <v>宗地面积</v>
      </c>
      <c r="AA34" s="1811" t="e">
        <f t="shared" si="3"/>
        <v>#N/A</v>
      </c>
      <c r="AB34" s="1811" t="e">
        <f t="shared" si="4"/>
        <v>#N/A</v>
      </c>
      <c r="AC34" s="1811"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59"/>
      <c r="Q35" s="1810" t="str">
        <f t="shared" ref="Q35:Q40" si="14">B35</f>
        <v>宗地形状</v>
      </c>
      <c r="R35" s="774" t="s">
        <v>17</v>
      </c>
      <c r="S35" s="775">
        <f t="shared" si="10"/>
        <v>100</v>
      </c>
      <c r="T35" s="774" t="s">
        <v>17</v>
      </c>
      <c r="U35" s="775">
        <f t="shared" si="11"/>
        <v>100</v>
      </c>
      <c r="V35" s="774" t="s">
        <v>17</v>
      </c>
      <c r="W35" s="775">
        <f t="shared" si="12"/>
        <v>100</v>
      </c>
      <c r="X35" s="1813"/>
      <c r="Y35" s="3159"/>
      <c r="Z35" s="1814" t="str">
        <f t="shared" si="13"/>
        <v>宗地形状</v>
      </c>
      <c r="AA35" s="1811">
        <f t="shared" si="3"/>
        <v>1</v>
      </c>
      <c r="AB35" s="1811">
        <f t="shared" si="4"/>
        <v>1</v>
      </c>
      <c r="AC35" s="1811">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59"/>
      <c r="Q36" s="1810" t="str">
        <f t="shared" si="14"/>
        <v>宗地开发程度</v>
      </c>
      <c r="R36" s="770" t="s">
        <v>17</v>
      </c>
      <c r="S36" s="771">
        <f t="shared" si="10"/>
        <v>100</v>
      </c>
      <c r="T36" s="770" t="s">
        <v>17</v>
      </c>
      <c r="U36" s="771">
        <f t="shared" si="11"/>
        <v>100</v>
      </c>
      <c r="V36" s="770" t="s">
        <v>17</v>
      </c>
      <c r="W36" s="771">
        <f t="shared" si="12"/>
        <v>100</v>
      </c>
      <c r="X36" s="772"/>
      <c r="Y36" s="3159"/>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59" t="s">
        <v>2564</v>
      </c>
      <c r="Q37" s="1810" t="str">
        <f t="shared" si="14"/>
        <v>工程地质条件</v>
      </c>
      <c r="R37" s="774" t="s">
        <v>17</v>
      </c>
      <c r="S37" s="775">
        <f t="shared" si="10"/>
        <v>100</v>
      </c>
      <c r="T37" s="774" t="s">
        <v>17</v>
      </c>
      <c r="U37" s="775">
        <f t="shared" si="11"/>
        <v>100</v>
      </c>
      <c r="V37" s="774" t="s">
        <v>17</v>
      </c>
      <c r="W37" s="775">
        <f t="shared" si="12"/>
        <v>100</v>
      </c>
      <c r="X37" s="1813"/>
      <c r="Y37" s="3159"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9"/>
      <c r="Q38" s="1810">
        <f t="shared" si="14"/>
        <v>111</v>
      </c>
      <c r="R38" s="774" t="s">
        <v>17</v>
      </c>
      <c r="S38" s="775">
        <f t="shared" si="10"/>
        <v>100</v>
      </c>
      <c r="T38" s="774" t="s">
        <v>17</v>
      </c>
      <c r="U38" s="775">
        <f t="shared" si="11"/>
        <v>100</v>
      </c>
      <c r="V38" s="774" t="s">
        <v>17</v>
      </c>
      <c r="W38" s="775">
        <f t="shared" si="12"/>
        <v>100</v>
      </c>
      <c r="X38" s="1813"/>
      <c r="Y38" s="315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9"/>
      <c r="Q39" s="1810">
        <f t="shared" si="14"/>
        <v>111</v>
      </c>
      <c r="R39" s="774" t="s">
        <v>17</v>
      </c>
      <c r="S39" s="775">
        <f t="shared" si="10"/>
        <v>100</v>
      </c>
      <c r="T39" s="774" t="s">
        <v>17</v>
      </c>
      <c r="U39" s="775">
        <f t="shared" si="11"/>
        <v>100</v>
      </c>
      <c r="V39" s="774" t="s">
        <v>17</v>
      </c>
      <c r="W39" s="775">
        <f t="shared" si="12"/>
        <v>100</v>
      </c>
      <c r="X39" s="1813"/>
      <c r="Y39" s="315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9"/>
      <c r="Q40" s="1810">
        <f t="shared" si="14"/>
        <v>111</v>
      </c>
      <c r="R40" s="777" t="s">
        <v>17</v>
      </c>
      <c r="S40" s="778">
        <f t="shared" si="10"/>
        <v>100</v>
      </c>
      <c r="T40" s="777" t="s">
        <v>17</v>
      </c>
      <c r="U40" s="778">
        <f t="shared" si="11"/>
        <v>100</v>
      </c>
      <c r="V40" s="777" t="s">
        <v>17</v>
      </c>
      <c r="W40" s="778">
        <f t="shared" si="12"/>
        <v>100</v>
      </c>
      <c r="X40" s="779"/>
      <c r="Y40" s="3159"/>
      <c r="Z40" s="780">
        <f t="shared" si="13"/>
        <v>111</v>
      </c>
      <c r="AA40" s="1811">
        <f t="shared" si="3"/>
        <v>1</v>
      </c>
      <c r="AB40" s="1811">
        <f t="shared" si="4"/>
        <v>1</v>
      </c>
      <c r="AC40" s="1811">
        <f t="shared" si="5"/>
        <v>1</v>
      </c>
    </row>
    <row r="41" spans="1:29" ht="15">
      <c r="A41" s="479" t="s">
        <v>2719</v>
      </c>
      <c r="B41" s="2707" t="s">
        <v>2799</v>
      </c>
      <c r="C41" s="682" t="s">
        <v>1</v>
      </c>
      <c r="D41" s="481"/>
      <c r="E41" s="482"/>
      <c r="F41" s="483"/>
      <c r="G41" s="484"/>
      <c r="H41" s="485"/>
      <c r="I41" s="482"/>
      <c r="J41" s="485"/>
      <c r="K41" s="783"/>
      <c r="L41" s="1143"/>
      <c r="M41" s="1131"/>
      <c r="N41" s="1131"/>
      <c r="O41" s="1144"/>
      <c r="P41" s="3151" t="str">
        <f>A41</f>
        <v>成交单价</v>
      </c>
      <c r="Q41" s="3151"/>
      <c r="R41" s="3180">
        <f>E41</f>
        <v>0</v>
      </c>
      <c r="S41" s="3180"/>
      <c r="T41" s="3180">
        <f>G41</f>
        <v>0</v>
      </c>
      <c r="U41" s="3180"/>
      <c r="V41" s="3180">
        <f>I41</f>
        <v>0</v>
      </c>
      <c r="W41" s="318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51" t="str">
        <f>A42</f>
        <v>比较价值（元/平方米）</v>
      </c>
      <c r="Q42" s="3151"/>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53" t="str">
        <f>A43</f>
        <v>估价对象XX用房的比较价值（楼面单价，元/平方米）</v>
      </c>
      <c r="Q43" s="3154"/>
      <c r="R43" s="3241" t="e">
        <f>ROUND(AVERAGE(R42:V42),0)</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8" t="s">
        <v>2759</v>
      </c>
      <c r="D50" s="2709" t="s">
        <v>2760</v>
      </c>
      <c r="E50" s="686" t="s">
        <v>2761</v>
      </c>
      <c r="F50" s="687" t="s">
        <v>2762</v>
      </c>
      <c r="G50" s="3164" t="s">
        <v>2763</v>
      </c>
      <c r="H50" s="3242"/>
      <c r="I50" s="1814" t="s">
        <v>2800</v>
      </c>
      <c r="J50" s="1814">
        <f>项目基本情况!F35</f>
        <v>0</v>
      </c>
      <c r="K50" s="2711" t="s">
        <v>2765</v>
      </c>
      <c r="L50" s="1106"/>
      <c r="M50" s="1144"/>
      <c r="N50" s="1144"/>
      <c r="O50" s="1144"/>
    </row>
    <row r="51" spans="1:17" s="692" customFormat="1">
      <c r="A51" s="688" t="s">
        <v>2766</v>
      </c>
      <c r="B51" s="689" t="e">
        <f>C43</f>
        <v>#DIV/0!</v>
      </c>
      <c r="C51" s="690">
        <v>1</v>
      </c>
      <c r="D51" s="1163">
        <v>1</v>
      </c>
      <c r="E51" s="690">
        <f>'数据-汇总表'!E8+'数据-汇总表'!E9</f>
        <v>5775.17</v>
      </c>
      <c r="F51" s="691" t="e">
        <f t="shared" ref="F51:F60" si="15">ROUND(B51*E51/10000,0)</f>
        <v>#DIV/0!</v>
      </c>
      <c r="G51" s="3224"/>
      <c r="H51" s="3151"/>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3"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3"/>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3"/>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3"/>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4" t="s">
        <v>2781</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2803</v>
      </c>
      <c r="B1" s="241"/>
      <c r="C1" s="245" t="s">
        <v>2804</v>
      </c>
      <c r="D1" s="388">
        <f>SUM(D29:D30,D33:D39)</f>
        <v>0</v>
      </c>
      <c r="E1" s="2720"/>
      <c r="F1" s="2720"/>
      <c r="G1" s="2720"/>
      <c r="H1" s="2720"/>
      <c r="I1" s="2720"/>
      <c r="J1" s="2720"/>
      <c r="K1" s="1370"/>
      <c r="L1" s="2721" t="s">
        <v>2805</v>
      </c>
      <c r="M1" s="1080">
        <f>SUMPRODUCT((区片价!B5:B9=I2)*(区片价!C3:F3=E2)*(区片价!C5:F9))</f>
        <v>0</v>
      </c>
      <c r="N1" s="1083">
        <f>SUMPRODUCT((因素修正幅度!B5:B9=I2)*(因素修正幅度!C3:F3=E2)*(因素修正幅度!C5:F9))</f>
        <v>0</v>
      </c>
      <c r="O1" s="2722"/>
      <c r="P1" s="272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0"/>
      <c r="L2" s="2729"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4" t="s">
        <v>2818</v>
      </c>
      <c r="D3" s="2725" t="s">
        <v>2819</v>
      </c>
      <c r="E3" s="2730"/>
      <c r="F3" s="2731" t="s">
        <v>2820</v>
      </c>
      <c r="G3" s="916" t="e">
        <f>IF(F3="宗地容积率",'数据-汇总表'!I4,IF(F3="估价对象容积率",'数据-汇总表'!I6,'数据-汇总表'!I7))</f>
        <v>#DIV/0!</v>
      </c>
      <c r="H3" s="198" t="s">
        <v>2821</v>
      </c>
      <c r="I3" s="944"/>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1"/>
      <c r="B4" s="3252"/>
      <c r="C4" s="3252"/>
      <c r="D4" s="3253"/>
      <c r="E4" s="3253"/>
      <c r="F4" s="3253"/>
      <c r="G4" s="3253"/>
      <c r="H4" s="3253"/>
      <c r="I4" s="3253"/>
      <c r="J4" s="3254"/>
      <c r="K4" s="1370"/>
      <c r="L4" s="2729"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t="e">
        <f>ROUND(IF(E2="商业",C6*C7+C16,(IF(E2="住宅",C6*C12+C16,C6+C16))),0)</f>
        <v>#DIV/0!</v>
      </c>
      <c r="D5" s="1787" t="e">
        <f>ROUND(C6+C16,0)</f>
        <v>#DIV/0!</v>
      </c>
      <c r="E5" s="1787"/>
      <c r="F5" s="2734"/>
      <c r="G5" s="2735"/>
      <c r="H5" s="2735"/>
      <c r="I5" s="2735"/>
      <c r="J5" s="2736"/>
      <c r="K5" s="2737"/>
      <c r="L5" s="2729"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55" t="str">
        <f>IF(E2="商业",IF(C8="不临58条商业街","",2),"")</f>
        <v/>
      </c>
      <c r="B7" s="2748" t="s">
        <v>2831</v>
      </c>
      <c r="C7" s="919" t="e">
        <f>IF(C8="不临58条商业街",1,ROUND(1+(1.6*E8+1.2*E9+0.8*E10+0.4*E11)*C9,4))</f>
        <v>#DIV/0!</v>
      </c>
      <c r="D7" s="2749" t="s">
        <v>2832</v>
      </c>
      <c r="E7" s="945"/>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2834</v>
      </c>
      <c r="X7" s="1604">
        <f>G2</f>
        <v>0</v>
      </c>
      <c r="Y7" s="1604" t="s">
        <v>2835</v>
      </c>
      <c r="Z7" s="1605" t="e">
        <f>G3</f>
        <v>#DIV/0!</v>
      </c>
      <c r="AA7" s="1606"/>
      <c r="AB7" s="1606"/>
      <c r="AC7" s="1607"/>
      <c r="AD7" s="1608"/>
      <c r="AE7" s="1608"/>
      <c r="AF7" s="1608"/>
      <c r="AG7" s="1608"/>
      <c r="AH7" s="1608"/>
      <c r="AI7" s="1608"/>
      <c r="AJ7" s="1609"/>
    </row>
    <row r="8" spans="1:36" ht="15">
      <c r="A8" s="3256"/>
      <c r="B8" s="198" t="s">
        <v>2836</v>
      </c>
      <c r="C8" s="2753"/>
      <c r="D8" s="920" t="s">
        <v>139</v>
      </c>
      <c r="E8" s="921" t="e">
        <f>ROUND(C11/E7,4)</f>
        <v>#DIV/0!</v>
      </c>
      <c r="F8" s="2754" t="s">
        <v>2837</v>
      </c>
      <c r="G8" s="2755"/>
      <c r="H8" s="2755"/>
      <c r="I8" s="2755"/>
      <c r="J8" s="2756"/>
      <c r="K8" s="1370"/>
      <c r="L8" s="272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8" t="s">
        <v>2839</v>
      </c>
      <c r="X8" s="3249"/>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56"/>
      <c r="B9" s="198" t="s">
        <v>2852</v>
      </c>
      <c r="C9" s="922">
        <f>SUMIF(修正!C59:C119,C8,修正!E59:E119)</f>
        <v>0</v>
      </c>
      <c r="D9" s="200" t="s">
        <v>140</v>
      </c>
      <c r="E9" s="200" t="e">
        <f>ROUND(C11/E7,4)</f>
        <v>#DIV/0!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0"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6"/>
      <c r="B10" s="198" t="s">
        <v>2857</v>
      </c>
      <c r="C10" s="200">
        <f>SUMIF(修正!C59:C119,C8,修正!F59:F119)</f>
        <v>0</v>
      </c>
      <c r="D10" s="200" t="s">
        <v>141</v>
      </c>
      <c r="E10" s="200" t="e">
        <f>ROUND(C11/E7,4)</f>
        <v>#DIV/0!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6"/>
      <c r="B11" s="2757" t="s">
        <v>2860</v>
      </c>
      <c r="C11" s="923">
        <f>C10/4</f>
        <v>0</v>
      </c>
      <c r="D11" s="923" t="s">
        <v>142</v>
      </c>
      <c r="E11" s="923" t="e">
        <f>ROUND(C11/E7,4)</f>
        <v>#DIV/0!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0"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5" t="s">
        <v>2865</v>
      </c>
      <c r="B12" s="2761" t="s">
        <v>2866</v>
      </c>
      <c r="C12" s="919">
        <f>ROUND(C15*D15*E15*F15*G15*H15*I15*J15,4)</f>
        <v>1</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0"/>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7"/>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t="e">
        <f t="shared" si="0"/>
        <v>#DIV/0!</v>
      </c>
      <c r="U13" s="1603"/>
      <c r="V13" s="1602" t="e">
        <f t="shared" si="1"/>
        <v>#DIV/0!</v>
      </c>
      <c r="W13" s="325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7"/>
      <c r="B14" s="2771"/>
      <c r="C14" s="2772"/>
      <c r="D14" s="2773"/>
      <c r="E14" s="2773"/>
      <c r="F14" s="2774"/>
      <c r="G14" s="2775" t="s">
        <v>2876</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8"/>
      <c r="B15" s="277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5" t="s">
        <v>2882</v>
      </c>
      <c r="B16" s="2748" t="s">
        <v>2883</v>
      </c>
      <c r="C16" s="2935" t="e">
        <f>ROUND(IF(F17="与级别开发程度一致",0,(G17-E17)/C17),0)</f>
        <v>#DIV/0!</v>
      </c>
      <c r="D16" s="3269" t="s">
        <v>2887</v>
      </c>
      <c r="E16" s="3270"/>
      <c r="F16" s="3269" t="s">
        <v>2884</v>
      </c>
      <c r="G16" s="3270"/>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9"/>
      <c r="B17" s="2946" t="s">
        <v>2886</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2889</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2890</v>
      </c>
      <c r="C19" s="924" t="e">
        <f>ROUND(IF(H19="按公示增长率计算",SUMPRODUCT((地价!A3:A27=YEAR(G19)&amp;"-"&amp;ROUNDUP(MONTH(G19)/3,0))*(地价!X2:AB2=E2)*(地价!X3:AB27)),IF(H19="地价指数",M20/M19,(1+I19)^O19)),4)</f>
        <v>#VALUE!</v>
      </c>
      <c r="D19" s="2792" t="s">
        <v>2891</v>
      </c>
      <c r="E19" s="925">
        <v>41640</v>
      </c>
      <c r="F19" s="2792" t="s">
        <v>2892</v>
      </c>
      <c r="G19" s="926">
        <f>'数据-取费表'!B2</f>
        <v>43718</v>
      </c>
      <c r="H19" s="2793"/>
      <c r="I19" s="927" t="str">
        <f>IF(H19="季度增幅（自定义）",SUMIF(N21:N24,E2,O21:O24),"")</f>
        <v/>
      </c>
      <c r="J19" s="2790"/>
      <c r="K19" s="1377"/>
      <c r="L19" s="2794" t="s">
        <v>2893</v>
      </c>
      <c r="M19" s="1734">
        <f>ROUND(SUMIF(地价!B2:F2,E2,地价!B27:F27),0)</f>
        <v>0</v>
      </c>
      <c r="N19" s="2795"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t="e">
        <f>ROUND(POWER(1+G20,J20-I20)*(POWER(1+G20,I20)-1)/(POWER(1+G20,J20)-1),4)</f>
        <v>#DIV/0!</v>
      </c>
      <c r="D20" s="2801" t="s">
        <v>2896</v>
      </c>
      <c r="E20" s="1768">
        <f ca="1">存贷款利率!D4/100</f>
        <v>4.3499999999999997E-2</v>
      </c>
      <c r="F20" s="2801" t="s">
        <v>2888</v>
      </c>
      <c r="G20" s="934">
        <f>SUMIF(M26:P26,E2,M28:P28)</f>
        <v>0</v>
      </c>
      <c r="H20" s="2801" t="s">
        <v>2897</v>
      </c>
      <c r="I20" s="935" t="e">
        <f>SUMIF('数据-取费表'!C6:C15,E2,'数据-取费表'!F6:F15)/COUNTIF('数据-取费表'!C6:C15,E2)</f>
        <v>#DIV/0!</v>
      </c>
      <c r="J20" s="936">
        <f>IF(E2="住宅",70,IF(E2="商业",40,50))</f>
        <v>50</v>
      </c>
      <c r="K20" s="1377"/>
      <c r="L20" s="2802" t="s">
        <v>2898</v>
      </c>
      <c r="M20" s="1735">
        <f>ROUND(SUMPRODUCT((地价!A4:A27=YEAR(G19)&amp;"-"&amp;ROUNDUP(MONTH(G19)/3,0))*(地价!B2:F2=E2)*(地价!B4:F27)),0)</f>
        <v>0</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2902</v>
      </c>
      <c r="C21" s="937" t="e">
        <f>IF(B21="容积率修正",IF(G3&lt;=10,D22,J22),C23)</f>
        <v>#DIV/0!</v>
      </c>
      <c r="D21" s="2808"/>
      <c r="E21" s="2808"/>
      <c r="F21" s="2808"/>
      <c r="G21" s="2808"/>
      <c r="H21" s="2808"/>
      <c r="I21" s="2808"/>
      <c r="J21" s="2809"/>
      <c r="K21" s="1377"/>
      <c r="N21" s="2810"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0</v>
      </c>
      <c r="D24" s="2789"/>
      <c r="E24" s="2818"/>
      <c r="F24" s="2818"/>
      <c r="G24" s="2818"/>
      <c r="H24" s="2818"/>
      <c r="I24" s="2818"/>
      <c r="J24" s="2819"/>
      <c r="K24" s="1377"/>
      <c r="N24" s="2820"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2915</v>
      </c>
      <c r="C26" s="206" t="e">
        <f>E29+SUM(E33:E39)</f>
        <v>#DIV/0!</v>
      </c>
      <c r="D26" s="2825"/>
      <c r="E26" s="2776"/>
      <c r="F26" s="2826"/>
      <c r="G26" s="2776"/>
      <c r="H26" s="2776"/>
      <c r="I26" s="2776"/>
      <c r="J26" s="2827"/>
      <c r="K26" s="1370"/>
      <c r="L26" s="2780" t="s">
        <v>2813</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2916</v>
      </c>
      <c r="C27" s="931" t="e">
        <f>E30+SUM(I33:I39)</f>
        <v>#DIV/0!</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t="e">
        <f>ROUND(C5*C18*C19*C20*C21*C24,0)</f>
        <v>#DIV/0!</v>
      </c>
      <c r="D29" s="2840"/>
      <c r="E29" s="942" t="e">
        <f>ROUND(C29*D29/10000,0)</f>
        <v>#DIV/0!</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t="e">
        <f>ROUND(IF(E2="工业",C29*M39,C29*M38),0)</f>
        <v>#DIV/0!</v>
      </c>
      <c r="D30" s="2846"/>
      <c r="E30" s="942" t="e">
        <f>ROUND(C30*D30/10000,0)</f>
        <v>#DIV/0!</v>
      </c>
      <c r="F30" s="2847" t="s">
        <v>2924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6" t="s">
        <v>2929</v>
      </c>
      <c r="B33" s="2856" t="s">
        <v>2930</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68" t="s">
        <v>2931</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68" t="s">
        <v>2932</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68"/>
      <c r="B36" s="2768" t="s">
        <v>2933</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t="e">
        <f>ROUND(POWER(1+E41,H41-G41)*(POWER(1+E41,G41)-1)/(POWER(1+E41,H41)-1),4)</f>
        <v>#DIV/0!</v>
      </c>
      <c r="D41" s="200" t="s">
        <v>2888</v>
      </c>
      <c r="E41" s="293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2952</v>
      </c>
      <c r="B51" s="2878" t="s">
        <v>2953</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2955</v>
      </c>
      <c r="B53" s="2879" t="s">
        <v>2956</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2596</v>
      </c>
      <c r="K80" s="603" t="s">
        <v>2597</v>
      </c>
      <c r="L80" s="603" t="s">
        <v>2598</v>
      </c>
      <c r="M80" s="603" t="s">
        <v>2599</v>
      </c>
      <c r="N80" s="603" t="s">
        <v>2600</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60" t="s">
        <v>2971</v>
      </c>
      <c r="B90" s="3260"/>
      <c r="C90" s="3260"/>
      <c r="D90" s="3260"/>
      <c r="E90" s="3260"/>
      <c r="F90" s="3260"/>
      <c r="G90" s="3260"/>
      <c r="H90" s="3260"/>
      <c r="I90" s="3260"/>
      <c r="J90" s="3260"/>
      <c r="K90" s="2887"/>
      <c r="L90" s="2887"/>
      <c r="M90" s="2887"/>
      <c r="N90" s="2887"/>
    </row>
    <row r="91" spans="1:37">
      <c r="A91" s="3262" t="s">
        <v>2972</v>
      </c>
      <c r="B91" s="3262" t="s">
        <v>2973</v>
      </c>
      <c r="C91" s="2841" t="s">
        <v>2974</v>
      </c>
      <c r="D91" s="2842"/>
      <c r="E91" s="2842"/>
      <c r="F91" s="2842"/>
      <c r="G91" s="2842"/>
      <c r="H91" s="2842"/>
      <c r="I91" s="2842"/>
      <c r="J91" s="2888"/>
      <c r="K91" s="2889"/>
      <c r="L91" s="2889"/>
      <c r="M91" s="2889"/>
      <c r="N91" s="2889"/>
    </row>
    <row r="92" spans="1:37">
      <c r="A92" s="3262"/>
      <c r="B92" s="326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3"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4"/>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3" t="s">
        <v>2976</v>
      </c>
      <c r="B101" s="2894" t="s">
        <v>2977</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64"/>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64"/>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64"/>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64"/>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64"/>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64"/>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64"/>
      <c r="B108" s="3121"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5"/>
      <c r="B109" s="312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61" t="s">
        <v>2979</v>
      </c>
      <c r="B110" s="3261"/>
      <c r="C110" s="3261"/>
      <c r="D110" s="3261"/>
      <c r="E110" s="3261"/>
      <c r="F110" s="3261"/>
      <c r="G110" s="3261"/>
      <c r="H110" s="3261"/>
      <c r="I110" s="3261"/>
      <c r="J110" s="3261"/>
      <c r="K110" s="2896"/>
      <c r="L110" s="2896"/>
      <c r="M110" s="2896"/>
      <c r="N110" s="2896"/>
    </row>
    <row r="112" spans="1:14" ht="13.5" thickBot="1"/>
    <row r="113" spans="1:13" ht="25.5" thickBot="1">
      <c r="A113" s="903" t="s">
        <v>2980</v>
      </c>
      <c r="B113" s="1287" t="e">
        <f>G3</f>
        <v>#DIV/0!</v>
      </c>
      <c r="C113" s="904" t="s">
        <v>2981</v>
      </c>
      <c r="D113" s="905" t="e">
        <f>SUMPRODUCT((A115:A118=F113)*(B114:M114=H113)*B115:M118)</f>
        <v>#DIV/0!</v>
      </c>
      <c r="E113" s="2727" t="s">
        <v>2813</v>
      </c>
      <c r="F113" s="2898">
        <f>E2</f>
        <v>0</v>
      </c>
      <c r="G113" s="2727" t="s">
        <v>2814</v>
      </c>
      <c r="H113" s="2898">
        <f>G2</f>
        <v>0</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t="e">
        <f ca="1">SUMIF(B6:B13,"&lt;&gt;#ref!",B6:B13)</f>
        <v>#DIV/0!</v>
      </c>
      <c r="C2" s="2905" t="s">
        <v>2995</v>
      </c>
      <c r="D2" s="2905" t="s">
        <v>2996</v>
      </c>
      <c r="E2" s="2906">
        <f ca="1">SUMIF(E6:E13,"&lt;&gt;#ref!",E6:E13)</f>
        <v>0</v>
      </c>
    </row>
    <row r="3" spans="1:5" ht="15.75">
      <c r="A3" s="2905" t="s">
        <v>2997</v>
      </c>
      <c r="B3" s="2906" t="e">
        <f ca="1">ROUND(B2*10000/E2,0)</f>
        <v>#DIV/0!</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t="e">
        <f ca="1">SUMIF(INDIRECT("'"&amp;A6&amp;"'"&amp;"!A:A"),"总价",INDIRECT("'"&amp;A6&amp;"'"&amp;"!B:B"))</f>
        <v>#DIV/0!</v>
      </c>
      <c r="C6" s="2905" t="s">
        <v>2995</v>
      </c>
      <c r="D6" s="2907"/>
      <c r="E6" s="2578">
        <f ca="1">SUMIF(INDIRECT("'"&amp;A6&amp;"'"&amp;"!C:C"),"建筑面积",INDIRECT("'"&amp;A6&amp;"'"&amp;"!D:D"))</f>
        <v>0</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1624</v>
      </c>
      <c r="C4" s="2966"/>
      <c r="D4" s="2966"/>
      <c r="E4" s="1960"/>
    </row>
    <row r="5" spans="1:5" ht="16.5" thickTop="1">
      <c r="A5" s="1958"/>
      <c r="B5" s="2964" t="s">
        <v>1616</v>
      </c>
      <c r="C5" s="1961" t="s">
        <v>1617</v>
      </c>
      <c r="D5" s="1040">
        <f ca="1">结果表!H101</f>
        <v>6530</v>
      </c>
      <c r="E5" s="1958"/>
    </row>
    <row r="6" spans="1:5" ht="15.75">
      <c r="A6" s="1958"/>
      <c r="B6" s="2964"/>
      <c r="C6" s="1961" t="s">
        <v>1618</v>
      </c>
      <c r="D6" s="1040" t="str">
        <f ca="1">NUMBERSTRING(INT(D5*10000),2)&amp;"元整"</f>
        <v>陆仟伍佰叁拾万元整</v>
      </c>
      <c r="E6" s="1958"/>
    </row>
    <row r="7" spans="1:5" ht="15.75">
      <c r="A7" s="1958"/>
      <c r="B7" s="2969"/>
      <c r="C7" s="1962" t="s">
        <v>1619</v>
      </c>
      <c r="D7" s="1041">
        <f ca="1">结果表!H102</f>
        <v>11307</v>
      </c>
      <c r="E7" s="1958"/>
    </row>
    <row r="8" spans="1:5" ht="15.75">
      <c r="A8" s="1958"/>
      <c r="B8" s="2970" t="str">
        <f>结果表!E103</f>
        <v>2.估价师知悉的法定优先受偿款</v>
      </c>
      <c r="C8" s="1963" t="s">
        <v>1620</v>
      </c>
      <c r="D8" s="1041">
        <f>结果表!H103</f>
        <v>0</v>
      </c>
      <c r="E8" s="1958"/>
    </row>
    <row r="9" spans="1:5" ht="15.75">
      <c r="A9" s="1958"/>
      <c r="B9" s="2972"/>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3" t="str">
        <f>结果表!E107</f>
        <v>3.房地产抵押价值</v>
      </c>
      <c r="C13" s="1966" t="s">
        <v>1617</v>
      </c>
      <c r="D13" s="1043">
        <f ca="1">结果表!H107</f>
        <v>6530</v>
      </c>
      <c r="E13" s="1958"/>
    </row>
    <row r="14" spans="1:5" ht="15.75">
      <c r="A14" s="1958"/>
      <c r="B14" s="2964"/>
      <c r="C14" s="1961" t="s">
        <v>1618</v>
      </c>
      <c r="D14" s="1040" t="str">
        <f ca="1">NUMBERSTRING(INT(D13*10000),2)&amp;"元整"</f>
        <v>陆仟伍佰叁拾万元整</v>
      </c>
      <c r="E14" s="1958"/>
    </row>
    <row r="15" spans="1:5" ht="15">
      <c r="A15" s="1958"/>
      <c r="B15" s="2969"/>
      <c r="C15" s="1962" t="s">
        <v>1628</v>
      </c>
      <c r="D15" s="1052">
        <f ca="1">结果表!H108</f>
        <v>11307</v>
      </c>
      <c r="E15" s="1958"/>
    </row>
    <row r="16" spans="1:5" ht="15">
      <c r="A16" s="1958"/>
      <c r="B16" s="2970" t="str">
        <f>结果表!E109</f>
        <v>——</v>
      </c>
      <c r="C16" s="1966" t="s">
        <v>1629</v>
      </c>
      <c r="D16" s="1967" t="str">
        <f>结果表!H109</f>
        <v>——</v>
      </c>
      <c r="E16" s="1958"/>
    </row>
    <row r="17" spans="1:5" ht="15.75">
      <c r="A17" s="1958"/>
      <c r="B17" s="2971"/>
      <c r="C17" s="1961" t="s">
        <v>1630</v>
      </c>
      <c r="D17" s="1040" t="e">
        <f>NUMBERSTRING(INT(D16*10000),2)&amp;"元整"</f>
        <v>#VALUE!</v>
      </c>
      <c r="E17" s="1958"/>
    </row>
    <row r="18" spans="1:5" ht="15">
      <c r="A18" s="1958"/>
      <c r="B18" s="2972"/>
      <c r="C18" s="1962" t="s">
        <v>1619</v>
      </c>
      <c r="D18" s="1052" t="str">
        <f>结果表!H110</f>
        <v>——</v>
      </c>
      <c r="E18" s="1958"/>
    </row>
    <row r="19" spans="1:5" ht="15.75">
      <c r="A19" s="1958"/>
      <c r="B19" s="2963" t="str">
        <f>结果表!E111</f>
        <v>——</v>
      </c>
      <c r="C19" s="1966" t="s">
        <v>1617</v>
      </c>
      <c r="D19" s="1041" t="str">
        <f>结果表!H111</f>
        <v>——</v>
      </c>
      <c r="E19" s="1958"/>
    </row>
    <row r="20" spans="1:5" ht="15.75">
      <c r="A20" s="1958"/>
      <c r="B20" s="2964"/>
      <c r="C20" s="1961" t="s">
        <v>1630</v>
      </c>
      <c r="D20" s="1040" t="e">
        <f>NUMBERSTRING(INT(D19*10000),2)&amp;"元整"</f>
        <v>#VALUE!</v>
      </c>
      <c r="E20" s="1958"/>
    </row>
    <row r="21" spans="1:5" ht="15.75" thickBot="1">
      <c r="A21" s="1958"/>
      <c r="B21" s="2965"/>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6" t="s">
        <v>1147</v>
      </c>
      <c r="H1" s="3276"/>
      <c r="I1" s="3276"/>
      <c r="J1" s="3276"/>
      <c r="K1" s="3276"/>
      <c r="L1" s="3276"/>
      <c r="N1" s="3276" t="s">
        <v>1148</v>
      </c>
      <c r="O1" s="3276"/>
      <c r="P1" s="3276"/>
      <c r="Q1" s="3276"/>
      <c r="R1" s="1446"/>
      <c r="S1" s="3276" t="s">
        <v>1149</v>
      </c>
      <c r="T1" s="3276"/>
      <c r="U1" s="3276"/>
      <c r="V1" s="3276"/>
      <c r="X1" s="3275" t="s">
        <v>1150</v>
      </c>
      <c r="Y1" s="3276"/>
      <c r="Z1" s="3276"/>
      <c r="AA1" s="3276"/>
      <c r="AB1" s="3276"/>
      <c r="AD1" s="3275" t="s">
        <v>1151</v>
      </c>
      <c r="AE1" s="3276"/>
      <c r="AF1" s="3276"/>
      <c r="AG1" s="3276"/>
      <c r="AH1" s="327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7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4" t="s">
        <v>3005</v>
      </c>
      <c r="D1" s="3285"/>
      <c r="E1" s="3285"/>
      <c r="F1" s="3285"/>
      <c r="G1" s="3285"/>
      <c r="H1" s="3285"/>
      <c r="I1" s="3285"/>
      <c r="J1" s="3285"/>
      <c r="K1" s="3285"/>
      <c r="L1" s="3285"/>
      <c r="M1" s="3285"/>
      <c r="N1" s="3285"/>
      <c r="O1" s="3285"/>
      <c r="P1" s="3285"/>
      <c r="Q1" s="3285"/>
      <c r="R1" s="3285"/>
      <c r="S1" s="3286"/>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3" t="s">
        <v>33</v>
      </c>
      <c r="D22" s="3144"/>
      <c r="E22" s="3144"/>
      <c r="F22" s="3144"/>
      <c r="G22" s="3144"/>
      <c r="H22" s="3144"/>
      <c r="I22" s="3144"/>
      <c r="J22" s="3144"/>
      <c r="K22" s="3144"/>
      <c r="L22" s="3144"/>
      <c r="M22" s="3144"/>
      <c r="N22" s="3144"/>
      <c r="O22" s="3144"/>
      <c r="P22" s="3144"/>
      <c r="Q22" s="328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32418</v>
      </c>
      <c r="C2" s="2" t="s">
        <v>133</v>
      </c>
      <c r="D2" s="243"/>
      <c r="E2" s="243"/>
      <c r="F2" s="243"/>
      <c r="G2" s="243"/>
    </row>
    <row r="3" spans="1:7" s="244" customFormat="1" ht="18" customHeight="1" thickBot="1">
      <c r="A3" s="247" t="s">
        <v>85</v>
      </c>
      <c r="B3" s="248">
        <f ca="1">ROUND(B2*10000/'数据-汇总表'!E3,0)</f>
        <v>56133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116</v>
      </c>
      <c r="D10" s="1032">
        <f>'数据-汇总表'!E6</f>
        <v>5775.17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116</v>
      </c>
      <c r="D19" s="1036">
        <f>'数据-汇总表'!E3</f>
        <v>5775.17</v>
      </c>
      <c r="E19" s="255">
        <f>'数据-取费表'!B31</f>
        <v>200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4228</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4228</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2047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1848</v>
      </c>
      <c r="D34" s="261"/>
      <c r="E34" s="264"/>
      <c r="F34" s="301">
        <f>IF('数据-取费表'!B24=0,1,'数据-取费表'!N16)</f>
        <v>1</v>
      </c>
      <c r="G34" s="263" t="s">
        <v>116</v>
      </c>
    </row>
    <row r="35" spans="1:7" ht="13.5" customHeight="1">
      <c r="A35" s="951" t="s">
        <v>796</v>
      </c>
      <c r="B35" s="259" t="s">
        <v>60</v>
      </c>
      <c r="C35" s="264">
        <f>ROUND(C34*F35,0)</f>
        <v>55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116</v>
      </c>
      <c r="D37" s="261">
        <f>'数据-汇总表'!E3</f>
        <v>5775.17</v>
      </c>
      <c r="E37" s="293">
        <f>'数据-取费表'!B35</f>
        <v>200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97</v>
      </c>
      <c r="D42" s="282"/>
      <c r="E42" s="282"/>
      <c r="F42" s="283"/>
      <c r="G42" s="3148" t="s">
        <v>121</v>
      </c>
    </row>
    <row r="43" spans="1:7" ht="13.5" customHeight="1">
      <c r="A43" s="951" t="s">
        <v>792</v>
      </c>
      <c r="B43" s="259" t="s">
        <v>1061</v>
      </c>
      <c r="C43" s="282">
        <f ca="1">ROUND(IF('数据-取费表'!B22&lt;=1,C39*F22*'数据-取费表'!B21/2,C39*(POWER((1+F22),'数据-取费表'!B21/2)-1)),0)</f>
        <v>2</v>
      </c>
      <c r="D43" s="282"/>
      <c r="E43" s="282"/>
      <c r="F43" s="283"/>
      <c r="G43" s="3149"/>
    </row>
    <row r="44" spans="1:7" ht="13.5" customHeight="1">
      <c r="A44" s="951" t="s">
        <v>793</v>
      </c>
      <c r="B44" s="259" t="s">
        <v>1063</v>
      </c>
      <c r="C44" s="282">
        <f ca="1">ROUND(IF('数据-取费表'!B22&lt;=1,C40*F22*'数据-取费表'!B21/2,C40*(POWER((1+F22),'数据-取费表'!B21/2)-1)),4)</f>
        <v>1E-3</v>
      </c>
      <c r="D44" s="282"/>
      <c r="E44" s="282"/>
      <c r="F44" s="283"/>
      <c r="G44" s="3150"/>
    </row>
    <row r="45" spans="1:7" s="258" customFormat="1" ht="13.5" customHeight="1">
      <c r="A45" s="948" t="s">
        <v>786</v>
      </c>
      <c r="B45" s="288" t="s">
        <v>112</v>
      </c>
      <c r="C45" s="289">
        <f>C46</f>
        <v>418</v>
      </c>
      <c r="D45" s="279">
        <f>C47</f>
        <v>4.0000000000000001E-3</v>
      </c>
      <c r="E45" s="280" t="s">
        <v>129</v>
      </c>
      <c r="F45" s="290"/>
      <c r="G45" s="291" t="s">
        <v>1069</v>
      </c>
    </row>
    <row r="46" spans="1:7" s="258" customFormat="1" ht="13.5" customHeight="1">
      <c r="A46" s="951" t="s">
        <v>794</v>
      </c>
      <c r="B46" s="292" t="s">
        <v>1062</v>
      </c>
      <c r="C46" s="293">
        <f>ROUND((C33+C39)*F27,0)</f>
        <v>418</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2826</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2685</v>
      </c>
      <c r="D51" s="276"/>
      <c r="E51" s="276"/>
      <c r="F51" s="308"/>
      <c r="G51" s="278" t="s">
        <v>64</v>
      </c>
    </row>
    <row r="52" spans="1:7" s="252" customFormat="1" ht="16.5" thickBot="1">
      <c r="A52" s="309" t="s">
        <v>65</v>
      </c>
      <c r="B52" s="310"/>
      <c r="C52" s="311">
        <f ca="1">C31+C51</f>
        <v>32418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1635</v>
      </c>
      <c r="B2" s="2983" t="s">
        <v>1636</v>
      </c>
      <c r="C2" s="2983" t="s">
        <v>1637</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4" t="s">
        <v>1632</v>
      </c>
      <c r="E3" s="1044" t="s">
        <v>1638</v>
      </c>
      <c r="F3" s="1044" t="s">
        <v>1632</v>
      </c>
      <c r="G3" s="1044" t="s">
        <v>1633</v>
      </c>
      <c r="H3" s="1044" t="s">
        <v>1632</v>
      </c>
      <c r="I3" s="1044" t="s">
        <v>1633</v>
      </c>
    </row>
    <row r="4" spans="1:9" ht="15">
      <c r="A4" s="1972" t="str">
        <f>项目基本情况!S2</f>
        <v>房地产</v>
      </c>
      <c r="B4" s="1044">
        <f>项目基本情况!C17</f>
        <v>5775.17</v>
      </c>
      <c r="C4" s="1044">
        <f>项目基本情况!C18</f>
        <v>0</v>
      </c>
      <c r="D4" s="1044">
        <f ca="1">结果表!D118</f>
        <v>3931</v>
      </c>
      <c r="E4" s="1044">
        <f ca="1">结果表!E118</f>
        <v>6807</v>
      </c>
      <c r="F4" s="1044">
        <f ca="1">结果表!F118</f>
        <v>2599</v>
      </c>
      <c r="G4" s="1044">
        <f ca="1">结果表!G118</f>
        <v>4500</v>
      </c>
      <c r="H4" s="1044">
        <f ca="1">结果表!H118</f>
        <v>6530</v>
      </c>
      <c r="I4" s="1044">
        <f ca="1">结果表!I118</f>
        <v>11307</v>
      </c>
    </row>
    <row r="5" spans="1:9" ht="30" customHeight="1">
      <c r="A5" s="2977" t="s">
        <v>1634</v>
      </c>
      <c r="B5" s="2977"/>
      <c r="C5" s="2977"/>
      <c r="D5" s="2978" t="str">
        <f ca="1">结果表!D119</f>
        <v>叁仟玖佰叁拾壹万元整</v>
      </c>
      <c r="E5" s="2978"/>
      <c r="F5" s="2978" t="str">
        <f ca="1">结果表!F119</f>
        <v>贰仟伍佰玖拾玖万元整</v>
      </c>
      <c r="G5" s="2978"/>
      <c r="H5" s="2978" t="str">
        <f ca="1">结果表!H119</f>
        <v>陆仟伍佰叁拾万元整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1634</v>
      </c>
      <c r="B7" s="2977"/>
      <c r="C7" s="2977"/>
      <c r="D7" s="2979" t="str">
        <f>结果表!D121</f>
        <v>零元整</v>
      </c>
      <c r="E7" s="2980"/>
      <c r="F7" s="2980"/>
      <c r="G7" s="2980"/>
      <c r="H7" s="2980"/>
      <c r="I7" s="2981"/>
    </row>
    <row r="8" spans="1:9" ht="15.75">
      <c r="A8" s="2976" t="str">
        <f>结果表!A122</f>
        <v>房地产抵押价值</v>
      </c>
      <c r="B8" s="2976"/>
      <c r="C8" s="2976"/>
      <c r="D8" s="2976">
        <f ca="1">结果表!D122</f>
        <v>6530</v>
      </c>
      <c r="E8" s="2976"/>
      <c r="F8" s="2976"/>
      <c r="G8" s="2976"/>
      <c r="H8" s="2976"/>
      <c r="I8" s="2976"/>
    </row>
    <row r="9" spans="1:9" ht="15">
      <c r="A9" s="2977" t="s">
        <v>1634</v>
      </c>
      <c r="B9" s="2977"/>
      <c r="C9" s="2977"/>
      <c r="D9" s="2978" t="str">
        <f ca="1">结果表!D123</f>
        <v>陆仟伍佰叁拾万元整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1634</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1634</v>
      </c>
      <c r="B13" s="2973"/>
      <c r="C13" s="2973"/>
      <c r="D13" s="2974" t="e">
        <f>结果表!D127</f>
        <v>#VALUE!</v>
      </c>
      <c r="E13" s="2974"/>
      <c r="F13" s="2974"/>
      <c r="G13" s="2974"/>
      <c r="H13" s="2974"/>
      <c r="I13" s="2974"/>
    </row>
    <row r="14" spans="1:9" ht="15" thickTop="1">
      <c r="A14" s="2975" t="s">
        <v>1639</v>
      </c>
      <c r="B14" s="2975"/>
      <c r="C14" s="2975"/>
      <c r="D14" s="2975"/>
      <c r="E14" s="2975"/>
      <c r="F14" s="2975"/>
      <c r="G14" s="2975"/>
      <c r="H14" s="2975"/>
      <c r="I14" s="2975"/>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0" t="s">
        <v>1656</v>
      </c>
      <c r="B1" s="2990"/>
      <c r="C1" s="2990"/>
      <c r="D1" s="2990"/>
    </row>
    <row r="2" spans="1:4" ht="18">
      <c r="A2" s="2991" t="s">
        <v>1640</v>
      </c>
      <c r="B2" s="2991"/>
      <c r="C2" s="2991"/>
      <c r="D2" s="2991"/>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91" t="s">
        <v>1646</v>
      </c>
      <c r="B6" s="2991"/>
      <c r="C6" s="2991"/>
      <c r="D6" s="2991"/>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2"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4" t="str">
        <f>IF(项目基本情况!B8="抵押","3.抵押双方在办理抵押登记手续时，应使用本公司出具的正式《房地产评估报告》，特提醒报告使用者注意。","——")</f>
        <v>——</v>
      </c>
      <c r="B13" s="2989"/>
      <c r="C13" s="2989"/>
      <c r="D13" s="2989"/>
    </row>
    <row r="14" spans="1:4" ht="15.75" customHeight="1">
      <c r="A14" s="2984" t="str">
        <f>IF(项目基本情况!B8="抵押","4.本次评估估价师所知悉的法定优先受偿款情况说明如下：","——")</f>
        <v>——</v>
      </c>
      <c r="B14" s="2989"/>
      <c r="C14" s="2989"/>
      <c r="D14" s="2989"/>
    </row>
    <row r="15" spans="1:4" ht="42" customHeight="1">
      <c r="A15" s="2984" t="str">
        <f>IF(项目基本情况!B8="抵押","（1）"&amp;CONCATENATE(项目基本情况!L20,项目基本情况!L21,项目基本情况!L22),"——")</f>
        <v>——</v>
      </c>
      <c r="B15" s="2984"/>
      <c r="C15" s="2984"/>
      <c r="D15" s="2984"/>
    </row>
    <row r="16" spans="1:4" ht="30" customHeight="1">
      <c r="A16" s="2986" t="s">
        <v>1650</v>
      </c>
      <c r="B16" s="2986"/>
      <c r="C16" s="2986"/>
      <c r="D16" s="2986"/>
    </row>
    <row r="17" spans="1:4" ht="144" customHeight="1">
      <c r="A17" s="2986" t="s">
        <v>1651</v>
      </c>
      <c r="B17" s="2986"/>
      <c r="C17" s="2986"/>
      <c r="D17" s="2986"/>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1652</v>
      </c>
      <c r="B22" s="2988"/>
      <c r="C22" s="2988"/>
      <c r="D22" s="298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8" t="s">
        <v>1663</v>
      </c>
      <c r="B15" s="2993" t="s">
        <v>136</v>
      </c>
      <c r="C15" s="2994"/>
    </row>
    <row r="16" spans="1:7" ht="13.5">
      <c r="A16" s="2999"/>
      <c r="B16" s="2993" t="s">
        <v>69</v>
      </c>
      <c r="C16" s="2994"/>
    </row>
    <row r="17" spans="1:3" ht="13.5">
      <c r="A17" s="2999"/>
      <c r="B17" s="2996" t="s">
        <v>1664</v>
      </c>
      <c r="C17" s="1999" t="s">
        <v>1663</v>
      </c>
    </row>
    <row r="18" spans="1:3" ht="13.5">
      <c r="A18" s="2999"/>
      <c r="B18" s="2996"/>
      <c r="C18" s="1999" t="s">
        <v>1665</v>
      </c>
    </row>
    <row r="19" spans="1:3" ht="13.5">
      <c r="A19" s="2999"/>
      <c r="B19" s="2996"/>
      <c r="C19" s="1999" t="s">
        <v>1666</v>
      </c>
    </row>
    <row r="20" spans="1:3" ht="13.5">
      <c r="A20" s="3000"/>
      <c r="B20" s="2995" t="s">
        <v>1667</v>
      </c>
      <c r="C20" s="2994"/>
    </row>
    <row r="21" spans="1:3" ht="13.5">
      <c r="A21" s="2000" t="s">
        <v>1668</v>
      </c>
      <c r="B21" s="2001"/>
      <c r="C21" s="2002"/>
    </row>
    <row r="22" spans="1:3" ht="13.5">
      <c r="A22" s="2997" t="s">
        <v>1669</v>
      </c>
      <c r="B22" s="2995" t="s">
        <v>1670</v>
      </c>
      <c r="C22" s="2994"/>
    </row>
    <row r="23" spans="1:3" ht="13.5">
      <c r="A23" s="2997"/>
      <c r="B23" s="2995" t="s">
        <v>1671</v>
      </c>
      <c r="C23" s="2994"/>
    </row>
    <row r="24" spans="1:3" ht="13.5">
      <c r="A24" s="2997"/>
      <c r="B24" s="2995" t="s">
        <v>1672</v>
      </c>
      <c r="C24" s="2994"/>
    </row>
    <row r="25" spans="1:3" ht="13.5">
      <c r="A25" s="2997"/>
      <c r="B25" s="2996" t="s">
        <v>1673</v>
      </c>
      <c r="C25" s="1999" t="s">
        <v>1674</v>
      </c>
    </row>
    <row r="26" spans="1:3" ht="13.5">
      <c r="A26" s="2997"/>
      <c r="B26" s="2996"/>
      <c r="C26" s="1999" t="s">
        <v>1675</v>
      </c>
    </row>
    <row r="27" spans="1:3" ht="13.5">
      <c r="A27" s="2997"/>
      <c r="B27" s="2996"/>
      <c r="C27" s="1999" t="s">
        <v>1676</v>
      </c>
    </row>
    <row r="28" spans="1:3" ht="13.5">
      <c r="A28" s="2997"/>
      <c r="B28" s="2996"/>
      <c r="C28" s="1999" t="s">
        <v>1677</v>
      </c>
    </row>
    <row r="29" spans="1:3" ht="13.5">
      <c r="A29" s="2997"/>
      <c r="B29" s="2996"/>
      <c r="C29" s="1999" t="s">
        <v>1678</v>
      </c>
    </row>
    <row r="30" spans="1:3" ht="13.5">
      <c r="A30" s="2997"/>
      <c r="B30" s="2996"/>
      <c r="C30" s="1999" t="s">
        <v>1679</v>
      </c>
    </row>
    <row r="31" spans="1:3" ht="13.5">
      <c r="A31" s="2997"/>
      <c r="B31" s="2996"/>
      <c r="C31" s="1999" t="s">
        <v>1680</v>
      </c>
    </row>
    <row r="32" spans="1:3" ht="13.5">
      <c r="A32" s="2997"/>
      <c r="B32" s="2996"/>
      <c r="C32" s="1999" t="s">
        <v>1681</v>
      </c>
    </row>
    <row r="33" spans="1:3" ht="13.5">
      <c r="A33" s="2997"/>
      <c r="B33" s="2996"/>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43727</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案例</vt:lpstr>
      <vt:lpstr>租金</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2019-09-19T07:24:52Z</dcterms:modified>
</cp:coreProperties>
</file>