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做的项目\2022-1-0007黄村估值\2022-1-0007黄村估值\P03-农行宣武支行-调整咨询函（调售价）\"/>
    </mc:Choice>
  </mc:AlternateContent>
  <bookViews>
    <workbookView xWindow="0" yWindow="0" windowWidth="20490" windowHeight="907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Sheet1"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车库" sheetId="74" state="hidden" r:id="rId31"/>
    <sheet name="不动产收益法" sheetId="15"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案例" sheetId="70" r:id="rId43"/>
    <sheet name="土地案例" sheetId="71" r:id="rId44"/>
    <sheet name="Sheet2" sheetId="72" r:id="rId45"/>
    <sheet name="Sheet3" sheetId="73" r:id="rId46"/>
  </sheets>
  <externalReferences>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0">'不动产收益法-车库'!$A$1:$F$43,'不动产收益法-车库'!$H$3:$M$29,'不动产收益法-车库'!$A$46:$F$70,'不动产收益法-车库'!$I$46:$M$60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L37" i="35" l="1"/>
  <c r="K16" i="35"/>
  <c r="K14" i="35"/>
  <c r="AH18" i="1"/>
  <c r="Q73" i="74"/>
  <c r="Q60" i="74"/>
  <c r="F60" i="74"/>
  <c r="D60" i="74"/>
  <c r="Q59" i="74"/>
  <c r="K59" i="74"/>
  <c r="P75" i="74" s="1"/>
  <c r="F58" i="74"/>
  <c r="Q52" i="74"/>
  <c r="J50" i="74"/>
  <c r="J51" i="74" s="1"/>
  <c r="M47" i="74"/>
  <c r="F34" i="74"/>
  <c r="F61" i="74" s="1"/>
  <c r="F33" i="74"/>
  <c r="F32" i="74"/>
  <c r="F59" i="74" s="1"/>
  <c r="F31" i="74"/>
  <c r="F28" i="74"/>
  <c r="C28" i="74" s="1"/>
  <c r="F23" i="74"/>
  <c r="F21" i="74"/>
  <c r="M20" i="74"/>
  <c r="F20" i="74"/>
  <c r="M19" i="74"/>
  <c r="M18" i="74"/>
  <c r="F18" i="74"/>
  <c r="M17" i="74"/>
  <c r="F17" i="74"/>
  <c r="F15" i="74"/>
  <c r="G1" i="74"/>
  <c r="D23" i="74" l="1"/>
  <c r="D22" i="74"/>
  <c r="P62" i="74"/>
  <c r="D24" i="74"/>
  <c r="L46" i="74"/>
  <c r="D3" i="4"/>
  <c r="F40" i="74"/>
  <c r="M27" i="74"/>
  <c r="J15" i="74"/>
  <c r="M6" i="74"/>
  <c r="F9" i="74"/>
  <c r="F43" i="74"/>
  <c r="M24" i="74"/>
  <c r="F38" i="74"/>
  <c r="F26" i="74"/>
  <c r="C14" i="74"/>
  <c r="M22" i="74"/>
  <c r="M8" i="74"/>
  <c r="M28" i="74"/>
  <c r="J36" i="74"/>
  <c r="M23" i="74"/>
  <c r="M9" i="74"/>
  <c r="F36" i="74"/>
  <c r="F7" i="74"/>
  <c r="F37" i="74"/>
  <c r="F13" i="74"/>
  <c r="F42" i="74"/>
  <c r="M26" i="74"/>
  <c r="F8" i="74"/>
  <c r="F35" i="74"/>
  <c r="M21" i="74"/>
  <c r="F6" i="74"/>
  <c r="L48" i="74"/>
  <c r="F16" i="74"/>
  <c r="L47" i="74"/>
  <c r="M29" i="74"/>
  <c r="L58" i="74" l="1"/>
  <c r="L59" i="74"/>
  <c r="L56" i="74"/>
  <c r="L57" i="74"/>
  <c r="J53" i="74"/>
  <c r="J57" i="74"/>
  <c r="J55" i="74" s="1"/>
  <c r="J58" i="74" s="1"/>
  <c r="Q51" i="74" s="1"/>
  <c r="L60" i="74"/>
  <c r="J59" i="74"/>
  <c r="I54" i="74"/>
  <c r="J60" i="74"/>
  <c r="Q49" i="74" s="1"/>
  <c r="C6" i="74"/>
  <c r="J20" i="74"/>
  <c r="C34" i="74"/>
  <c r="F62" i="74"/>
  <c r="C61" i="74" s="1"/>
  <c r="F50" i="74"/>
  <c r="F64" i="74"/>
  <c r="F49" i="74"/>
  <c r="M7" i="74"/>
  <c r="J6" i="74" s="1"/>
  <c r="F63" i="74"/>
  <c r="Q72" i="74"/>
  <c r="C18" i="74"/>
  <c r="C15" i="74"/>
  <c r="C27" i="74"/>
  <c r="F65" i="74"/>
  <c r="F70" i="74"/>
  <c r="F67" i="74"/>
  <c r="C38" i="9"/>
  <c r="C37" i="9"/>
  <c r="C16" i="74"/>
  <c r="C17" i="74"/>
  <c r="C48" i="74" l="1"/>
  <c r="C60" i="74" s="1"/>
  <c r="C19" i="74"/>
  <c r="J18" i="74"/>
  <c r="C33" i="74"/>
  <c r="C32" i="74"/>
  <c r="Q67" i="74"/>
  <c r="Q58" i="74"/>
  <c r="F1" i="74"/>
  <c r="Q53" i="74"/>
  <c r="Q75" i="74"/>
  <c r="Q62" i="74"/>
  <c r="Q61" i="74"/>
  <c r="Q74" i="74"/>
  <c r="I7" i="39"/>
  <c r="I48" i="39"/>
  <c r="I40" i="39"/>
  <c r="I9" i="39"/>
  <c r="G48" i="39"/>
  <c r="E48" i="39"/>
  <c r="G40" i="39"/>
  <c r="E40" i="39"/>
  <c r="G9" i="39"/>
  <c r="E9" i="39"/>
  <c r="G7" i="39"/>
  <c r="E7" i="39"/>
  <c r="L14" i="1"/>
  <c r="L8" i="1"/>
  <c r="K9" i="72"/>
  <c r="L1" i="72"/>
  <c r="L4" i="72"/>
  <c r="L2" i="72"/>
  <c r="L6" i="72"/>
  <c r="K27" i="69"/>
  <c r="Q29" i="69"/>
  <c r="Q30" i="69" s="1"/>
  <c r="P29" i="69"/>
  <c r="P30" i="69" s="1"/>
  <c r="AF13" i="3" s="1"/>
  <c r="O29" i="69"/>
  <c r="O30" i="69" s="1"/>
  <c r="AJ13" i="3" s="1"/>
  <c r="J29" i="69"/>
  <c r="J30" i="69" s="1"/>
  <c r="H29" i="69"/>
  <c r="H30" i="69" s="1"/>
  <c r="AH13" i="3" s="1"/>
  <c r="E9" i="6" s="1"/>
  <c r="G29" i="69"/>
  <c r="G30" i="69" s="1"/>
  <c r="AL13" i="3" s="1"/>
  <c r="E29" i="69"/>
  <c r="E30" i="69" s="1"/>
  <c r="I13" i="3" s="1"/>
  <c r="F19" i="6" s="1"/>
  <c r="K28" i="69"/>
  <c r="D28" i="69"/>
  <c r="C28" i="69" s="1"/>
  <c r="D27" i="69"/>
  <c r="Q26" i="69"/>
  <c r="N26" i="69"/>
  <c r="L26" i="69"/>
  <c r="L29" i="69" s="1"/>
  <c r="L30" i="69" s="1"/>
  <c r="M13" i="3" s="1"/>
  <c r="G21" i="6" s="1"/>
  <c r="B38" i="9" s="1"/>
  <c r="E38" i="9" s="1"/>
  <c r="D26" i="69"/>
  <c r="K25" i="69"/>
  <c r="I25" i="69"/>
  <c r="D25" i="69" s="1"/>
  <c r="K24" i="69"/>
  <c r="I24" i="69"/>
  <c r="D24" i="69" s="1"/>
  <c r="K23" i="69"/>
  <c r="I23" i="69"/>
  <c r="F23" i="69"/>
  <c r="D23" i="69" s="1"/>
  <c r="K22" i="69"/>
  <c r="F22" i="69"/>
  <c r="D22" i="69"/>
  <c r="N21" i="69"/>
  <c r="K21" i="69" s="1"/>
  <c r="D21" i="69"/>
  <c r="C21" i="69" s="1"/>
  <c r="N20" i="69"/>
  <c r="K20" i="69" s="1"/>
  <c r="D20" i="69"/>
  <c r="C20" i="69" s="1"/>
  <c r="N19" i="69"/>
  <c r="K19" i="69" s="1"/>
  <c r="D19" i="69"/>
  <c r="C19" i="69" s="1"/>
  <c r="N18" i="69"/>
  <c r="K18" i="69" s="1"/>
  <c r="D18" i="69"/>
  <c r="C18" i="69" s="1"/>
  <c r="N17" i="69"/>
  <c r="K17" i="69" s="1"/>
  <c r="D17" i="69"/>
  <c r="C17" i="69" s="1"/>
  <c r="N16" i="69"/>
  <c r="K16" i="69" s="1"/>
  <c r="D16" i="69"/>
  <c r="C16" i="69" s="1"/>
  <c r="N15" i="69"/>
  <c r="M15" i="69"/>
  <c r="K15" i="69" s="1"/>
  <c r="D15" i="69"/>
  <c r="N14" i="69"/>
  <c r="K14" i="69" s="1"/>
  <c r="C14" i="69" s="1"/>
  <c r="D14" i="69"/>
  <c r="N13" i="69"/>
  <c r="K13" i="69"/>
  <c r="D13" i="69"/>
  <c r="N12" i="69"/>
  <c r="K12" i="69"/>
  <c r="D12" i="69"/>
  <c r="N11" i="69"/>
  <c r="K11" i="69" s="1"/>
  <c r="C11" i="69" s="1"/>
  <c r="D11" i="69"/>
  <c r="N10" i="69"/>
  <c r="K10" i="69"/>
  <c r="C10" i="69" s="1"/>
  <c r="D10" i="69"/>
  <c r="N9" i="69"/>
  <c r="K9" i="69"/>
  <c r="D9" i="69"/>
  <c r="N8" i="69"/>
  <c r="M8" i="69"/>
  <c r="K8" i="69" s="1"/>
  <c r="D8" i="69"/>
  <c r="N7" i="69"/>
  <c r="K7" i="69" s="1"/>
  <c r="D7" i="69"/>
  <c r="N6" i="69"/>
  <c r="K6" i="69" s="1"/>
  <c r="D6" i="69"/>
  <c r="N5" i="69"/>
  <c r="K5" i="69" s="1"/>
  <c r="D5" i="69"/>
  <c r="N4" i="69"/>
  <c r="K4" i="69" s="1"/>
  <c r="D4" i="69"/>
  <c r="N3" i="69"/>
  <c r="D3" i="69"/>
  <c r="C31" i="74" l="1"/>
  <c r="C20" i="74"/>
  <c r="C26" i="74" s="1"/>
  <c r="C9" i="69"/>
  <c r="C13" i="69"/>
  <c r="C12" i="69"/>
  <c r="C15" i="69"/>
  <c r="C24" i="69"/>
  <c r="C27" i="69"/>
  <c r="L9" i="72"/>
  <c r="AE13" i="3" s="1"/>
  <c r="AT13" i="3"/>
  <c r="D29" i="69"/>
  <c r="C23" i="69"/>
  <c r="N29" i="69"/>
  <c r="N30" i="69" s="1"/>
  <c r="AN13" i="3" s="1"/>
  <c r="C22" i="69"/>
  <c r="F29" i="69"/>
  <c r="F30" i="69" s="1"/>
  <c r="I29" i="69"/>
  <c r="I30" i="69" s="1"/>
  <c r="AD13" i="3" s="1"/>
  <c r="C25" i="69"/>
  <c r="K26" i="69"/>
  <c r="C26" i="69" s="1"/>
  <c r="C4" i="69"/>
  <c r="C5" i="69"/>
  <c r="C6" i="69"/>
  <c r="C7" i="69"/>
  <c r="C8" i="69"/>
  <c r="M29" i="69"/>
  <c r="M30" i="69" s="1"/>
  <c r="K13" i="3" s="1"/>
  <c r="G20" i="6" s="1"/>
  <c r="B37" i="9" s="1"/>
  <c r="E37" i="9" s="1"/>
  <c r="G35" i="9" s="1"/>
  <c r="K3" i="69"/>
  <c r="K29" i="69" s="1"/>
  <c r="K20" i="35"/>
  <c r="K18" i="35"/>
  <c r="E21" i="35"/>
  <c r="G19" i="35"/>
  <c r="E19" i="35"/>
  <c r="C21" i="35"/>
  <c r="C19" i="35"/>
  <c r="C17" i="35"/>
  <c r="C15" i="35"/>
  <c r="D73" i="39"/>
  <c r="E73" i="39" s="1"/>
  <c r="F73" i="39" s="1"/>
  <c r="G73" i="39" s="1"/>
  <c r="H73" i="39" s="1"/>
  <c r="I73" i="39" s="1"/>
  <c r="J73" i="39" s="1"/>
  <c r="K73" i="39" s="1"/>
  <c r="L73" i="39" s="1"/>
  <c r="M73" i="39" s="1"/>
  <c r="N73" i="39" s="1"/>
  <c r="D30" i="69" l="1"/>
  <c r="C30" i="69" s="1"/>
  <c r="C3" i="69"/>
  <c r="C29" i="69" s="1"/>
  <c r="K30" i="69"/>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AH5" i="59"/>
  <c r="AG5" i="59"/>
  <c r="AE5" i="59"/>
  <c r="AF5" i="59" s="1"/>
  <c r="AD5" i="59"/>
  <c r="Q5" i="59"/>
  <c r="P5" i="59"/>
  <c r="O5" i="59"/>
  <c r="N5" i="59"/>
  <c r="E32" i="68" l="1"/>
  <c r="B2" i="68"/>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c r="AD13" i="59"/>
  <c r="Q14" i="59"/>
  <c r="Q15" i="59"/>
  <c r="P14" i="59"/>
  <c r="P15" i="59"/>
  <c r="O14" i="59"/>
  <c r="O15" i="59"/>
  <c r="N14" i="59"/>
  <c r="N15" i="59"/>
  <c r="AH14" i="59"/>
  <c r="AG14" i="59"/>
  <c r="AE14" i="59"/>
  <c r="AF14" i="59"/>
  <c r="AD14" i="59"/>
  <c r="F25" i="12"/>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c r="AD17" i="59"/>
  <c r="Q17" i="59"/>
  <c r="Q18" i="59"/>
  <c r="P17" i="59"/>
  <c r="P18" i="59"/>
  <c r="O17" i="59"/>
  <c r="O18" i="59"/>
  <c r="N17" i="59"/>
  <c r="N18" i="59"/>
  <c r="AH18" i="59"/>
  <c r="AG18" i="59"/>
  <c r="AE18" i="59"/>
  <c r="AF18" i="59"/>
  <c r="AD18" i="59"/>
  <c r="Q19" i="59"/>
  <c r="P19" i="59"/>
  <c r="O19" i="59"/>
  <c r="N19" i="59"/>
  <c r="M19" i="46"/>
  <c r="J50" i="15"/>
  <c r="J51" i="15"/>
  <c r="D21" i="59"/>
  <c r="AH19" i="59"/>
  <c r="AG19" i="59"/>
  <c r="AE19" i="59"/>
  <c r="AF19" i="59" s="1"/>
  <c r="AD19" i="59"/>
  <c r="AE20" i="59"/>
  <c r="AF20" i="59"/>
  <c r="AG20" i="59"/>
  <c r="AH20" i="59"/>
  <c r="AD20" i="59"/>
  <c r="Q20" i="59"/>
  <c r="F20" i="59" s="1"/>
  <c r="V20" i="59" s="1"/>
  <c r="P20" i="59"/>
  <c r="O20" i="59"/>
  <c r="N20" i="59"/>
  <c r="B20" i="59" s="1"/>
  <c r="N21" i="59"/>
  <c r="X20" i="59" s="1"/>
  <c r="Q21" i="59"/>
  <c r="P21" i="59"/>
  <c r="O21" i="59"/>
  <c r="K59" i="15"/>
  <c r="Q74" i="44"/>
  <c r="Q61" i="44"/>
  <c r="Q60" i="44"/>
  <c r="Q53" i="44"/>
  <c r="J51" i="44"/>
  <c r="J52" i="44"/>
  <c r="M48" i="44"/>
  <c r="A16" i="55"/>
  <c r="B67" i="63" s="1"/>
  <c r="A15" i="55"/>
  <c r="B66" i="63" s="1"/>
  <c r="A10" i="55"/>
  <c r="B61" i="63" s="1"/>
  <c r="A9" i="55"/>
  <c r="B60" i="63" s="1"/>
  <c r="A8" i="55"/>
  <c r="B59" i="63" s="1"/>
  <c r="A6" i="54"/>
  <c r="A8" i="54"/>
  <c r="A7" i="54"/>
  <c r="A27" i="51"/>
  <c r="B20" i="63" s="1"/>
  <c r="Q22" i="59"/>
  <c r="O22" i="59"/>
  <c r="N23" i="59"/>
  <c r="O23" i="59"/>
  <c r="P23" i="59"/>
  <c r="Q23" i="59"/>
  <c r="N22" i="59"/>
  <c r="P22" i="59"/>
  <c r="C24" i="59"/>
  <c r="C23" i="59" s="1"/>
  <c r="K75" i="9"/>
  <c r="K6" i="4"/>
  <c r="K76" i="9"/>
  <c r="B22" i="31"/>
  <c r="E15" i="66"/>
  <c r="F15" i="66"/>
  <c r="E16" i="66"/>
  <c r="F16" i="66"/>
  <c r="E17" i="66"/>
  <c r="F17" i="66"/>
  <c r="E18" i="66"/>
  <c r="F18" i="66"/>
  <c r="E19" i="66"/>
  <c r="F19" i="66"/>
  <c r="E20" i="66"/>
  <c r="F20" i="66"/>
  <c r="E21" i="66"/>
  <c r="F21" i="66"/>
  <c r="E22" i="66"/>
  <c r="F22" i="66"/>
  <c r="E23" i="66"/>
  <c r="F23" i="66"/>
  <c r="B3" i="66"/>
  <c r="E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c r="AD35" i="59"/>
  <c r="AD36" i="59"/>
  <c r="AE36" i="59"/>
  <c r="AF36" i="59"/>
  <c r="AG36" i="59"/>
  <c r="AH36" i="59"/>
  <c r="AB30" i="59"/>
  <c r="S2" i="31"/>
  <c r="M2" i="31"/>
  <c r="N2" i="31"/>
  <c r="O2" i="31"/>
  <c r="P2" i="31"/>
  <c r="Q2" i="31"/>
  <c r="R2" i="31"/>
  <c r="C20" i="59"/>
  <c r="C3" i="65"/>
  <c r="C1" i="65"/>
  <c r="N1" i="65" s="1"/>
  <c r="B76" i="63"/>
  <c r="M5" i="54"/>
  <c r="B41" i="63" s="1"/>
  <c r="A23" i="51"/>
  <c r="B17" i="63" s="1"/>
  <c r="Y12" i="46"/>
  <c r="AA9" i="46"/>
  <c r="AA10" i="46" s="1"/>
  <c r="AB9" i="46"/>
  <c r="AB10" i="46"/>
  <c r="AC9" i="46"/>
  <c r="AD9" i="46"/>
  <c r="AD10" i="46" s="1"/>
  <c r="AE9" i="46"/>
  <c r="AE10" i="46" s="1"/>
  <c r="AF9" i="46"/>
  <c r="AF10" i="46" s="1"/>
  <c r="AG9" i="46"/>
  <c r="AH9" i="46"/>
  <c r="AH10" i="46" s="1"/>
  <c r="AI9" i="46"/>
  <c r="AJ9" i="46"/>
  <c r="AJ10" i="46" s="1"/>
  <c r="Z9" i="46"/>
  <c r="Z12" i="46" s="1"/>
  <c r="Z10" i="46"/>
  <c r="AG10" i="46"/>
  <c r="Y10" i="46"/>
  <c r="AG12" i="46"/>
  <c r="AA12" i="46"/>
  <c r="B73" i="63"/>
  <c r="A21" i="64"/>
  <c r="B75" i="63" s="1"/>
  <c r="A27" i="64"/>
  <c r="A15" i="64"/>
  <c r="A14" i="64"/>
  <c r="A11" i="64"/>
  <c r="A3" i="64"/>
  <c r="A45" i="9"/>
  <c r="K40" i="9" s="1"/>
  <c r="A44" i="9"/>
  <c r="K39" i="9" s="1"/>
  <c r="C57" i="10"/>
  <c r="A28" i="64" s="1"/>
  <c r="C56" i="10"/>
  <c r="C55" i="10"/>
  <c r="C54" i="10"/>
  <c r="A26" i="51" s="1"/>
  <c r="B19" i="63" s="1"/>
  <c r="B49" i="63"/>
  <c r="B44" i="63"/>
  <c r="B40" i="63"/>
  <c r="B30" i="63"/>
  <c r="B27" i="63"/>
  <c r="B25" i="63"/>
  <c r="A11" i="51"/>
  <c r="B10" i="63" s="1"/>
  <c r="A26" i="64"/>
  <c r="B58" i="63"/>
  <c r="B53" i="63"/>
  <c r="B51" i="63"/>
  <c r="A46" i="9"/>
  <c r="K41" i="9"/>
  <c r="B8" i="63"/>
  <c r="A21" i="55"/>
  <c r="B71" i="63" s="1"/>
  <c r="A20" i="55"/>
  <c r="B69" i="63"/>
  <c r="B26" i="63"/>
  <c r="B28" i="63"/>
  <c r="B29" i="63"/>
  <c r="B31" i="63"/>
  <c r="B33" i="63"/>
  <c r="B35" i="63"/>
  <c r="B36" i="63"/>
  <c r="B37" i="63"/>
  <c r="B63" i="63"/>
  <c r="B64" i="63"/>
  <c r="B68" i="63"/>
  <c r="D51" i="10"/>
  <c r="B51" i="10"/>
  <c r="A15" i="51"/>
  <c r="B12" i="63" s="1"/>
  <c r="A14" i="51"/>
  <c r="B11" i="63"/>
  <c r="A4" i="55"/>
  <c r="B57" i="63" s="1"/>
  <c r="G5" i="54"/>
  <c r="B34" i="63"/>
  <c r="E5" i="54"/>
  <c r="B32" i="63" s="1"/>
  <c r="R2" i="54"/>
  <c r="B24" i="63" s="1"/>
  <c r="B49" i="50"/>
  <c r="B5" i="63"/>
  <c r="B40" i="50"/>
  <c r="B3" i="63" s="1"/>
  <c r="I19" i="46"/>
  <c r="Q24" i="59"/>
  <c r="P24" i="59"/>
  <c r="O24" i="59"/>
  <c r="N24" i="59"/>
  <c r="D85" i="59"/>
  <c r="F84" i="59"/>
  <c r="E84" i="59"/>
  <c r="E83" i="59"/>
  <c r="E82" i="59"/>
  <c r="C84" i="59"/>
  <c r="D84" i="59" s="1"/>
  <c r="B84" i="59"/>
  <c r="B83" i="59" s="1"/>
  <c r="B82" i="59" s="1"/>
  <c r="F83" i="59"/>
  <c r="F82" i="59"/>
  <c r="D81" i="59"/>
  <c r="F80" i="59"/>
  <c r="F79" i="59" s="1"/>
  <c r="F78" i="59" s="1"/>
  <c r="E80" i="59"/>
  <c r="E79" i="59"/>
  <c r="E78" i="59" s="1"/>
  <c r="C80" i="59"/>
  <c r="D80" i="59" s="1"/>
  <c r="B80" i="59"/>
  <c r="B79" i="59" s="1"/>
  <c r="B78" i="59" s="1"/>
  <c r="D77" i="59"/>
  <c r="Q76" i="59"/>
  <c r="P76" i="59"/>
  <c r="O76" i="59"/>
  <c r="N76" i="59"/>
  <c r="F76" i="59"/>
  <c r="V76" i="59" s="1"/>
  <c r="E76" i="59"/>
  <c r="U76" i="59" s="1"/>
  <c r="C76" i="59"/>
  <c r="B76" i="59"/>
  <c r="S76" i="59" s="1"/>
  <c r="Q75" i="59"/>
  <c r="P75" i="59"/>
  <c r="O75" i="59"/>
  <c r="N75" i="59"/>
  <c r="F75" i="59"/>
  <c r="F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F64" i="59"/>
  <c r="V64" i="59" s="1"/>
  <c r="E64" i="59"/>
  <c r="C64" i="59"/>
  <c r="C63" i="59" s="1"/>
  <c r="O63" i="59" s="1"/>
  <c r="B64" i="59"/>
  <c r="N64" i="59"/>
  <c r="D61" i="59"/>
  <c r="Q60" i="59"/>
  <c r="P60" i="59"/>
  <c r="O60" i="59"/>
  <c r="N60" i="59"/>
  <c r="Q59" i="59"/>
  <c r="P59" i="59"/>
  <c r="O59" i="59"/>
  <c r="N59" i="59"/>
  <c r="Q58" i="59"/>
  <c r="P58" i="59"/>
  <c r="O58" i="59"/>
  <c r="N58" i="59"/>
  <c r="B59" i="59" s="1"/>
  <c r="B60" i="59" s="1"/>
  <c r="S60" i="59" s="1"/>
  <c r="Q57" i="59"/>
  <c r="F58" i="59" s="1"/>
  <c r="F59" i="59" s="1"/>
  <c r="F60" i="59" s="1"/>
  <c r="V60" i="59" s="1"/>
  <c r="P57" i="59"/>
  <c r="E58" i="59"/>
  <c r="O57" i="59"/>
  <c r="C58" i="59" s="1"/>
  <c r="C59" i="59" s="1"/>
  <c r="N57" i="59"/>
  <c r="B58" i="59" s="1"/>
  <c r="D57" i="59"/>
  <c r="Q56" i="59"/>
  <c r="P56" i="59"/>
  <c r="O56" i="59"/>
  <c r="N56" i="59"/>
  <c r="Q55" i="59"/>
  <c r="P55" i="59"/>
  <c r="O55" i="59"/>
  <c r="N55" i="59"/>
  <c r="Q54" i="59"/>
  <c r="P54" i="59"/>
  <c r="O54" i="59"/>
  <c r="N54" i="59"/>
  <c r="Q53" i="59"/>
  <c r="F54" i="59" s="1"/>
  <c r="F55" i="59" s="1"/>
  <c r="F56" i="59" s="1"/>
  <c r="V56" i="59" s="1"/>
  <c r="P53" i="59"/>
  <c r="E54" i="59" s="1"/>
  <c r="E55" i="59"/>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c r="D50" i="59" s="1"/>
  <c r="N49" i="59"/>
  <c r="B50" i="59" s="1"/>
  <c r="B51" i="59" s="1"/>
  <c r="B52" i="59" s="1"/>
  <c r="S52" i="59" s="1"/>
  <c r="D49" i="59"/>
  <c r="Q48" i="59"/>
  <c r="P48" i="59"/>
  <c r="O48" i="59"/>
  <c r="N48" i="59"/>
  <c r="Q47" i="59"/>
  <c r="P47" i="59"/>
  <c r="O47" i="59"/>
  <c r="N47" i="59"/>
  <c r="Q46" i="59"/>
  <c r="P46" i="59"/>
  <c r="O46" i="59"/>
  <c r="N46" i="59"/>
  <c r="Q45" i="59"/>
  <c r="F46" i="59" s="1"/>
  <c r="F47" i="59"/>
  <c r="F48" i="59" s="1"/>
  <c r="V48" i="59" s="1"/>
  <c r="P45" i="59"/>
  <c r="E46" i="59" s="1"/>
  <c r="O45" i="59"/>
  <c r="C46" i="59"/>
  <c r="D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c r="O37" i="59"/>
  <c r="C38" i="59" s="1"/>
  <c r="C39" i="59" s="1"/>
  <c r="C40" i="59" s="1"/>
  <c r="T40" i="59" s="1"/>
  <c r="N37" i="59"/>
  <c r="B38" i="59" s="1"/>
  <c r="B39" i="59"/>
  <c r="B40" i="59" s="1"/>
  <c r="S40" i="59" s="1"/>
  <c r="D37" i="59"/>
  <c r="Q36" i="59"/>
  <c r="P36" i="59"/>
  <c r="O36" i="59"/>
  <c r="N36" i="59"/>
  <c r="Q35" i="59"/>
  <c r="P35" i="59"/>
  <c r="O35" i="59"/>
  <c r="Y35" i="59"/>
  <c r="Z35" i="59" s="1"/>
  <c r="N35" i="59"/>
  <c r="Q34" i="59"/>
  <c r="AB34" i="59" s="1"/>
  <c r="P34" i="59"/>
  <c r="O34" i="59"/>
  <c r="Y33" i="59" s="1"/>
  <c r="Z33" i="59" s="1"/>
  <c r="N34" i="59"/>
  <c r="X34" i="59" s="1"/>
  <c r="Q33" i="59"/>
  <c r="F34" i="59"/>
  <c r="F35" i="59" s="1"/>
  <c r="P33" i="59"/>
  <c r="E34" i="59" s="1"/>
  <c r="E35" i="59" s="1"/>
  <c r="O33" i="59"/>
  <c r="C34" i="59"/>
  <c r="N33" i="59"/>
  <c r="B34" i="59" s="1"/>
  <c r="B35" i="59" s="1"/>
  <c r="B36" i="59" s="1"/>
  <c r="S36" i="59" s="1"/>
  <c r="D33" i="59"/>
  <c r="Q32" i="59"/>
  <c r="AB32" i="59" s="1"/>
  <c r="P32" i="59"/>
  <c r="O32" i="59"/>
  <c r="N32" i="59"/>
  <c r="Q31" i="59"/>
  <c r="AB31" i="59" s="1"/>
  <c r="P31" i="59"/>
  <c r="O31" i="59"/>
  <c r="N31" i="59"/>
  <c r="Q30" i="59"/>
  <c r="P30" i="59"/>
  <c r="O30" i="59"/>
  <c r="N30" i="59"/>
  <c r="Q29" i="59"/>
  <c r="AB29" i="59" s="1"/>
  <c r="F30" i="59"/>
  <c r="F31" i="59" s="1"/>
  <c r="F32" i="59" s="1"/>
  <c r="P29" i="59"/>
  <c r="O29" i="59"/>
  <c r="C30" i="59" s="1"/>
  <c r="D30" i="59" s="1"/>
  <c r="N29" i="59"/>
  <c r="B30" i="59"/>
  <c r="B31" i="59" s="1"/>
  <c r="B32" i="59" s="1"/>
  <c r="S32" i="59" s="1"/>
  <c r="D29" i="59"/>
  <c r="Q28" i="59"/>
  <c r="AB28" i="59" s="1"/>
  <c r="P28" i="59"/>
  <c r="O28" i="59"/>
  <c r="N28" i="59"/>
  <c r="Q27" i="59"/>
  <c r="AB27" i="59" s="1"/>
  <c r="P27" i="59"/>
  <c r="O27" i="59"/>
  <c r="N27" i="59"/>
  <c r="Q26" i="59"/>
  <c r="AB26" i="59" s="1"/>
  <c r="P26" i="59"/>
  <c r="O26" i="59"/>
  <c r="N26" i="59"/>
  <c r="Q25" i="59"/>
  <c r="P25" i="59"/>
  <c r="O25" i="59"/>
  <c r="N25" i="59"/>
  <c r="B26" i="59"/>
  <c r="B27" i="59" s="1"/>
  <c r="B28" i="59" s="1"/>
  <c r="S28" i="59" s="1"/>
  <c r="D25" i="59"/>
  <c r="V32" i="59"/>
  <c r="F36" i="59"/>
  <c r="V36" i="59" s="1"/>
  <c r="C47" i="59"/>
  <c r="C51" i="59"/>
  <c r="D58" i="59"/>
  <c r="C31" i="59"/>
  <c r="C32" i="59" s="1"/>
  <c r="T32" i="59" s="1"/>
  <c r="T64" i="59"/>
  <c r="O64" i="59"/>
  <c r="U64" i="59"/>
  <c r="Q64" i="59"/>
  <c r="C71" i="59"/>
  <c r="D71" i="59" s="1"/>
  <c r="E71" i="59"/>
  <c r="E70" i="59" s="1"/>
  <c r="D72" i="59"/>
  <c r="C79" i="59"/>
  <c r="C83" i="59"/>
  <c r="U16" i="4"/>
  <c r="S16" i="4"/>
  <c r="Q16" i="4"/>
  <c r="O16" i="4"/>
  <c r="N16" i="4" s="1"/>
  <c r="M16" i="4"/>
  <c r="K16" i="4"/>
  <c r="D63" i="59"/>
  <c r="D79" i="59"/>
  <c r="C78" i="59"/>
  <c r="D78" i="59" s="1"/>
  <c r="C70" i="59"/>
  <c r="D70" i="59"/>
  <c r="D39" i="59"/>
  <c r="D40" i="59"/>
  <c r="O27" i="6"/>
  <c r="N27" i="6"/>
  <c r="P26" i="6"/>
  <c r="L26" i="6"/>
  <c r="P25" i="6"/>
  <c r="L25" i="6"/>
  <c r="P24" i="6"/>
  <c r="L24" i="6"/>
  <c r="P23" i="6"/>
  <c r="L23" i="6"/>
  <c r="P22" i="6"/>
  <c r="L22" i="6"/>
  <c r="P21" i="6"/>
  <c r="L21" i="6"/>
  <c r="P20" i="6"/>
  <c r="P19" i="6"/>
  <c r="P27" i="6" s="1"/>
  <c r="Q18" i="36"/>
  <c r="Z18" i="36" s="1"/>
  <c r="C18" i="36"/>
  <c r="D66" i="36"/>
  <c r="E66" i="36" s="1"/>
  <c r="F18" i="36"/>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84" i="34" s="1"/>
  <c r="G84" i="34" s="1"/>
  <c r="F21" i="34"/>
  <c r="Z21" i="33"/>
  <c r="Q21" i="33"/>
  <c r="C21" i="33"/>
  <c r="D83" i="33"/>
  <c r="E83" i="33"/>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c r="C22" i="20"/>
  <c r="C31" i="39" s="1"/>
  <c r="C27" i="40"/>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s="1"/>
  <c r="K82" i="46"/>
  <c r="J82" i="46" s="1"/>
  <c r="D82" i="46"/>
  <c r="M81" i="46"/>
  <c r="N81" i="46" s="1"/>
  <c r="K81" i="46"/>
  <c r="J81" i="46" s="1"/>
  <c r="M80" i="46"/>
  <c r="N80" i="46" s="1"/>
  <c r="K80" i="46"/>
  <c r="J80" i="46" s="1"/>
  <c r="M77" i="46"/>
  <c r="N77" i="46"/>
  <c r="K77" i="46"/>
  <c r="J77" i="46" s="1"/>
  <c r="M76" i="46"/>
  <c r="N76" i="46" s="1"/>
  <c r="D76" i="46"/>
  <c r="K76" i="46"/>
  <c r="J76" i="46"/>
  <c r="M75" i="46"/>
  <c r="N75" i="46" s="1"/>
  <c r="K75" i="46"/>
  <c r="J75" i="46"/>
  <c r="M74" i="46"/>
  <c r="N74" i="46" s="1"/>
  <c r="K74" i="46"/>
  <c r="J74" i="46" s="1"/>
  <c r="D74" i="46"/>
  <c r="M73" i="46"/>
  <c r="N73" i="46" s="1"/>
  <c r="D73" i="46"/>
  <c r="K73" i="46"/>
  <c r="J73" i="46" s="1"/>
  <c r="M72" i="46"/>
  <c r="N72" i="46" s="1"/>
  <c r="K72" i="46"/>
  <c r="J72" i="46" s="1"/>
  <c r="D72" i="46"/>
  <c r="M71" i="46"/>
  <c r="N71" i="46"/>
  <c r="K71" i="46"/>
  <c r="J71" i="46" s="1"/>
  <c r="M70" i="46"/>
  <c r="N70" i="46"/>
  <c r="K70" i="46"/>
  <c r="J70" i="46" s="1"/>
  <c r="D70" i="46"/>
  <c r="M69" i="46"/>
  <c r="N69" i="46"/>
  <c r="K69" i="46"/>
  <c r="J69" i="46" s="1"/>
  <c r="M66" i="46"/>
  <c r="N66" i="46" s="1"/>
  <c r="K66" i="46"/>
  <c r="M65" i="46"/>
  <c r="N65" i="46"/>
  <c r="K65" i="46"/>
  <c r="J65" i="46" s="1"/>
  <c r="D65" i="46"/>
  <c r="M64" i="46"/>
  <c r="N64" i="46"/>
  <c r="K64" i="46"/>
  <c r="J64" i="46" s="1"/>
  <c r="D64" i="46"/>
  <c r="M63" i="46"/>
  <c r="N63" i="46" s="1"/>
  <c r="K63" i="46"/>
  <c r="J63" i="46" s="1"/>
  <c r="D63" i="46"/>
  <c r="M62" i="46"/>
  <c r="N62" i="46" s="1"/>
  <c r="K62" i="46"/>
  <c r="J62" i="46" s="1"/>
  <c r="D62" i="46"/>
  <c r="M61" i="46"/>
  <c r="N61" i="46"/>
  <c r="K61" i="46"/>
  <c r="J61" i="46" s="1"/>
  <c r="D61" i="46"/>
  <c r="M60" i="46"/>
  <c r="N60" i="46"/>
  <c r="K60" i="46"/>
  <c r="J60" i="46" s="1"/>
  <c r="D60" i="46"/>
  <c r="M59" i="46"/>
  <c r="N59" i="46" s="1"/>
  <c r="K59" i="46"/>
  <c r="J59" i="46"/>
  <c r="D59" i="46"/>
  <c r="M58" i="46"/>
  <c r="N58" i="46" s="1"/>
  <c r="M55" i="46"/>
  <c r="N55" i="46" s="1"/>
  <c r="K55" i="46"/>
  <c r="J55" i="46" s="1"/>
  <c r="M54" i="46"/>
  <c r="N54" i="46" s="1"/>
  <c r="K54" i="46"/>
  <c r="M53" i="46"/>
  <c r="N53" i="46"/>
  <c r="K53" i="46"/>
  <c r="J53" i="46" s="1"/>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s="1"/>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A34" i="3" s="1"/>
  <c r="AZ34" i="3" s="1"/>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A167" i="3" s="1"/>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L345" i="3" s="1"/>
  <c r="BM345" i="3"/>
  <c r="BK345" i="3"/>
  <c r="BJ345" i="3"/>
  <c r="BI345" i="3"/>
  <c r="BH345" i="3"/>
  <c r="BG345" i="3"/>
  <c r="BF345" i="3"/>
  <c r="BE345" i="3"/>
  <c r="BA345" i="3" s="1"/>
  <c r="AZ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L343" i="3" s="1"/>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A340" i="3" s="1"/>
  <c r="AZ340" i="3" s="1"/>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S5" i="3" s="1"/>
  <c r="BR338" i="3"/>
  <c r="BQ338" i="3"/>
  <c r="BP338" i="3"/>
  <c r="BO338" i="3"/>
  <c r="BN338" i="3"/>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AX337" i="3"/>
  <c r="AW337" i="3"/>
  <c r="AV337" i="3"/>
  <c r="AC337" i="3"/>
  <c r="H337" i="3"/>
  <c r="G337" i="3" s="1"/>
  <c r="BT336" i="3"/>
  <c r="BS336" i="3"/>
  <c r="BR336" i="3"/>
  <c r="BQ336" i="3"/>
  <c r="BQ5" i="3" s="1"/>
  <c r="F28" i="6" s="1"/>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L333" i="3" s="1"/>
  <c r="BO333" i="3"/>
  <c r="BN333" i="3"/>
  <c r="BM333" i="3"/>
  <c r="BK333" i="3"/>
  <c r="BK5" i="3" s="1"/>
  <c r="BJ333" i="3"/>
  <c r="BI333" i="3"/>
  <c r="BH333" i="3"/>
  <c r="BG333" i="3"/>
  <c r="BF333" i="3"/>
  <c r="BE333" i="3"/>
  <c r="BD333" i="3"/>
  <c r="BC333" i="3"/>
  <c r="BA333" i="3" s="1"/>
  <c r="AZ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AZ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A449" i="3" s="1"/>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AZ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A389" i="3" s="1"/>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S31" i="31" s="1"/>
  <c r="R32" i="31"/>
  <c r="S32" i="31"/>
  <c r="R33" i="31"/>
  <c r="R34" i="31"/>
  <c r="S34" i="31" s="1"/>
  <c r="R35" i="31"/>
  <c r="R36" i="31"/>
  <c r="S36" i="31" s="1"/>
  <c r="R37" i="31"/>
  <c r="R38" i="31"/>
  <c r="S38" i="31" s="1"/>
  <c r="R39" i="31"/>
  <c r="R40" i="31"/>
  <c r="S40" i="31" s="1"/>
  <c r="R41" i="31"/>
  <c r="R42" i="31"/>
  <c r="S42" i="31"/>
  <c r="R43" i="31"/>
  <c r="S43" i="31" s="1"/>
  <c r="R44" i="31"/>
  <c r="S44" i="31" s="1"/>
  <c r="R45" i="31"/>
  <c r="R46" i="31"/>
  <c r="S46" i="31" s="1"/>
  <c r="R47" i="31"/>
  <c r="R48" i="31"/>
  <c r="S48" i="31"/>
  <c r="R49" i="31"/>
  <c r="S49" i="31" s="1"/>
  <c r="R50" i="31"/>
  <c r="S50" i="31" s="1"/>
  <c r="R51" i="31"/>
  <c r="R52" i="31"/>
  <c r="S52" i="31" s="1"/>
  <c r="R53" i="31"/>
  <c r="R54" i="31"/>
  <c r="S54" i="31" s="1"/>
  <c r="R55" i="31"/>
  <c r="R56" i="31"/>
  <c r="S56" i="31"/>
  <c r="R57" i="31"/>
  <c r="R58" i="31"/>
  <c r="S58" i="31"/>
  <c r="R59" i="31"/>
  <c r="S59" i="31" s="1"/>
  <c r="R60" i="31"/>
  <c r="S60" i="31" s="1"/>
  <c r="R61" i="31"/>
  <c r="R62" i="31"/>
  <c r="S62" i="31" s="1"/>
  <c r="R63" i="31"/>
  <c r="R64" i="31"/>
  <c r="S64" i="31"/>
  <c r="R65" i="31"/>
  <c r="S65" i="31" s="1"/>
  <c r="R66" i="31"/>
  <c r="S66" i="31" s="1"/>
  <c r="R67" i="31"/>
  <c r="R68" i="31"/>
  <c r="S68" i="31" s="1"/>
  <c r="R69" i="31"/>
  <c r="R70" i="31"/>
  <c r="S70" i="31" s="1"/>
  <c r="R71" i="31"/>
  <c r="R72" i="31"/>
  <c r="S72" i="31" s="1"/>
  <c r="R73" i="31"/>
  <c r="R74" i="31"/>
  <c r="S74" i="31"/>
  <c r="R75" i="31"/>
  <c r="R76" i="31"/>
  <c r="S76" i="31" s="1"/>
  <c r="R77" i="31"/>
  <c r="R78" i="31"/>
  <c r="S78" i="31" s="1"/>
  <c r="R79" i="31"/>
  <c r="S79" i="31" s="1"/>
  <c r="R80" i="31"/>
  <c r="S80" i="31"/>
  <c r="R81" i="31"/>
  <c r="R82" i="31"/>
  <c r="S82" i="31" s="1"/>
  <c r="R83" i="31"/>
  <c r="R84" i="31"/>
  <c r="S84" i="31" s="1"/>
  <c r="R85" i="31"/>
  <c r="R86" i="31"/>
  <c r="S86" i="31" s="1"/>
  <c r="R87" i="31"/>
  <c r="R88" i="31"/>
  <c r="S88" i="31"/>
  <c r="R89" i="31"/>
  <c r="R90" i="31"/>
  <c r="S90" i="31"/>
  <c r="R91" i="31"/>
  <c r="R92" i="31"/>
  <c r="S92" i="31" s="1"/>
  <c r="R93" i="31"/>
  <c r="R94" i="31"/>
  <c r="S94" i="31" s="1"/>
  <c r="R95" i="31"/>
  <c r="S95" i="31" s="1"/>
  <c r="R96" i="31"/>
  <c r="S96" i="31"/>
  <c r="R97" i="31"/>
  <c r="R98" i="31"/>
  <c r="S98" i="31" s="1"/>
  <c r="R99" i="31"/>
  <c r="R100" i="31"/>
  <c r="S100" i="31" s="1"/>
  <c r="R101" i="31"/>
  <c r="S101" i="31" s="1"/>
  <c r="R102" i="31"/>
  <c r="S102" i="31" s="1"/>
  <c r="R103" i="31"/>
  <c r="R104" i="31"/>
  <c r="S104" i="31" s="1"/>
  <c r="R105" i="31"/>
  <c r="R106" i="31"/>
  <c r="S106" i="3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c r="R123" i="31"/>
  <c r="S123" i="31" s="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c r="R139" i="31"/>
  <c r="S139" i="31" s="1"/>
  <c r="R140" i="31"/>
  <c r="S140" i="31" s="1"/>
  <c r="R141" i="31"/>
  <c r="R142" i="31"/>
  <c r="S142" i="31" s="1"/>
  <c r="R143" i="31"/>
  <c r="R144" i="31"/>
  <c r="S144" i="31"/>
  <c r="R145" i="31"/>
  <c r="R146" i="31"/>
  <c r="S146" i="31" s="1"/>
  <c r="R147" i="31"/>
  <c r="R148" i="31"/>
  <c r="S148" i="31" s="1"/>
  <c r="R149" i="31"/>
  <c r="S149" i="31" s="1"/>
  <c r="R150" i="31"/>
  <c r="S150" i="31" s="1"/>
  <c r="R151" i="31"/>
  <c r="R152" i="31"/>
  <c r="S152" i="31"/>
  <c r="R153" i="31"/>
  <c r="R154" i="31"/>
  <c r="S154" i="31"/>
  <c r="R155" i="31"/>
  <c r="S155" i="31" s="1"/>
  <c r="R156" i="31"/>
  <c r="S156" i="31" s="1"/>
  <c r="R157" i="31"/>
  <c r="R158" i="31"/>
  <c r="S158" i="31" s="1"/>
  <c r="R159" i="31"/>
  <c r="S159" i="31" s="1"/>
  <c r="R160" i="31"/>
  <c r="S160" i="31"/>
  <c r="R161" i="31"/>
  <c r="R162" i="31"/>
  <c r="S162" i="31" s="1"/>
  <c r="R163" i="31"/>
  <c r="R164" i="31"/>
  <c r="S164" i="31" s="1"/>
  <c r="R165" i="31"/>
  <c r="R166" i="31"/>
  <c r="S166" i="31" s="1"/>
  <c r="R167" i="31"/>
  <c r="R168" i="31"/>
  <c r="S168" i="31" s="1"/>
  <c r="R169" i="31"/>
  <c r="R170" i="31"/>
  <c r="S170" i="31"/>
  <c r="R171" i="31"/>
  <c r="S171" i="31" s="1"/>
  <c r="R172" i="31"/>
  <c r="S172" i="31" s="1"/>
  <c r="R173" i="31"/>
  <c r="R174" i="31"/>
  <c r="S174" i="31" s="1"/>
  <c r="R175" i="31"/>
  <c r="R176" i="31"/>
  <c r="S176" i="31"/>
  <c r="R177" i="31"/>
  <c r="S177" i="31" s="1"/>
  <c r="R178" i="31"/>
  <c r="S178" i="31" s="1"/>
  <c r="R179" i="31"/>
  <c r="R180" i="31"/>
  <c r="S180" i="31" s="1"/>
  <c r="R181" i="31"/>
  <c r="R182" i="31"/>
  <c r="S182" i="31" s="1"/>
  <c r="R183" i="31"/>
  <c r="R184" i="31"/>
  <c r="S184" i="31"/>
  <c r="R185" i="31"/>
  <c r="R186" i="31"/>
  <c r="S186" i="31"/>
  <c r="R187" i="31"/>
  <c r="S187" i="31" s="1"/>
  <c r="R188" i="31"/>
  <c r="S188" i="31" s="1"/>
  <c r="R189" i="31"/>
  <c r="R190" i="31"/>
  <c r="S190" i="31" s="1"/>
  <c r="R191" i="31"/>
  <c r="R192" i="31"/>
  <c r="S192" i="31"/>
  <c r="R193" i="31"/>
  <c r="R194" i="31"/>
  <c r="S194" i="31" s="1"/>
  <c r="R195" i="31"/>
  <c r="R196" i="31"/>
  <c r="S196" i="31" s="1"/>
  <c r="R197" i="31"/>
  <c r="R198" i="31"/>
  <c r="S198" i="31" s="1"/>
  <c r="R199" i="31"/>
  <c r="R200" i="31"/>
  <c r="S200" i="31" s="1"/>
  <c r="R201" i="31"/>
  <c r="R202" i="31"/>
  <c r="S202" i="31"/>
  <c r="R203" i="31"/>
  <c r="S203" i="31" s="1"/>
  <c r="R204" i="31"/>
  <c r="S204" i="31" s="1"/>
  <c r="R205" i="31"/>
  <c r="R206" i="31"/>
  <c r="S206" i="31" s="1"/>
  <c r="R207" i="31"/>
  <c r="R208" i="31"/>
  <c r="S208" i="31"/>
  <c r="R209" i="31"/>
  <c r="R210" i="31"/>
  <c r="S210" i="31" s="1"/>
  <c r="R211" i="31"/>
  <c r="R212" i="31"/>
  <c r="S212" i="31" s="1"/>
  <c r="R213" i="31"/>
  <c r="S213" i="31" s="1"/>
  <c r="R214" i="31"/>
  <c r="S214" i="31" s="1"/>
  <c r="R215" i="31"/>
  <c r="R216" i="31"/>
  <c r="S216" i="31"/>
  <c r="R217" i="31"/>
  <c r="R218" i="31"/>
  <c r="S218" i="31"/>
  <c r="R219" i="31"/>
  <c r="S219" i="31" s="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S427" i="31" s="1"/>
  <c r="R428" i="31"/>
  <c r="S428" i="31" s="1"/>
  <c r="R429" i="31"/>
  <c r="R430" i="31"/>
  <c r="S430" i="31"/>
  <c r="R431" i="31"/>
  <c r="R432" i="31"/>
  <c r="S432" i="31"/>
  <c r="R433" i="31"/>
  <c r="R434" i="31"/>
  <c r="S434" i="31" s="1"/>
  <c r="R435" i="31"/>
  <c r="R436" i="31"/>
  <c r="S436" i="31" s="1"/>
  <c r="R437" i="31"/>
  <c r="R438" i="31"/>
  <c r="S438" i="31"/>
  <c r="R439" i="31"/>
  <c r="S439" i="31" s="1"/>
  <c r="R440" i="31"/>
  <c r="S440" i="31" s="1"/>
  <c r="R441" i="31"/>
  <c r="R442" i="31"/>
  <c r="S442" i="31" s="1"/>
  <c r="R443" i="31"/>
  <c r="R444" i="31"/>
  <c r="S444" i="31" s="1"/>
  <c r="R445" i="31"/>
  <c r="R446" i="31"/>
  <c r="S446" i="31" s="1"/>
  <c r="R447" i="31"/>
  <c r="R448" i="31"/>
  <c r="S448" i="31"/>
  <c r="R449" i="31"/>
  <c r="S449" i="31" s="1"/>
  <c r="R450" i="31"/>
  <c r="S450" i="31" s="1"/>
  <c r="R451" i="31"/>
  <c r="R452" i="31"/>
  <c r="S452" i="31" s="1"/>
  <c r="R453" i="31"/>
  <c r="R454" i="31"/>
  <c r="S454" i="31"/>
  <c r="R455" i="31"/>
  <c r="S455" i="31" s="1"/>
  <c r="R456" i="31"/>
  <c r="S456" i="31" s="1"/>
  <c r="R457" i="31"/>
  <c r="R458" i="31"/>
  <c r="S458" i="31" s="1"/>
  <c r="R459" i="31"/>
  <c r="R460" i="31"/>
  <c r="S460" i="31" s="1"/>
  <c r="R461" i="31"/>
  <c r="R462" i="31"/>
  <c r="S462" i="31"/>
  <c r="R463" i="31"/>
  <c r="R464" i="31"/>
  <c r="S464" i="31"/>
  <c r="R465" i="31"/>
  <c r="R466" i="31"/>
  <c r="S466" i="31" s="1"/>
  <c r="R467" i="31"/>
  <c r="R468" i="31"/>
  <c r="S468" i="31" s="1"/>
  <c r="R469" i="31"/>
  <c r="R470" i="31"/>
  <c r="S470" i="31"/>
  <c r="R471" i="31"/>
  <c r="S471" i="31" s="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c r="R493" i="31"/>
  <c r="S493" i="31" s="1"/>
  <c r="R494" i="31"/>
  <c r="R495" i="31"/>
  <c r="R496" i="31"/>
  <c r="S496" i="31" s="1"/>
  <c r="R497" i="31"/>
  <c r="S497" i="31" s="1"/>
  <c r="R498" i="31"/>
  <c r="S498" i="31" s="1"/>
  <c r="R499" i="31"/>
  <c r="R500" i="31"/>
  <c r="S500" i="31" s="1"/>
  <c r="R501" i="31"/>
  <c r="S501" i="31" s="1"/>
  <c r="R502" i="31"/>
  <c r="S502" i="31" s="1"/>
  <c r="R503" i="31"/>
  <c r="R504" i="31"/>
  <c r="S504" i="31"/>
  <c r="R505" i="31"/>
  <c r="R506" i="31"/>
  <c r="S506" i="31"/>
  <c r="R507" i="31"/>
  <c r="S507" i="31" s="1"/>
  <c r="R508" i="31"/>
  <c r="S508" i="31" s="1"/>
  <c r="R509" i="31"/>
  <c r="R510" i="31"/>
  <c r="S510" i="31" s="1"/>
  <c r="R511" i="31"/>
  <c r="R512" i="31"/>
  <c r="S512" i="31"/>
  <c r="R513" i="31"/>
  <c r="R514" i="31"/>
  <c r="S514" i="31" s="1"/>
  <c r="R515" i="31"/>
  <c r="S515" i="31" s="1"/>
  <c r="R516" i="31"/>
  <c r="S516" i="31" s="1"/>
  <c r="R517" i="31"/>
  <c r="R518" i="31"/>
  <c r="S518" i="31" s="1"/>
  <c r="R519" i="31"/>
  <c r="R520" i="31"/>
  <c r="S520" i="31" s="1"/>
  <c r="R521" i="31"/>
  <c r="R522" i="31"/>
  <c r="S522" i="31"/>
  <c r="R523" i="31"/>
  <c r="S523" i="31" s="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F7" i="1" s="1"/>
  <c r="G7" i="1" s="1"/>
  <c r="G19" i="4"/>
  <c r="F8" i="1" s="1"/>
  <c r="AP8" i="1" s="1"/>
  <c r="F9" i="1"/>
  <c r="AP9" i="1" s="1"/>
  <c r="F19" i="4"/>
  <c r="E19" i="4"/>
  <c r="B2" i="52"/>
  <c r="I2" i="46"/>
  <c r="N12" i="46"/>
  <c r="A7" i="46"/>
  <c r="F41" i="4"/>
  <c r="J52" i="40"/>
  <c r="H61" i="49"/>
  <c r="H39" i="46"/>
  <c r="H38" i="46"/>
  <c r="H37" i="46"/>
  <c r="H36" i="46"/>
  <c r="H35" i="46"/>
  <c r="H34" i="46"/>
  <c r="H33" i="46"/>
  <c r="J20" i="46"/>
  <c r="C18" i="46"/>
  <c r="F15" i="46"/>
  <c r="E15" i="46"/>
  <c r="D15" i="46"/>
  <c r="C15" i="46"/>
  <c r="C10" i="46"/>
  <c r="C11" i="46"/>
  <c r="C9" i="4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c r="C21" i="40"/>
  <c r="C32" i="40"/>
  <c r="F36" i="40"/>
  <c r="AA36" i="40"/>
  <c r="H10" i="40"/>
  <c r="AB10" i="40" s="1"/>
  <c r="H11" i="40"/>
  <c r="AB11" i="40" s="1"/>
  <c r="H36" i="40"/>
  <c r="AB36" i="40" s="1"/>
  <c r="J10" i="40"/>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221" i="31"/>
  <c r="S217" i="31"/>
  <c r="S215" i="31"/>
  <c r="S211" i="31"/>
  <c r="S209" i="31"/>
  <c r="S207" i="31"/>
  <c r="S205" i="31"/>
  <c r="S201" i="31"/>
  <c r="S199" i="31"/>
  <c r="S197" i="31"/>
  <c r="S195" i="31"/>
  <c r="S193" i="31"/>
  <c r="S191" i="31"/>
  <c r="S189" i="31"/>
  <c r="S185" i="31"/>
  <c r="S183" i="31"/>
  <c r="S181" i="31"/>
  <c r="S179" i="31"/>
  <c r="S175" i="31"/>
  <c r="S173" i="31"/>
  <c r="S169" i="31"/>
  <c r="S167" i="31"/>
  <c r="S165" i="31"/>
  <c r="S163" i="31"/>
  <c r="S161" i="31"/>
  <c r="S157" i="31"/>
  <c r="S153" i="31"/>
  <c r="S151" i="31"/>
  <c r="S147" i="31"/>
  <c r="S145" i="31"/>
  <c r="S143" i="31"/>
  <c r="S141" i="31"/>
  <c r="S137" i="31"/>
  <c r="S135" i="31"/>
  <c r="S133" i="31"/>
  <c r="S131" i="31"/>
  <c r="S129" i="31"/>
  <c r="S127" i="31"/>
  <c r="S125" i="31"/>
  <c r="S495" i="31"/>
  <c r="S494" i="31"/>
  <c r="S491" i="31"/>
  <c r="S489" i="31"/>
  <c r="S488" i="31"/>
  <c r="S487" i="31"/>
  <c r="S485" i="31"/>
  <c r="S484" i="31"/>
  <c r="S483" i="31"/>
  <c r="S481" i="31"/>
  <c r="S480" i="31"/>
  <c r="S479" i="31"/>
  <c r="S477" i="31"/>
  <c r="S476" i="31"/>
  <c r="S475" i="31"/>
  <c r="S473" i="31"/>
  <c r="S469" i="31"/>
  <c r="S443" i="31"/>
  <c r="S441" i="31"/>
  <c r="S437" i="31"/>
  <c r="S435" i="31"/>
  <c r="S433" i="31"/>
  <c r="S431" i="31"/>
  <c r="S121" i="31"/>
  <c r="S119" i="31"/>
  <c r="S117" i="31"/>
  <c r="S115" i="31"/>
  <c r="S113" i="31"/>
  <c r="S467" i="31"/>
  <c r="S465" i="31"/>
  <c r="S463" i="31"/>
  <c r="S461" i="31"/>
  <c r="S459" i="31"/>
  <c r="S457" i="31"/>
  <c r="S453" i="31"/>
  <c r="S451" i="31"/>
  <c r="S53" i="31"/>
  <c r="S51" i="31"/>
  <c r="S47" i="31"/>
  <c r="S45" i="31"/>
  <c r="S41" i="31"/>
  <c r="S39" i="31"/>
  <c r="S37" i="31"/>
  <c r="S35" i="31"/>
  <c r="S33" i="31"/>
  <c r="S77" i="31"/>
  <c r="S75" i="31"/>
  <c r="S73" i="31"/>
  <c r="S71" i="31"/>
  <c r="S69" i="31"/>
  <c r="S67" i="31"/>
  <c r="S63" i="31"/>
  <c r="S61" i="31"/>
  <c r="S57" i="31"/>
  <c r="S55" i="31"/>
  <c r="S24" i="31"/>
  <c r="S97" i="31"/>
  <c r="S93" i="31"/>
  <c r="S91" i="31"/>
  <c r="S89" i="31"/>
  <c r="S87" i="31"/>
  <c r="S85" i="31"/>
  <c r="S83" i="31"/>
  <c r="S81" i="31"/>
  <c r="S29" i="31"/>
  <c r="S99" i="31"/>
  <c r="S103" i="31"/>
  <c r="S105" i="31"/>
  <c r="S107" i="31"/>
  <c r="S109" i="31"/>
  <c r="S111" i="31"/>
  <c r="S445" i="31"/>
  <c r="S44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AB37" i="39" s="1"/>
  <c r="B114" i="39"/>
  <c r="J38" i="39" s="1"/>
  <c r="AC38" i="39" s="1"/>
  <c r="F38" i="39"/>
  <c r="AA38" i="39" s="1"/>
  <c r="J30" i="36"/>
  <c r="W30" i="36" s="1"/>
  <c r="H30" i="36"/>
  <c r="AB30" i="36" s="1"/>
  <c r="F30" i="36"/>
  <c r="AA30" i="36" s="1"/>
  <c r="C26" i="35"/>
  <c r="C79" i="35" s="1"/>
  <c r="J31" i="35"/>
  <c r="H31" i="35"/>
  <c r="F31" i="35"/>
  <c r="AA31" i="35" s="1"/>
  <c r="D87" i="35"/>
  <c r="E87" i="35"/>
  <c r="F87" i="35" s="1"/>
  <c r="G87" i="35" s="1"/>
  <c r="H34" i="37"/>
  <c r="AB34" i="37" s="1"/>
  <c r="D101" i="37"/>
  <c r="F34" i="37"/>
  <c r="AA34" i="37" s="1"/>
  <c r="D99" i="37"/>
  <c r="E99" i="37" s="1"/>
  <c r="H42" i="34"/>
  <c r="J42" i="34"/>
  <c r="W42" i="34" s="1"/>
  <c r="F42" i="34"/>
  <c r="AA42" i="34" s="1"/>
  <c r="J38" i="34"/>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7" i="31"/>
  <c r="S519" i="31"/>
  <c r="S521"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H42" i="40" s="1"/>
  <c r="U42" i="40" s="1"/>
  <c r="B120" i="40"/>
  <c r="F41" i="40" s="1"/>
  <c r="S41" i="40" s="1"/>
  <c r="B118" i="40"/>
  <c r="D117" i="40"/>
  <c r="E117" i="40" s="1"/>
  <c r="F117" i="40" s="1"/>
  <c r="G117" i="40" s="1"/>
  <c r="H117" i="40"/>
  <c r="I117" i="40"/>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S34" i="40" s="1"/>
  <c r="AA34" i="40"/>
  <c r="B103" i="40"/>
  <c r="D102" i="40"/>
  <c r="E102" i="40"/>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B97" i="40"/>
  <c r="J29" i="40" s="1"/>
  <c r="AC29" i="40" s="1"/>
  <c r="D94" i="40"/>
  <c r="D92" i="40"/>
  <c r="D90" i="40"/>
  <c r="E90" i="40" s="1"/>
  <c r="F90" i="40" s="1"/>
  <c r="G90" i="40" s="1"/>
  <c r="H21" i="40"/>
  <c r="AB21" i="40" s="1"/>
  <c r="D88" i="40"/>
  <c r="E88" i="40"/>
  <c r="D86" i="40"/>
  <c r="E86" i="40" s="1"/>
  <c r="F86" i="40" s="1"/>
  <c r="G86" i="40" s="1"/>
  <c r="J17" i="40"/>
  <c r="B83" i="40"/>
  <c r="F16" i="40"/>
  <c r="AA16" i="40" s="1"/>
  <c r="B81" i="40"/>
  <c r="H15" i="40" s="1"/>
  <c r="AB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J39" i="39" s="1"/>
  <c r="W39" i="39" s="1"/>
  <c r="D111" i="39"/>
  <c r="E111" i="39"/>
  <c r="F111" i="39" s="1"/>
  <c r="G111" i="39" s="1"/>
  <c r="H111" i="39"/>
  <c r="I111" i="39" s="1"/>
  <c r="J111" i="39" s="1"/>
  <c r="K111" i="39" s="1"/>
  <c r="L111" i="39" s="1"/>
  <c r="M111" i="39" s="1"/>
  <c r="D109" i="39"/>
  <c r="E109" i="39" s="1"/>
  <c r="F109" i="39"/>
  <c r="G109" i="39" s="1"/>
  <c r="H109" i="39" s="1"/>
  <c r="I109" i="39" s="1"/>
  <c r="J109" i="39" s="1"/>
  <c r="K109" i="39"/>
  <c r="L109" i="39" s="1"/>
  <c r="M109" i="39" s="1"/>
  <c r="D107" i="39"/>
  <c r="E107" i="39" s="1"/>
  <c r="F107" i="39" s="1"/>
  <c r="G107" i="39" s="1"/>
  <c r="H107" i="39"/>
  <c r="I107" i="39"/>
  <c r="J107" i="39" s="1"/>
  <c r="K107" i="39" s="1"/>
  <c r="L107" i="39" s="1"/>
  <c r="M107" i="39" s="1"/>
  <c r="D103" i="39"/>
  <c r="E103" i="39" s="1"/>
  <c r="D101" i="39"/>
  <c r="E101" i="39" s="1"/>
  <c r="F101" i="39" s="1"/>
  <c r="G101" i="39" s="1"/>
  <c r="Q41" i="39"/>
  <c r="Z41" i="39" s="1"/>
  <c r="Q42" i="39"/>
  <c r="Z42" i="39" s="1"/>
  <c r="Q43" i="39"/>
  <c r="Z43" i="39" s="1"/>
  <c r="Q44" i="39"/>
  <c r="Z44" i="39" s="1"/>
  <c r="Q45" i="39"/>
  <c r="Z45" i="39"/>
  <c r="Q46" i="39"/>
  <c r="Z46" i="39" s="1"/>
  <c r="Q47" i="39"/>
  <c r="Z47" i="39"/>
  <c r="Q40" i="39"/>
  <c r="Z40" i="39" s="1"/>
  <c r="Q38" i="39"/>
  <c r="Z38" i="39" s="1"/>
  <c r="Q39" i="39"/>
  <c r="Z39" i="39" s="1"/>
  <c r="M118" i="39"/>
  <c r="L118" i="39"/>
  <c r="K118" i="39"/>
  <c r="J118" i="39"/>
  <c r="I118" i="39"/>
  <c r="H118" i="39"/>
  <c r="G118" i="39"/>
  <c r="F118" i="39"/>
  <c r="E118" i="39"/>
  <c r="D118" i="39"/>
  <c r="C118" i="39"/>
  <c r="B133" i="39"/>
  <c r="B131" i="39"/>
  <c r="H46" i="39" s="1"/>
  <c r="AB46" i="39" s="1"/>
  <c r="B129" i="39"/>
  <c r="H45" i="39" s="1"/>
  <c r="AB45" i="39" s="1"/>
  <c r="D128" i="39"/>
  <c r="E128" i="39" s="1"/>
  <c r="D124" i="39"/>
  <c r="E124" i="39"/>
  <c r="F124" i="39" s="1"/>
  <c r="G124" i="39"/>
  <c r="H124" i="39" s="1"/>
  <c r="I124" i="39" s="1"/>
  <c r="J124" i="39" s="1"/>
  <c r="K124" i="39" s="1"/>
  <c r="L124" i="39" s="1"/>
  <c r="M124" i="39" s="1"/>
  <c r="B106" i="39"/>
  <c r="J33" i="39" s="1"/>
  <c r="D99" i="39"/>
  <c r="D97" i="39"/>
  <c r="D95" i="39"/>
  <c r="E95" i="39" s="1"/>
  <c r="F95" i="39" s="1"/>
  <c r="G95" i="39" s="1"/>
  <c r="D93" i="39"/>
  <c r="E93" i="39" s="1"/>
  <c r="F93" i="39" s="1"/>
  <c r="G93" i="39" s="1"/>
  <c r="D91" i="39"/>
  <c r="E91" i="39" s="1"/>
  <c r="B88" i="39"/>
  <c r="H16" i="39" s="1"/>
  <c r="U16" i="39" s="1"/>
  <c r="B86" i="39"/>
  <c r="J15" i="39" s="1"/>
  <c r="AC15" i="39" s="1"/>
  <c r="B84" i="39"/>
  <c r="J14" i="39" s="1"/>
  <c r="AC14" i="39" s="1"/>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c r="Q23" i="39"/>
  <c r="Z23" i="39" s="1"/>
  <c r="Q21" i="39"/>
  <c r="Z21" i="39" s="1"/>
  <c r="Q19" i="39"/>
  <c r="Z19" i="39" s="1"/>
  <c r="Q17" i="39"/>
  <c r="Z17" i="39" s="1"/>
  <c r="Q16" i="39"/>
  <c r="Z16" i="39" s="1"/>
  <c r="Q15" i="39"/>
  <c r="Z15" i="39" s="1"/>
  <c r="Q14" i="39"/>
  <c r="Z14" i="39" s="1"/>
  <c r="Q13" i="39"/>
  <c r="Z13" i="39" s="1"/>
  <c r="Q12" i="39"/>
  <c r="Z12" i="39" s="1"/>
  <c r="Q11" i="39"/>
  <c r="Z11" i="39"/>
  <c r="U10" i="39"/>
  <c r="C9" i="39"/>
  <c r="C70" i="39" s="1"/>
  <c r="C20" i="36"/>
  <c r="C20" i="35"/>
  <c r="C16" i="36"/>
  <c r="C16" i="35"/>
  <c r="C14" i="36"/>
  <c r="C14" i="35"/>
  <c r="B80" i="37"/>
  <c r="B110" i="37"/>
  <c r="J39" i="37" s="1"/>
  <c r="B108" i="37"/>
  <c r="J38" i="37" s="1"/>
  <c r="AC38" i="37" s="1"/>
  <c r="C23" i="37"/>
  <c r="C19" i="37"/>
  <c r="C17" i="37"/>
  <c r="C15" i="37"/>
  <c r="B112" i="37"/>
  <c r="F40" i="37" s="1"/>
  <c r="AA40" i="37" s="1"/>
  <c r="D107" i="37"/>
  <c r="E107" i="37" s="1"/>
  <c r="D105" i="37"/>
  <c r="E105" i="37" s="1"/>
  <c r="F105" i="37" s="1"/>
  <c r="G105" i="37" s="1"/>
  <c r="H36" i="37"/>
  <c r="AB36" i="37" s="1"/>
  <c r="D103" i="37"/>
  <c r="J35" i="37"/>
  <c r="AC35" i="37" s="1"/>
  <c r="F97" i="37"/>
  <c r="E97" i="37"/>
  <c r="D97" i="37"/>
  <c r="C97" i="37"/>
  <c r="D96" i="37"/>
  <c r="E96" i="37" s="1"/>
  <c r="D94" i="37"/>
  <c r="E94" i="37" s="1"/>
  <c r="F94" i="37" s="1"/>
  <c r="G94" i="37" s="1"/>
  <c r="M90" i="37"/>
  <c r="L90" i="37"/>
  <c r="K90" i="37"/>
  <c r="J90" i="37"/>
  <c r="I90" i="37"/>
  <c r="H90" i="37"/>
  <c r="G90" i="37"/>
  <c r="F90" i="37"/>
  <c r="E90" i="37"/>
  <c r="D90" i="37"/>
  <c r="C90" i="37"/>
  <c r="D89" i="37"/>
  <c r="E89" i="37" s="1"/>
  <c r="B86" i="37"/>
  <c r="F28" i="37" s="1"/>
  <c r="S28" i="37" s="1"/>
  <c r="B84" i="37"/>
  <c r="H27" i="37" s="1"/>
  <c r="U27" i="37" s="1"/>
  <c r="B82" i="37"/>
  <c r="D79" i="37"/>
  <c r="E79" i="37" s="1"/>
  <c r="D75" i="37"/>
  <c r="E75" i="37" s="1"/>
  <c r="F75" i="37" s="1"/>
  <c r="G75" i="37" s="1"/>
  <c r="D73" i="37"/>
  <c r="E73" i="37" s="1"/>
  <c r="F73" i="37" s="1"/>
  <c r="G73" i="37" s="1"/>
  <c r="D71" i="37"/>
  <c r="E71" i="37"/>
  <c r="F71" i="37" s="1"/>
  <c r="G71" i="37" s="1"/>
  <c r="F15" i="37"/>
  <c r="AA15" i="37" s="1"/>
  <c r="B68" i="37"/>
  <c r="J14" i="37" s="1"/>
  <c r="H14" i="37"/>
  <c r="U14" i="37" s="1"/>
  <c r="B66" i="37"/>
  <c r="H13" i="37" s="1"/>
  <c r="AB13" i="37" s="1"/>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J9" i="37" s="1"/>
  <c r="AC9" i="37" s="1"/>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W31" i="37" s="1"/>
  <c r="Q30" i="37"/>
  <c r="Z30" i="37" s="1"/>
  <c r="J30" i="37"/>
  <c r="W30" i="37"/>
  <c r="H30" i="37"/>
  <c r="AB30" i="37" s="1"/>
  <c r="F30" i="37"/>
  <c r="AA30" i="37" s="1"/>
  <c r="Q29" i="37"/>
  <c r="Z29" i="37" s="1"/>
  <c r="H29" i="37"/>
  <c r="U29" i="37" s="1"/>
  <c r="Q28" i="37"/>
  <c r="Z28" i="37"/>
  <c r="Q27" i="37"/>
  <c r="Z27" i="37" s="1"/>
  <c r="Q26" i="37"/>
  <c r="Z26" i="37"/>
  <c r="J26" i="37"/>
  <c r="W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AC8" i="37" s="1"/>
  <c r="H8" i="37"/>
  <c r="AB8" i="37" s="1"/>
  <c r="F8" i="37"/>
  <c r="AA8" i="37" s="1"/>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H29" i="36"/>
  <c r="AB29" i="36" s="1"/>
  <c r="D81" i="36"/>
  <c r="E81" i="36" s="1"/>
  <c r="F81" i="36" s="1"/>
  <c r="G81" i="36"/>
  <c r="H81" i="36"/>
  <c r="I81" i="36" s="1"/>
  <c r="J81" i="36" s="1"/>
  <c r="K81" i="36" s="1"/>
  <c r="L81" i="36" s="1"/>
  <c r="M81" i="36" s="1"/>
  <c r="F79" i="36"/>
  <c r="E79" i="36"/>
  <c r="D79" i="36"/>
  <c r="C79" i="36"/>
  <c r="B93" i="36"/>
  <c r="B91" i="36"/>
  <c r="F32" i="36"/>
  <c r="AA32" i="36" s="1"/>
  <c r="S32" i="36"/>
  <c r="B95" i="36"/>
  <c r="H34" i="36"/>
  <c r="D83" i="36"/>
  <c r="E83" i="36"/>
  <c r="F83" i="36" s="1"/>
  <c r="G83" i="36" s="1"/>
  <c r="H83" i="36" s="1"/>
  <c r="I83" i="36" s="1"/>
  <c r="J83" i="36" s="1"/>
  <c r="K83" i="36" s="1"/>
  <c r="L83" i="36" s="1"/>
  <c r="M83" i="36" s="1"/>
  <c r="D78" i="36"/>
  <c r="J26" i="36"/>
  <c r="W26" i="36" s="1"/>
  <c r="B75" i="36"/>
  <c r="B73" i="36"/>
  <c r="J24" i="36"/>
  <c r="B71" i="36"/>
  <c r="H23" i="36" s="1"/>
  <c r="D70" i="36"/>
  <c r="H22" i="36"/>
  <c r="D68" i="36"/>
  <c r="E68" i="36" s="1"/>
  <c r="F68" i="36" s="1"/>
  <c r="G68" i="36" s="1"/>
  <c r="D64" i="36"/>
  <c r="E64" i="36" s="1"/>
  <c r="F64" i="36" s="1"/>
  <c r="G64" i="36" s="1"/>
  <c r="J16" i="36"/>
  <c r="D62" i="36"/>
  <c r="E62" i="36" s="1"/>
  <c r="F62" i="36" s="1"/>
  <c r="G62" i="36" s="1"/>
  <c r="B59" i="36"/>
  <c r="F13" i="36" s="1"/>
  <c r="B57" i="36"/>
  <c r="J12" i="36" s="1"/>
  <c r="W12" i="36" s="1"/>
  <c r="B55" i="36"/>
  <c r="F54" i="36"/>
  <c r="G54" i="36"/>
  <c r="H54" i="36" s="1"/>
  <c r="I54" i="36" s="1"/>
  <c r="J10" i="36"/>
  <c r="W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c r="H24" i="36"/>
  <c r="AB24" i="36" s="1"/>
  <c r="Q23" i="36"/>
  <c r="Z23" i="36"/>
  <c r="J23" i="36"/>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8" i="36"/>
  <c r="H8" i="36"/>
  <c r="U8" i="36" s="1"/>
  <c r="F8" i="36"/>
  <c r="AA8" i="36" s="1"/>
  <c r="C7" i="36"/>
  <c r="D89" i="35"/>
  <c r="E89" i="35" s="1"/>
  <c r="F89" i="35" s="1"/>
  <c r="H30" i="35"/>
  <c r="M90" i="35"/>
  <c r="L90" i="35"/>
  <c r="K90" i="35"/>
  <c r="J90" i="35"/>
  <c r="I90" i="35"/>
  <c r="H90" i="35"/>
  <c r="G90" i="35"/>
  <c r="F90" i="35"/>
  <c r="E90" i="35"/>
  <c r="D90" i="35"/>
  <c r="C90" i="35"/>
  <c r="F85" i="35"/>
  <c r="E85" i="35"/>
  <c r="D85" i="35"/>
  <c r="C85" i="35"/>
  <c r="J27" i="35"/>
  <c r="AC27" i="35" s="1"/>
  <c r="W27" i="35"/>
  <c r="H27" i="35"/>
  <c r="U27" i="35"/>
  <c r="F27" i="35"/>
  <c r="AA27" i="35"/>
  <c r="J22" i="35"/>
  <c r="W22" i="35" s="1"/>
  <c r="AC22" i="35"/>
  <c r="B101" i="35"/>
  <c r="H36" i="35"/>
  <c r="AB36" i="35" s="1"/>
  <c r="B99" i="35"/>
  <c r="F35" i="35" s="1"/>
  <c r="B97" i="35"/>
  <c r="B77" i="35"/>
  <c r="J25" i="35" s="1"/>
  <c r="B75" i="35"/>
  <c r="J24" i="35" s="1"/>
  <c r="W24" i="35" s="1"/>
  <c r="AC24" i="35"/>
  <c r="B73" i="35"/>
  <c r="F23" i="35" s="1"/>
  <c r="S23" i="35" s="1"/>
  <c r="B57" i="35"/>
  <c r="H11" i="35" s="1"/>
  <c r="U11" i="35" s="1"/>
  <c r="B61" i="35"/>
  <c r="J13" i="35" s="1"/>
  <c r="W13" i="35" s="1"/>
  <c r="B59" i="35"/>
  <c r="J12" i="35" s="1"/>
  <c r="B131" i="34"/>
  <c r="J47" i="34" s="1"/>
  <c r="B129" i="34"/>
  <c r="H46" i="34" s="1"/>
  <c r="AB46" i="34" s="1"/>
  <c r="B127" i="34"/>
  <c r="J45" i="34" s="1"/>
  <c r="AC45" i="34" s="1"/>
  <c r="B99" i="34"/>
  <c r="H32" i="34" s="1"/>
  <c r="B97" i="34"/>
  <c r="H31" i="34" s="1"/>
  <c r="AB31" i="34" s="1"/>
  <c r="B95" i="34"/>
  <c r="F30" i="34" s="1"/>
  <c r="AA30" i="34" s="1"/>
  <c r="B93" i="34"/>
  <c r="F29" i="34" s="1"/>
  <c r="B75" i="34"/>
  <c r="F14" i="34" s="1"/>
  <c r="B73" i="34"/>
  <c r="B71" i="34"/>
  <c r="B130" i="33"/>
  <c r="F46" i="33" s="1"/>
  <c r="S46" i="33" s="1"/>
  <c r="B128" i="33"/>
  <c r="J45" i="33" s="1"/>
  <c r="AC45" i="33" s="1"/>
  <c r="B126" i="33"/>
  <c r="B98" i="33"/>
  <c r="J31" i="33" s="1"/>
  <c r="AC31" i="33" s="1"/>
  <c r="B96" i="33"/>
  <c r="F30" i="33" s="1"/>
  <c r="B94" i="33"/>
  <c r="F29" i="33" s="1"/>
  <c r="S29" i="33" s="1"/>
  <c r="B74" i="33"/>
  <c r="J14" i="33" s="1"/>
  <c r="AC14" i="33" s="1"/>
  <c r="B72" i="33"/>
  <c r="J13" i="33" s="1"/>
  <c r="W13" i="33" s="1"/>
  <c r="B70" i="33"/>
  <c r="H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16" i="35" s="1"/>
  <c r="S16" i="35" s="1"/>
  <c r="D64" i="35"/>
  <c r="E64" i="35" s="1"/>
  <c r="F56" i="35"/>
  <c r="G56" i="35" s="1"/>
  <c r="H56" i="35" s="1"/>
  <c r="I56" i="35" s="1"/>
  <c r="C53" i="35"/>
  <c r="J9" i="35" s="1"/>
  <c r="W9" i="35" s="1"/>
  <c r="H9" i="35"/>
  <c r="AB9" i="35" s="1"/>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c r="Q29" i="35"/>
  <c r="Z29" i="35"/>
  <c r="Q28" i="35"/>
  <c r="Z28" i="35"/>
  <c r="J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Q11" i="35"/>
  <c r="Z11" i="35" s="1"/>
  <c r="Q10" i="35"/>
  <c r="Z10" i="35" s="1"/>
  <c r="Q9" i="35"/>
  <c r="Z9" i="35" s="1"/>
  <c r="F9" i="35"/>
  <c r="J8" i="35"/>
  <c r="AC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c r="H10" i="34"/>
  <c r="AB10" i="34" s="1"/>
  <c r="D126" i="34"/>
  <c r="E126" i="34" s="1"/>
  <c r="F126" i="34"/>
  <c r="G126" i="34" s="1"/>
  <c r="D124" i="34"/>
  <c r="E124" i="34" s="1"/>
  <c r="F124" i="34" s="1"/>
  <c r="G124" i="34" s="1"/>
  <c r="H124" i="34" s="1"/>
  <c r="I124" i="34"/>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s="1"/>
  <c r="H92" i="34" s="1"/>
  <c r="I92" i="34" s="1"/>
  <c r="J92" i="34" s="1"/>
  <c r="K92" i="34" s="1"/>
  <c r="L92" i="34" s="1"/>
  <c r="M92" i="34" s="1"/>
  <c r="B91" i="34"/>
  <c r="F28" i="34" s="1"/>
  <c r="S28" i="34"/>
  <c r="B89" i="34"/>
  <c r="H27" i="34" s="1"/>
  <c r="AB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D70" i="34"/>
  <c r="E70" i="34"/>
  <c r="F70" i="34" s="1"/>
  <c r="G70" i="34" s="1"/>
  <c r="H70" i="34" s="1"/>
  <c r="I70" i="34" s="1"/>
  <c r="J70" i="34" s="1"/>
  <c r="K70" i="34"/>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c r="H44" i="34"/>
  <c r="AB44" i="34" s="1"/>
  <c r="Q43" i="34"/>
  <c r="Z43" i="34"/>
  <c r="F43" i="34"/>
  <c r="AA43" i="34" s="1"/>
  <c r="Q42" i="34"/>
  <c r="Z42" i="34"/>
  <c r="Q41" i="34"/>
  <c r="Z41" i="34" s="1"/>
  <c r="Q40" i="34"/>
  <c r="Z40" i="34" s="1"/>
  <c r="F40" i="34"/>
  <c r="Q39" i="34"/>
  <c r="Z39" i="34"/>
  <c r="J39" i="34"/>
  <c r="AC39" i="34" s="1"/>
  <c r="H39" i="34"/>
  <c r="U39" i="34" s="1"/>
  <c r="F39" i="34"/>
  <c r="Q38" i="34"/>
  <c r="Z38" i="34" s="1"/>
  <c r="Q37" i="34"/>
  <c r="Z37" i="34" s="1"/>
  <c r="Q36" i="34"/>
  <c r="Z36" i="34" s="1"/>
  <c r="Q35" i="34"/>
  <c r="Z35" i="34" s="1"/>
  <c r="Q34" i="34"/>
  <c r="Z34" i="34" s="1"/>
  <c r="J34" i="34"/>
  <c r="W34" i="34" s="1"/>
  <c r="H34" i="34"/>
  <c r="AB34" i="34" s="1"/>
  <c r="F34" i="34"/>
  <c r="AA34" i="34"/>
  <c r="Q33" i="34"/>
  <c r="Z33" i="34" s="1"/>
  <c r="Q32" i="34"/>
  <c r="Z32" i="34" s="1"/>
  <c r="Q31" i="34"/>
  <c r="Z31" i="34" s="1"/>
  <c r="Q30" i="34"/>
  <c r="Z30" i="34" s="1"/>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F9" i="34"/>
  <c r="AA9" i="34" s="1"/>
  <c r="J8" i="34"/>
  <c r="AC8" i="34" s="1"/>
  <c r="H8" i="34"/>
  <c r="U8" i="34" s="1"/>
  <c r="F8" i="34"/>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c r="J115" i="33" s="1"/>
  <c r="K115" i="33" s="1"/>
  <c r="L115" i="33" s="1"/>
  <c r="M115" i="33" s="1"/>
  <c r="D108" i="33"/>
  <c r="E108" i="33" s="1"/>
  <c r="F108" i="33" s="1"/>
  <c r="G108" i="33" s="1"/>
  <c r="H108" i="33"/>
  <c r="I108" i="33" s="1"/>
  <c r="J108" i="33" s="1"/>
  <c r="K108" i="33" s="1"/>
  <c r="L108" i="33" s="1"/>
  <c r="M108" i="33" s="1"/>
  <c r="D106" i="33"/>
  <c r="E106" i="33" s="1"/>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J27" i="33" s="1"/>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s="1"/>
  <c r="H40" i="33"/>
  <c r="U40" i="33" s="1"/>
  <c r="Q39" i="33"/>
  <c r="Z39" i="33" s="1"/>
  <c r="J39" i="33"/>
  <c r="AC39" i="33" s="1"/>
  <c r="Q38" i="33"/>
  <c r="Z38" i="33" s="1"/>
  <c r="J38" i="33"/>
  <c r="AC38" i="33" s="1"/>
  <c r="H38" i="33"/>
  <c r="AB38" i="33" s="1"/>
  <c r="F38" i="33"/>
  <c r="AA38" i="33" s="1"/>
  <c r="Q37" i="33"/>
  <c r="Z37" i="33" s="1"/>
  <c r="Q36" i="33"/>
  <c r="Z36" i="33"/>
  <c r="Q35" i="33"/>
  <c r="Z35" i="33" s="1"/>
  <c r="H35" i="33"/>
  <c r="Q34" i="33"/>
  <c r="Z34" i="33" s="1"/>
  <c r="Q33" i="33"/>
  <c r="Z33" i="33" s="1"/>
  <c r="J33" i="33"/>
  <c r="AC33" i="33" s="1"/>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H9" i="33"/>
  <c r="AB9" i="33" s="1"/>
  <c r="J8" i="33"/>
  <c r="H8" i="33"/>
  <c r="U8" i="33" s="1"/>
  <c r="F8" i="33"/>
  <c r="C7" i="33"/>
  <c r="C58" i="33" s="1"/>
  <c r="D58" i="33" s="1"/>
  <c r="E58" i="33" s="1"/>
  <c r="F58" i="33" s="1"/>
  <c r="M102" i="21"/>
  <c r="D102" i="21"/>
  <c r="E102" i="21"/>
  <c r="F102" i="21"/>
  <c r="G102" i="21"/>
  <c r="H102" i="21"/>
  <c r="I102" i="21"/>
  <c r="J102" i="21"/>
  <c r="K102" i="21"/>
  <c r="L102" i="21"/>
  <c r="C102" i="21"/>
  <c r="C63" i="21"/>
  <c r="H9" i="21" s="1"/>
  <c r="AB9" i="21" s="1"/>
  <c r="G18" i="20"/>
  <c r="B87" i="46" s="1"/>
  <c r="C25" i="40"/>
  <c r="G16" i="20"/>
  <c r="B81" i="46"/>
  <c r="G15" i="20"/>
  <c r="B80" i="46" s="1"/>
  <c r="C24" i="20"/>
  <c r="B72" i="46"/>
  <c r="C21" i="20"/>
  <c r="C20" i="20"/>
  <c r="B76" i="46" s="1"/>
  <c r="C18" i="20"/>
  <c r="B70" i="46" s="1"/>
  <c r="C17" i="20"/>
  <c r="B58" i="46"/>
  <c r="C16" i="20"/>
  <c r="B47" i="46" s="1"/>
  <c r="C15" i="20"/>
  <c r="B69" i="46"/>
  <c r="E54" i="21"/>
  <c r="F54" i="21" s="1"/>
  <c r="I54" i="21"/>
  <c r="J54" i="21" s="1"/>
  <c r="G54" i="21"/>
  <c r="H54" i="21" s="1"/>
  <c r="D125" i="21"/>
  <c r="E125" i="21" s="1"/>
  <c r="D123" i="21"/>
  <c r="E123" i="21" s="1"/>
  <c r="F123" i="21" s="1"/>
  <c r="D119" i="21"/>
  <c r="D117" i="21"/>
  <c r="E117" i="21" s="1"/>
  <c r="F117" i="21" s="1"/>
  <c r="G117" i="21" s="1"/>
  <c r="D115" i="21"/>
  <c r="E115" i="21"/>
  <c r="F115" i="21" s="1"/>
  <c r="G115" i="21" s="1"/>
  <c r="H115" i="21" s="1"/>
  <c r="I115" i="21" s="1"/>
  <c r="J115" i="21"/>
  <c r="K115" i="21" s="1"/>
  <c r="L115" i="21" s="1"/>
  <c r="M115" i="21" s="1"/>
  <c r="D113" i="21"/>
  <c r="E113" i="21" s="1"/>
  <c r="F113" i="21"/>
  <c r="G113" i="21" s="1"/>
  <c r="J37" i="21" s="1"/>
  <c r="W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D81" i="21"/>
  <c r="D77" i="21"/>
  <c r="E77" i="21" s="1"/>
  <c r="F77" i="21" s="1"/>
  <c r="G77" i="21" s="1"/>
  <c r="B130" i="21"/>
  <c r="J46" i="21" s="1"/>
  <c r="AC46" i="21" s="1"/>
  <c r="B128" i="21"/>
  <c r="F45" i="21" s="1"/>
  <c r="AA45" i="21" s="1"/>
  <c r="B126" i="21"/>
  <c r="H44" i="21" s="1"/>
  <c r="U44" i="21" s="1"/>
  <c r="B98" i="21"/>
  <c r="B96" i="21"/>
  <c r="F30" i="21" s="1"/>
  <c r="B94" i="21"/>
  <c r="F29" i="21" s="1"/>
  <c r="B92" i="21"/>
  <c r="F28" i="21" s="1"/>
  <c r="B90" i="21"/>
  <c r="B74" i="21"/>
  <c r="F14" i="21" s="1"/>
  <c r="B72" i="21"/>
  <c r="J13" i="21" s="1"/>
  <c r="W13" i="21" s="1"/>
  <c r="B70" i="21"/>
  <c r="F12" i="21" s="1"/>
  <c r="AA12" i="21" s="1"/>
  <c r="F10" i="21"/>
  <c r="AA10" i="21" s="1"/>
  <c r="C7" i="21"/>
  <c r="C58" i="21" s="1"/>
  <c r="D58" i="21" s="1"/>
  <c r="E58"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Q39" i="21"/>
  <c r="Z39" i="21" s="1"/>
  <c r="Q40" i="21"/>
  <c r="Z40" i="21" s="1"/>
  <c r="Q41" i="21"/>
  <c r="Z41" i="21" s="1"/>
  <c r="Q42" i="21"/>
  <c r="Z42" i="21" s="1"/>
  <c r="J43" i="21"/>
  <c r="W43" i="21" s="1"/>
  <c r="AC43" i="21"/>
  <c r="Q43" i="21"/>
  <c r="Z43" i="21" s="1"/>
  <c r="Q44" i="21"/>
  <c r="Z44" i="21" s="1"/>
  <c r="Q45" i="21"/>
  <c r="Z45" i="21" s="1"/>
  <c r="Q46" i="21"/>
  <c r="Z46" i="21"/>
  <c r="P47" i="21"/>
  <c r="R47" i="21"/>
  <c r="T47" i="21"/>
  <c r="V47" i="21"/>
  <c r="P48" i="21"/>
  <c r="P49" i="21"/>
  <c r="F8" i="21"/>
  <c r="E13" i="11"/>
  <c r="E12" i="11"/>
  <c r="BB12" i="3"/>
  <c r="F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A571" i="3" s="1"/>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S43" i="21" s="1"/>
  <c r="H38" i="21"/>
  <c r="AB38" i="21" s="1"/>
  <c r="H43" i="21"/>
  <c r="AB43" i="21"/>
  <c r="F38" i="21"/>
  <c r="S38" i="21" s="1"/>
  <c r="F36" i="21"/>
  <c r="S36" i="21" s="1"/>
  <c r="F39" i="21"/>
  <c r="AA39" i="21" s="1"/>
  <c r="J40" i="21"/>
  <c r="W40" i="21" s="1"/>
  <c r="H35" i="21"/>
  <c r="AB35" i="21"/>
  <c r="J8" i="21"/>
  <c r="AC8" i="21" s="1"/>
  <c r="H8" i="21"/>
  <c r="U8" i="21" s="1"/>
  <c r="H10" i="21"/>
  <c r="H39" i="21"/>
  <c r="J34" i="21"/>
  <c r="W34" i="21" s="1"/>
  <c r="H36" i="21"/>
  <c r="U36" i="21" s="1"/>
  <c r="F35" i="21"/>
  <c r="J10" i="21"/>
  <c r="AC10" i="21" s="1"/>
  <c r="H26" i="21"/>
  <c r="AB26" i="21" s="1"/>
  <c r="J12" i="21"/>
  <c r="W12" i="21" s="1"/>
  <c r="H12" i="21"/>
  <c r="J26" i="21"/>
  <c r="W26" i="21" s="1"/>
  <c r="F26" i="21"/>
  <c r="AA26" i="21" s="1"/>
  <c r="AB41" i="21"/>
  <c r="S10" i="39"/>
  <c r="U30" i="37"/>
  <c r="E103" i="37"/>
  <c r="F103" i="37" s="1"/>
  <c r="G103" i="37" s="1"/>
  <c r="H103" i="37" s="1"/>
  <c r="I103" i="37" s="1"/>
  <c r="J103" i="37" s="1"/>
  <c r="K103" i="37" s="1"/>
  <c r="L103" i="37" s="1"/>
  <c r="M103" i="37" s="1"/>
  <c r="F29" i="36"/>
  <c r="AA29" i="36" s="1"/>
  <c r="F16" i="36"/>
  <c r="AA16" i="36" s="1"/>
  <c r="U26" i="36"/>
  <c r="J33" i="36"/>
  <c r="F36" i="34"/>
  <c r="S34" i="34"/>
  <c r="W39" i="34"/>
  <c r="H39" i="33"/>
  <c r="AB39" i="33" s="1"/>
  <c r="W38" i="33"/>
  <c r="W33" i="33"/>
  <c r="U38" i="33"/>
  <c r="AB27" i="35"/>
  <c r="S10" i="40"/>
  <c r="S11" i="40"/>
  <c r="U11" i="40"/>
  <c r="S36" i="40"/>
  <c r="U36" i="40"/>
  <c r="S36" i="39"/>
  <c r="AC40" i="21"/>
  <c r="U36" i="39"/>
  <c r="S42" i="39"/>
  <c r="H32" i="33"/>
  <c r="AB32" i="33" s="1"/>
  <c r="J27" i="36"/>
  <c r="W27" i="36"/>
  <c r="J34" i="36"/>
  <c r="W34" i="36" s="1"/>
  <c r="J30" i="35"/>
  <c r="W30" i="35"/>
  <c r="F22" i="35"/>
  <c r="H10" i="35"/>
  <c r="U10" i="35" s="1"/>
  <c r="U29" i="36"/>
  <c r="U24" i="36"/>
  <c r="E85" i="36"/>
  <c r="F85" i="36" s="1"/>
  <c r="G85" i="36" s="1"/>
  <c r="H85" i="36" s="1"/>
  <c r="I85" i="36" s="1"/>
  <c r="J85" i="36" s="1"/>
  <c r="K85" i="36" s="1"/>
  <c r="L85" i="36" s="1"/>
  <c r="M85" i="36" s="1"/>
  <c r="J29" i="36"/>
  <c r="AC29" i="36" s="1"/>
  <c r="F12" i="36"/>
  <c r="S12" i="36" s="1"/>
  <c r="F24" i="36"/>
  <c r="S24" i="36" s="1"/>
  <c r="AA24" i="36"/>
  <c r="F34" i="36"/>
  <c r="S34" i="36" s="1"/>
  <c r="S10" i="36"/>
  <c r="H33" i="35"/>
  <c r="AB33" i="35" s="1"/>
  <c r="F35" i="37"/>
  <c r="AA35" i="37" s="1"/>
  <c r="E101" i="37"/>
  <c r="F101" i="37" s="1"/>
  <c r="G101" i="37" s="1"/>
  <c r="H101" i="37" s="1"/>
  <c r="I101" i="37" s="1"/>
  <c r="J101" i="37" s="1"/>
  <c r="K101" i="37" s="1"/>
  <c r="L101" i="37" s="1"/>
  <c r="M101" i="37" s="1"/>
  <c r="J34" i="37"/>
  <c r="AC34" i="37" s="1"/>
  <c r="W34" i="37"/>
  <c r="H43" i="34"/>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F36" i="33"/>
  <c r="S36" i="33" s="1"/>
  <c r="F19" i="33"/>
  <c r="S19" i="33"/>
  <c r="J19" i="33"/>
  <c r="AC19" i="33" s="1"/>
  <c r="S10" i="21"/>
  <c r="F125" i="21"/>
  <c r="G125" i="21" s="1"/>
  <c r="AC34" i="36"/>
  <c r="U34" i="37"/>
  <c r="AC43" i="34"/>
  <c r="AB42" i="34"/>
  <c r="W36" i="34"/>
  <c r="J19" i="34"/>
  <c r="AC19" i="34" s="1"/>
  <c r="H37" i="33"/>
  <c r="AB37" i="33" s="1"/>
  <c r="S37" i="33"/>
  <c r="W43" i="34"/>
  <c r="AC38" i="34"/>
  <c r="W38" i="34"/>
  <c r="J37" i="33"/>
  <c r="J44" i="34"/>
  <c r="W44" i="34" s="1"/>
  <c r="AC44" i="34"/>
  <c r="F44" i="34"/>
  <c r="S44" i="34" s="1"/>
  <c r="J10" i="35"/>
  <c r="W10" i="35" s="1"/>
  <c r="AL5" i="3"/>
  <c r="BQ13" i="3"/>
  <c r="J14" i="21"/>
  <c r="W14" i="21" s="1"/>
  <c r="H14" i="21"/>
  <c r="U14" i="21" s="1"/>
  <c r="H28" i="21"/>
  <c r="J28" i="21"/>
  <c r="AC28" i="21" s="1"/>
  <c r="H30" i="21"/>
  <c r="U30" i="21" s="1"/>
  <c r="J44" i="21"/>
  <c r="AC44" i="21"/>
  <c r="F44" i="21"/>
  <c r="AA44" i="21"/>
  <c r="H46" i="21"/>
  <c r="AB46" i="21" s="1"/>
  <c r="W46" i="21"/>
  <c r="H28" i="33"/>
  <c r="F28" i="33"/>
  <c r="AA28" i="33" s="1"/>
  <c r="J28" i="33"/>
  <c r="AC28" i="33" s="1"/>
  <c r="F33" i="35"/>
  <c r="S33" i="35" s="1"/>
  <c r="J33" i="35"/>
  <c r="W33" i="35" s="1"/>
  <c r="F30" i="35"/>
  <c r="AA30" i="35" s="1"/>
  <c r="G89" i="35"/>
  <c r="H89" i="35" s="1"/>
  <c r="I89" i="35" s="1"/>
  <c r="J89" i="35" s="1"/>
  <c r="K89" i="35" s="1"/>
  <c r="L89" i="35" s="1"/>
  <c r="M89" i="35" s="1"/>
  <c r="H10" i="36"/>
  <c r="AB10" i="36"/>
  <c r="F28" i="36"/>
  <c r="S28" i="36" s="1"/>
  <c r="F27" i="36"/>
  <c r="AC13" i="21"/>
  <c r="J45" i="21"/>
  <c r="W45" i="21" s="1"/>
  <c r="F13" i="33"/>
  <c r="S13" i="33" s="1"/>
  <c r="H31" i="33"/>
  <c r="F11" i="35"/>
  <c r="H28" i="36"/>
  <c r="U28" i="36" s="1"/>
  <c r="H32" i="36"/>
  <c r="AB32" i="36" s="1"/>
  <c r="J32" i="36"/>
  <c r="W32" i="36" s="1"/>
  <c r="H13" i="36"/>
  <c r="AB13" i="36" s="1"/>
  <c r="J13" i="36"/>
  <c r="W13" i="36"/>
  <c r="F89" i="37"/>
  <c r="G89" i="37" s="1"/>
  <c r="H89" i="37" s="1"/>
  <c r="I89" i="37" s="1"/>
  <c r="J89" i="37" s="1"/>
  <c r="K89" i="37" s="1"/>
  <c r="L89" i="37" s="1"/>
  <c r="M89" i="37" s="1"/>
  <c r="J29" i="37"/>
  <c r="AC29" i="37" s="1"/>
  <c r="F29" i="37"/>
  <c r="AA29" i="37" s="1"/>
  <c r="F107" i="37"/>
  <c r="G107" i="37" s="1"/>
  <c r="J37" i="37"/>
  <c r="W37" i="37" s="1"/>
  <c r="AC37" i="37"/>
  <c r="H37" i="37"/>
  <c r="H40" i="37"/>
  <c r="U40" i="37"/>
  <c r="J40" i="37"/>
  <c r="H14" i="33"/>
  <c r="U14" i="33"/>
  <c r="F14" i="33"/>
  <c r="J46" i="33"/>
  <c r="AA46" i="33"/>
  <c r="H13" i="34"/>
  <c r="U13" i="34" s="1"/>
  <c r="J13" i="34"/>
  <c r="F13" i="34"/>
  <c r="AA13" i="34" s="1"/>
  <c r="J29" i="34"/>
  <c r="AC29" i="34" s="1"/>
  <c r="S29" i="34"/>
  <c r="J31" i="34"/>
  <c r="W31" i="34" s="1"/>
  <c r="F31" i="34"/>
  <c r="S31" i="34"/>
  <c r="H45" i="34"/>
  <c r="W45" i="34"/>
  <c r="H47" i="34"/>
  <c r="U47" i="34"/>
  <c r="F47" i="34"/>
  <c r="AA47" i="34" s="1"/>
  <c r="AC47" i="34"/>
  <c r="F13" i="35"/>
  <c r="S13" i="35" s="1"/>
  <c r="AC13" i="35"/>
  <c r="AC25" i="35"/>
  <c r="F25" i="35"/>
  <c r="H25" i="35"/>
  <c r="AB25" i="35" s="1"/>
  <c r="J35" i="35"/>
  <c r="AC35" i="35" s="1"/>
  <c r="S35" i="35"/>
  <c r="J25" i="36"/>
  <c r="W25" i="36" s="1"/>
  <c r="F25" i="36"/>
  <c r="AA25" i="36" s="1"/>
  <c r="H25" i="36"/>
  <c r="U25" i="36" s="1"/>
  <c r="AB25" i="36"/>
  <c r="AA28" i="37"/>
  <c r="H38" i="37"/>
  <c r="F14" i="37"/>
  <c r="AA14" i="37" s="1"/>
  <c r="W14" i="37"/>
  <c r="J27" i="37"/>
  <c r="AB40" i="37"/>
  <c r="J36" i="37"/>
  <c r="AC36" i="37" s="1"/>
  <c r="AB28" i="36"/>
  <c r="U46" i="21"/>
  <c r="S28" i="21"/>
  <c r="AA28" i="21"/>
  <c r="U36" i="37"/>
  <c r="AC13" i="36"/>
  <c r="AB44" i="21"/>
  <c r="G529" i="3"/>
  <c r="G513" i="3"/>
  <c r="G508" i="3"/>
  <c r="G499" i="3"/>
  <c r="G17" i="3"/>
  <c r="G557" i="3"/>
  <c r="G539" i="3"/>
  <c r="BL511" i="3"/>
  <c r="BL483" i="3"/>
  <c r="G16" i="3"/>
  <c r="BL533" i="3"/>
  <c r="BL525" i="3"/>
  <c r="G518" i="3"/>
  <c r="G510" i="3"/>
  <c r="BL503" i="3"/>
  <c r="G18" i="3"/>
  <c r="BA555" i="3"/>
  <c r="BA531" i="3"/>
  <c r="AZ531" i="3" s="1"/>
  <c r="BA501" i="3"/>
  <c r="BA493" i="3"/>
  <c r="BA536" i="3"/>
  <c r="AZ536" i="3" s="1"/>
  <c r="BA524" i="3"/>
  <c r="BA520" i="3"/>
  <c r="BA508" i="3"/>
  <c r="BA498" i="3"/>
  <c r="BA492" i="3"/>
  <c r="G562" i="3"/>
  <c r="AC542" i="3"/>
  <c r="G542" i="3" s="1"/>
  <c r="BQ542" i="3"/>
  <c r="BQ568" i="3"/>
  <c r="BQ566" i="3"/>
  <c r="BQ564" i="3"/>
  <c r="BQ562" i="3"/>
  <c r="BQ560" i="3"/>
  <c r="BQ558" i="3"/>
  <c r="BQ556" i="3"/>
  <c r="BQ554" i="3"/>
  <c r="BQ552" i="3"/>
  <c r="BQ550" i="3"/>
  <c r="BQ548" i="3"/>
  <c r="BQ546" i="3"/>
  <c r="BQ544" i="3"/>
  <c r="G538" i="3"/>
  <c r="G530" i="3"/>
  <c r="G526" i="3"/>
  <c r="BQ540" i="3"/>
  <c r="BL540" i="3"/>
  <c r="BQ538" i="3"/>
  <c r="BL538" i="3" s="1"/>
  <c r="BQ536" i="3"/>
  <c r="BQ534" i="3"/>
  <c r="BL534" i="3"/>
  <c r="BQ532" i="3"/>
  <c r="BQ530" i="3"/>
  <c r="BQ528" i="3"/>
  <c r="BQ526" i="3"/>
  <c r="BQ524" i="3"/>
  <c r="BQ522" i="3"/>
  <c r="BQ520" i="3"/>
  <c r="BL520" i="3"/>
  <c r="BQ518" i="3"/>
  <c r="BQ516" i="3"/>
  <c r="BQ514" i="3"/>
  <c r="BL514" i="3"/>
  <c r="BQ512" i="3"/>
  <c r="BQ510" i="3"/>
  <c r="BL510" i="3"/>
  <c r="BQ508" i="3"/>
  <c r="AC506" i="3"/>
  <c r="G506" i="3"/>
  <c r="BQ506" i="3"/>
  <c r="G502" i="3"/>
  <c r="BQ504" i="3"/>
  <c r="BQ502" i="3"/>
  <c r="BQ500" i="3"/>
  <c r="BL500" i="3"/>
  <c r="BQ498" i="3"/>
  <c r="BQ496" i="3"/>
  <c r="AC494" i="3"/>
  <c r="G494" i="3" s="1"/>
  <c r="BQ494" i="3"/>
  <c r="G492" i="3"/>
  <c r="G484" i="3"/>
  <c r="G20" i="3"/>
  <c r="BQ492" i="3"/>
  <c r="BQ490" i="3"/>
  <c r="BL490" i="3" s="1"/>
  <c r="BQ488" i="3"/>
  <c r="BQ486" i="3"/>
  <c r="BQ484" i="3"/>
  <c r="BQ482" i="3"/>
  <c r="BQ20" i="3"/>
  <c r="BL20" i="3"/>
  <c r="BQ18" i="3"/>
  <c r="S505" i="31"/>
  <c r="S503" i="31"/>
  <c r="S499" i="31"/>
  <c r="O27" i="31"/>
  <c r="O28" i="31"/>
  <c r="O26" i="31"/>
  <c r="M27" i="31"/>
  <c r="M28" i="31"/>
  <c r="M26" i="31"/>
  <c r="I26" i="31"/>
  <c r="I25" i="31"/>
  <c r="S25" i="31"/>
  <c r="Q26" i="31"/>
  <c r="K26" i="31"/>
  <c r="I27" i="31"/>
  <c r="Q27" i="31"/>
  <c r="K27" i="31"/>
  <c r="I28" i="31"/>
  <c r="Q28" i="31"/>
  <c r="K28" i="31"/>
  <c r="H25" i="21"/>
  <c r="U25" i="21" s="1"/>
  <c r="F25" i="21"/>
  <c r="S25" i="21"/>
  <c r="J25" i="21"/>
  <c r="F125" i="33"/>
  <c r="G125" i="33" s="1"/>
  <c r="H43" i="33"/>
  <c r="U43" i="33" s="1"/>
  <c r="H17" i="37"/>
  <c r="U17" i="37" s="1"/>
  <c r="F23" i="37"/>
  <c r="S23" i="37" s="1"/>
  <c r="F79" i="37"/>
  <c r="G79" i="37" s="1"/>
  <c r="F39" i="33"/>
  <c r="AA39" i="33" s="1"/>
  <c r="F42" i="33"/>
  <c r="H28" i="34"/>
  <c r="U28" i="34" s="1"/>
  <c r="AB28" i="34"/>
  <c r="F22" i="36"/>
  <c r="S22" i="36" s="1"/>
  <c r="H35" i="34"/>
  <c r="U35" i="34"/>
  <c r="F41" i="34"/>
  <c r="S41" i="34" s="1"/>
  <c r="H41" i="34"/>
  <c r="J41" i="34"/>
  <c r="W41" i="34" s="1"/>
  <c r="F10" i="35"/>
  <c r="AA10" i="35" s="1"/>
  <c r="F24" i="35"/>
  <c r="AA24" i="35" s="1"/>
  <c r="H23" i="37"/>
  <c r="U23" i="37" s="1"/>
  <c r="AB23" i="37"/>
  <c r="J32" i="37"/>
  <c r="AC32" i="37" s="1"/>
  <c r="F36" i="37"/>
  <c r="S36" i="37"/>
  <c r="F37" i="37"/>
  <c r="AA37" i="37" s="1"/>
  <c r="AC41" i="34"/>
  <c r="H42" i="33"/>
  <c r="U42" i="33" s="1"/>
  <c r="J43" i="33"/>
  <c r="J23" i="37"/>
  <c r="AC23" i="37" s="1"/>
  <c r="W23" i="37"/>
  <c r="F17" i="37"/>
  <c r="AA17" i="37" s="1"/>
  <c r="W23" i="35"/>
  <c r="AC36" i="34"/>
  <c r="AB8" i="34"/>
  <c r="AA36" i="21"/>
  <c r="F43" i="33"/>
  <c r="AA43" i="33" s="1"/>
  <c r="AA23" i="37"/>
  <c r="H107" i="37"/>
  <c r="I107" i="37" s="1"/>
  <c r="J107" i="37" s="1"/>
  <c r="K107" i="37" s="1"/>
  <c r="L107" i="37" s="1"/>
  <c r="M107" i="37" s="1"/>
  <c r="H19" i="34"/>
  <c r="AB19" i="34" s="1"/>
  <c r="J10" i="37"/>
  <c r="AC10" i="37" s="1"/>
  <c r="W10" i="37"/>
  <c r="F36" i="35"/>
  <c r="S36" i="35" s="1"/>
  <c r="H9" i="37"/>
  <c r="U9" i="37" s="1"/>
  <c r="F9" i="37"/>
  <c r="F11" i="37"/>
  <c r="H12" i="37"/>
  <c r="H15" i="37"/>
  <c r="F31" i="37"/>
  <c r="S31" i="37"/>
  <c r="H94" i="37"/>
  <c r="I94" i="37"/>
  <c r="J94" i="37" s="1"/>
  <c r="K94" i="37" s="1"/>
  <c r="L94" i="37" s="1"/>
  <c r="M94" i="37"/>
  <c r="H31" i="37"/>
  <c r="J15" i="37"/>
  <c r="W15" i="37" s="1"/>
  <c r="AB10" i="37"/>
  <c r="J11" i="37"/>
  <c r="W11" i="37" s="1"/>
  <c r="F21" i="40"/>
  <c r="AA21" i="40" s="1"/>
  <c r="S21" i="40"/>
  <c r="W36" i="40"/>
  <c r="J21" i="40"/>
  <c r="AC21" i="40"/>
  <c r="S27" i="31"/>
  <c r="G515" i="3"/>
  <c r="G507" i="3"/>
  <c r="G501" i="3"/>
  <c r="BA15" i="3"/>
  <c r="BL17" i="3"/>
  <c r="BL15" i="3"/>
  <c r="BA14" i="3"/>
  <c r="AZ14" i="3" s="1"/>
  <c r="J57" i="39"/>
  <c r="H13" i="40"/>
  <c r="U13" i="40" s="1"/>
  <c r="H12" i="48"/>
  <c r="I4" i="4"/>
  <c r="K141" i="21"/>
  <c r="K143" i="21"/>
  <c r="K144" i="21"/>
  <c r="I59" i="40"/>
  <c r="C59" i="40" s="1"/>
  <c r="G297" i="3"/>
  <c r="BL298" i="3"/>
  <c r="G299" i="3"/>
  <c r="BL300" i="3"/>
  <c r="BA302" i="3"/>
  <c r="BA303" i="3"/>
  <c r="BL303" i="3"/>
  <c r="G304" i="3"/>
  <c r="BA305" i="3"/>
  <c r="G321" i="3"/>
  <c r="BL322" i="3"/>
  <c r="G323" i="3"/>
  <c r="BL324" i="3"/>
  <c r="BA326" i="3"/>
  <c r="BA327" i="3"/>
  <c r="BL327" i="3"/>
  <c r="G328" i="3"/>
  <c r="BA329" i="3"/>
  <c r="BL338" i="3"/>
  <c r="G339" i="3"/>
  <c r="BA343" i="3"/>
  <c r="G344" i="3"/>
  <c r="G353" i="3"/>
  <c r="G355" i="3"/>
  <c r="BL356" i="3"/>
  <c r="G357" i="3"/>
  <c r="BL358" i="3"/>
  <c r="AZ358" i="3"/>
  <c r="G359" i="3"/>
  <c r="BA360" i="3"/>
  <c r="AZ360" i="3" s="1"/>
  <c r="BA361" i="3"/>
  <c r="BL361" i="3"/>
  <c r="AZ361" i="3" s="1"/>
  <c r="G362" i="3"/>
  <c r="G371" i="3"/>
  <c r="BL372" i="3"/>
  <c r="G373" i="3"/>
  <c r="BL374" i="3"/>
  <c r="BA376" i="3"/>
  <c r="BA377" i="3"/>
  <c r="BL377" i="3"/>
  <c r="G378" i="3"/>
  <c r="BA379" i="3"/>
  <c r="BA114" i="3"/>
  <c r="BL115" i="3"/>
  <c r="G116" i="3"/>
  <c r="BA118" i="3"/>
  <c r="BL119" i="3"/>
  <c r="AZ119" i="3" s="1"/>
  <c r="G120" i="3"/>
  <c r="BA122" i="3"/>
  <c r="G124" i="3"/>
  <c r="BA126" i="3"/>
  <c r="BL127" i="3"/>
  <c r="AZ127" i="3" s="1"/>
  <c r="G128" i="3"/>
  <c r="BA130" i="3"/>
  <c r="AZ130" i="3" s="1"/>
  <c r="BL131" i="3"/>
  <c r="AZ131" i="3"/>
  <c r="G132" i="3"/>
  <c r="BA134" i="3"/>
  <c r="BL135" i="3"/>
  <c r="AZ135" i="3" s="1"/>
  <c r="G136" i="3"/>
  <c r="BA138" i="3"/>
  <c r="AZ138" i="3"/>
  <c r="BL139" i="3"/>
  <c r="G140" i="3"/>
  <c r="BA142" i="3"/>
  <c r="BL143" i="3"/>
  <c r="G144" i="3"/>
  <c r="BA146" i="3"/>
  <c r="AZ146" i="3" s="1"/>
  <c r="BL147" i="3"/>
  <c r="G148" i="3"/>
  <c r="BA150" i="3"/>
  <c r="BL151" i="3"/>
  <c r="AZ151" i="3"/>
  <c r="BA153" i="3"/>
  <c r="BL154" i="3"/>
  <c r="AZ154" i="3" s="1"/>
  <c r="G155" i="3"/>
  <c r="BA157" i="3"/>
  <c r="AZ157" i="3" s="1"/>
  <c r="BL158" i="3"/>
  <c r="G159" i="3"/>
  <c r="BL162" i="3"/>
  <c r="G163" i="3"/>
  <c r="BA165" i="3"/>
  <c r="BL166" i="3"/>
  <c r="AZ166" i="3" s="1"/>
  <c r="BA169" i="3"/>
  <c r="BL170" i="3"/>
  <c r="G171" i="3"/>
  <c r="BA173" i="3"/>
  <c r="BL174" i="3"/>
  <c r="G175" i="3"/>
  <c r="BA178" i="3"/>
  <c r="BL179" i="3"/>
  <c r="AZ179" i="3" s="1"/>
  <c r="G180" i="3"/>
  <c r="G537" i="3"/>
  <c r="BL181" i="3"/>
  <c r="G182" i="3"/>
  <c r="BA184" i="3"/>
  <c r="BL185" i="3"/>
  <c r="AZ185" i="3" s="1"/>
  <c r="G186" i="3"/>
  <c r="BA188" i="3"/>
  <c r="BL189" i="3"/>
  <c r="G190" i="3"/>
  <c r="BA192" i="3"/>
  <c r="BL193" i="3"/>
  <c r="AZ193" i="3" s="1"/>
  <c r="G194" i="3"/>
  <c r="BA196" i="3"/>
  <c r="BL197" i="3"/>
  <c r="G198" i="3"/>
  <c r="BL201" i="3"/>
  <c r="AZ201" i="3" s="1"/>
  <c r="AZ86" i="3"/>
  <c r="G491" i="3"/>
  <c r="BA298" i="3"/>
  <c r="BA299" i="3"/>
  <c r="AZ299" i="3"/>
  <c r="BL299" i="3"/>
  <c r="G300" i="3"/>
  <c r="G303" i="3"/>
  <c r="BL304" i="3"/>
  <c r="BA306" i="3"/>
  <c r="BA307" i="3"/>
  <c r="BL307" i="3"/>
  <c r="G308" i="3"/>
  <c r="G319" i="3"/>
  <c r="BL320" i="3"/>
  <c r="BA322" i="3"/>
  <c r="AZ322" i="3" s="1"/>
  <c r="BA323" i="3"/>
  <c r="BL323" i="3"/>
  <c r="G324" i="3"/>
  <c r="G327" i="3"/>
  <c r="BL328" i="3"/>
  <c r="BA330" i="3"/>
  <c r="AZ330" i="3" s="1"/>
  <c r="BA331" i="3"/>
  <c r="BL331" i="3"/>
  <c r="AZ331" i="3" s="1"/>
  <c r="G332" i="3"/>
  <c r="G335" i="3"/>
  <c r="BA339" i="3"/>
  <c r="BL339" i="3"/>
  <c r="G340" i="3"/>
  <c r="G343" i="3"/>
  <c r="BL344" i="3"/>
  <c r="BA346" i="3"/>
  <c r="AZ346" i="3" s="1"/>
  <c r="G348" i="3"/>
  <c r="G351" i="3"/>
  <c r="BA354" i="3"/>
  <c r="BA355" i="3"/>
  <c r="BL355" i="3"/>
  <c r="AZ355" i="3" s="1"/>
  <c r="G356" i="3"/>
  <c r="BA358" i="3"/>
  <c r="BA359" i="3"/>
  <c r="AZ359" i="3" s="1"/>
  <c r="BL359" i="3"/>
  <c r="G360" i="3"/>
  <c r="G361" i="3"/>
  <c r="BL362" i="3"/>
  <c r="BA364" i="3"/>
  <c r="BA365" i="3"/>
  <c r="BL365" i="3"/>
  <c r="G366" i="3"/>
  <c r="G369" i="3"/>
  <c r="BL370" i="3"/>
  <c r="BA372" i="3"/>
  <c r="BA373" i="3"/>
  <c r="BL373" i="3"/>
  <c r="AZ373" i="3" s="1"/>
  <c r="G374" i="3"/>
  <c r="G377" i="3"/>
  <c r="BL378" i="3"/>
  <c r="BA380" i="3"/>
  <c r="BA381" i="3"/>
  <c r="BL381" i="3"/>
  <c r="AZ381" i="3" s="1"/>
  <c r="G382" i="3"/>
  <c r="G385" i="3"/>
  <c r="G523" i="3"/>
  <c r="BL297" i="3"/>
  <c r="G298" i="3"/>
  <c r="BA300" i="3"/>
  <c r="AZ300" i="3" s="1"/>
  <c r="BL301" i="3"/>
  <c r="G302" i="3"/>
  <c r="BA304" i="3"/>
  <c r="BL305" i="3"/>
  <c r="G306" i="3"/>
  <c r="BA308" i="3"/>
  <c r="AZ308" i="3" s="1"/>
  <c r="BL309" i="3"/>
  <c r="G310" i="3"/>
  <c r="BA310" i="3"/>
  <c r="BL311" i="3"/>
  <c r="AZ311" i="3" s="1"/>
  <c r="G312" i="3"/>
  <c r="BA312" i="3"/>
  <c r="BL313" i="3"/>
  <c r="G314" i="3"/>
  <c r="BA314" i="3"/>
  <c r="AZ314" i="3" s="1"/>
  <c r="BL315" i="3"/>
  <c r="G316" i="3"/>
  <c r="BA316" i="3"/>
  <c r="AZ316" i="3" s="1"/>
  <c r="BL317" i="3"/>
  <c r="G318" i="3"/>
  <c r="BA320" i="3"/>
  <c r="AZ320" i="3" s="1"/>
  <c r="BL321" i="3"/>
  <c r="G322" i="3"/>
  <c r="BA324" i="3"/>
  <c r="AZ324" i="3" s="1"/>
  <c r="BL325" i="3"/>
  <c r="G326" i="3"/>
  <c r="BA328" i="3"/>
  <c r="BL329" i="3"/>
  <c r="AZ329" i="3" s="1"/>
  <c r="G330" i="3"/>
  <c r="BA332" i="3"/>
  <c r="G334" i="3"/>
  <c r="BA336" i="3"/>
  <c r="BL341" i="3"/>
  <c r="G342" i="3"/>
  <c r="BA348" i="3"/>
  <c r="G350" i="3"/>
  <c r="BA352" i="3"/>
  <c r="AZ352" i="3" s="1"/>
  <c r="BL353" i="3"/>
  <c r="BA356" i="3"/>
  <c r="BL357" i="3"/>
  <c r="AZ357" i="3" s="1"/>
  <c r="G358" i="3"/>
  <c r="BA362" i="3"/>
  <c r="AZ362" i="3" s="1"/>
  <c r="G364" i="3"/>
  <c r="BA366" i="3"/>
  <c r="BL367" i="3"/>
  <c r="AZ213" i="3"/>
  <c r="AZ349" i="3"/>
  <c r="AZ367" i="3"/>
  <c r="G368" i="3"/>
  <c r="BA370" i="3"/>
  <c r="BL371" i="3"/>
  <c r="G372" i="3"/>
  <c r="BA374" i="3"/>
  <c r="AZ374" i="3" s="1"/>
  <c r="BL375" i="3"/>
  <c r="G376" i="3"/>
  <c r="BA378" i="3"/>
  <c r="AZ378" i="3" s="1"/>
  <c r="BL379" i="3"/>
  <c r="G380" i="3"/>
  <c r="BA382" i="3"/>
  <c r="BL383" i="3"/>
  <c r="G384" i="3"/>
  <c r="AZ253" i="3"/>
  <c r="AZ383" i="3"/>
  <c r="AZ313" i="3"/>
  <c r="AZ467" i="3"/>
  <c r="H7" i="48"/>
  <c r="F33" i="46"/>
  <c r="H16" i="48"/>
  <c r="H9" i="48"/>
  <c r="H8" i="48"/>
  <c r="C12" i="46"/>
  <c r="U43" i="21"/>
  <c r="AA13" i="40"/>
  <c r="R16" i="4"/>
  <c r="P16" i="4"/>
  <c r="D3" i="35"/>
  <c r="G4" i="4"/>
  <c r="S37" i="34"/>
  <c r="W25" i="35"/>
  <c r="AZ354" i="3"/>
  <c r="H11" i="37"/>
  <c r="AB11" i="37" s="1"/>
  <c r="AA36" i="37"/>
  <c r="AC10" i="36"/>
  <c r="AC14" i="37"/>
  <c r="J33" i="34"/>
  <c r="AC33" i="34"/>
  <c r="J40" i="34"/>
  <c r="W40" i="34" s="1"/>
  <c r="W42" i="33"/>
  <c r="J35" i="34"/>
  <c r="AC35" i="34" s="1"/>
  <c r="W35" i="34"/>
  <c r="H16" i="36"/>
  <c r="AB16" i="36" s="1"/>
  <c r="H35" i="37"/>
  <c r="AB35" i="37" s="1"/>
  <c r="U26" i="21"/>
  <c r="F40" i="21"/>
  <c r="S40" i="21"/>
  <c r="H40" i="21"/>
  <c r="AB40" i="21" s="1"/>
  <c r="E119" i="21"/>
  <c r="F119" i="21" s="1"/>
  <c r="G119" i="21" s="1"/>
  <c r="H119" i="21" s="1"/>
  <c r="I119" i="21" s="1"/>
  <c r="J119" i="21" s="1"/>
  <c r="K119" i="21" s="1"/>
  <c r="L119" i="21" s="1"/>
  <c r="M119" i="21" s="1"/>
  <c r="AA8" i="33"/>
  <c r="S8" i="33"/>
  <c r="H66" i="33"/>
  <c r="F10" i="33"/>
  <c r="F11" i="33"/>
  <c r="AA11" i="33" s="1"/>
  <c r="S11" i="33"/>
  <c r="J15" i="33"/>
  <c r="H19" i="33"/>
  <c r="AB19" i="33"/>
  <c r="F32" i="33"/>
  <c r="AA32" i="33" s="1"/>
  <c r="J32" i="33"/>
  <c r="AC32" i="33" s="1"/>
  <c r="F35" i="33"/>
  <c r="AA35" i="33" s="1"/>
  <c r="F11" i="34"/>
  <c r="H17" i="34"/>
  <c r="AB17" i="34"/>
  <c r="H13" i="33"/>
  <c r="U13" i="33" s="1"/>
  <c r="J12" i="34"/>
  <c r="H12" i="34"/>
  <c r="AB12" i="34" s="1"/>
  <c r="F12" i="34"/>
  <c r="S12" i="34" s="1"/>
  <c r="H30" i="34"/>
  <c r="AB30" i="34" s="1"/>
  <c r="S30" i="34"/>
  <c r="J30" i="34"/>
  <c r="W30" i="34" s="1"/>
  <c r="J32" i="34"/>
  <c r="W32" i="34" s="1"/>
  <c r="F46" i="34"/>
  <c r="AA46" i="34"/>
  <c r="J46" i="34"/>
  <c r="J11" i="35"/>
  <c r="W11" i="35" s="1"/>
  <c r="AC11" i="35"/>
  <c r="F96" i="37"/>
  <c r="G96" i="37" s="1"/>
  <c r="H96" i="37" s="1"/>
  <c r="I96" i="37" s="1"/>
  <c r="J96" i="37" s="1"/>
  <c r="K96" i="37" s="1"/>
  <c r="L96" i="37" s="1"/>
  <c r="M96" i="37" s="1"/>
  <c r="H32" i="37"/>
  <c r="AB32" i="37"/>
  <c r="F19" i="39"/>
  <c r="H19" i="39"/>
  <c r="U19" i="39" s="1"/>
  <c r="J19" i="39"/>
  <c r="W19" i="39"/>
  <c r="F99" i="37"/>
  <c r="U25" i="35"/>
  <c r="AC45" i="21"/>
  <c r="S28" i="33"/>
  <c r="W19" i="33"/>
  <c r="U43" i="34"/>
  <c r="AB43" i="34"/>
  <c r="S35" i="37"/>
  <c r="AB10" i="35"/>
  <c r="E90" i="34"/>
  <c r="F90" i="34" s="1"/>
  <c r="G90" i="34" s="1"/>
  <c r="H90" i="34" s="1"/>
  <c r="I90" i="34" s="1"/>
  <c r="J90" i="34" s="1"/>
  <c r="K90" i="34" s="1"/>
  <c r="L90" i="34" s="1"/>
  <c r="M90" i="34" s="1"/>
  <c r="E94" i="35"/>
  <c r="F94" i="35"/>
  <c r="G94" i="35" s="1"/>
  <c r="H94" i="35" s="1"/>
  <c r="I94" i="35" s="1"/>
  <c r="J94" i="35" s="1"/>
  <c r="K94" i="35" s="1"/>
  <c r="L94" i="35" s="1"/>
  <c r="M94" i="35" s="1"/>
  <c r="J32" i="35"/>
  <c r="AC32" i="35" s="1"/>
  <c r="W16" i="36"/>
  <c r="AC16" i="36"/>
  <c r="E78" i="36"/>
  <c r="F78" i="36" s="1"/>
  <c r="G78" i="36" s="1"/>
  <c r="H78" i="36" s="1"/>
  <c r="I78" i="36" s="1"/>
  <c r="J78" i="36" s="1"/>
  <c r="K78" i="36" s="1"/>
  <c r="L78" i="36" s="1"/>
  <c r="M78" i="36" s="1"/>
  <c r="F26" i="36"/>
  <c r="S26" i="36" s="1"/>
  <c r="U34" i="36"/>
  <c r="AB34" i="36"/>
  <c r="H33" i="36"/>
  <c r="U33" i="36" s="1"/>
  <c r="F33" i="36"/>
  <c r="AA33" i="36"/>
  <c r="H27" i="36"/>
  <c r="AB29" i="37"/>
  <c r="S30" i="37"/>
  <c r="AC30" i="37"/>
  <c r="AC31" i="37"/>
  <c r="H17" i="39"/>
  <c r="U17" i="39" s="1"/>
  <c r="J17" i="39"/>
  <c r="W17" i="39" s="1"/>
  <c r="F21" i="39"/>
  <c r="S21" i="39" s="1"/>
  <c r="H21" i="39"/>
  <c r="AB21" i="39" s="1"/>
  <c r="J21" i="39"/>
  <c r="W21" i="39" s="1"/>
  <c r="F33" i="39"/>
  <c r="S33" i="39" s="1"/>
  <c r="H33" i="39"/>
  <c r="AB33" i="39" s="1"/>
  <c r="U33" i="39"/>
  <c r="F44" i="39"/>
  <c r="S44" i="39" s="1"/>
  <c r="H44" i="39"/>
  <c r="U44" i="39" s="1"/>
  <c r="J44" i="39"/>
  <c r="W44" i="39" s="1"/>
  <c r="F128" i="39"/>
  <c r="G128" i="39" s="1"/>
  <c r="H128" i="39" s="1"/>
  <c r="I128" i="39" s="1"/>
  <c r="J128" i="39" s="1"/>
  <c r="K128" i="39" s="1"/>
  <c r="L128" i="39" s="1"/>
  <c r="M128" i="39" s="1"/>
  <c r="U46" i="39"/>
  <c r="J46" i="39"/>
  <c r="W46" i="39" s="1"/>
  <c r="F34" i="39"/>
  <c r="AA34" i="39"/>
  <c r="H34" i="39"/>
  <c r="U34" i="39" s="1"/>
  <c r="AB34" i="39"/>
  <c r="J34" i="39"/>
  <c r="AC34" i="39"/>
  <c r="F39" i="39"/>
  <c r="H39" i="39"/>
  <c r="AB39" i="39" s="1"/>
  <c r="AC30" i="36"/>
  <c r="F37" i="39"/>
  <c r="S37" i="39"/>
  <c r="J37" i="39"/>
  <c r="W37" i="39" s="1"/>
  <c r="BA547" i="3"/>
  <c r="BL539" i="3"/>
  <c r="BA539" i="3"/>
  <c r="AZ539" i="3" s="1"/>
  <c r="BL537" i="3"/>
  <c r="BL536" i="3"/>
  <c r="BA535" i="3"/>
  <c r="BA534" i="3"/>
  <c r="AZ534" i="3"/>
  <c r="BL531" i="3"/>
  <c r="BL529" i="3"/>
  <c r="BA529" i="3"/>
  <c r="BA525" i="3"/>
  <c r="AZ525" i="3" s="1"/>
  <c r="BL523" i="3"/>
  <c r="BA518" i="3"/>
  <c r="BA517" i="3"/>
  <c r="BL515" i="3"/>
  <c r="BA514" i="3"/>
  <c r="AZ514" i="3" s="1"/>
  <c r="BL513" i="3"/>
  <c r="BA510" i="3"/>
  <c r="AZ510" i="3"/>
  <c r="BL507" i="3"/>
  <c r="BL506" i="3"/>
  <c r="AZ506" i="3" s="1"/>
  <c r="BA506" i="3"/>
  <c r="BL504" i="3"/>
  <c r="BA500" i="3"/>
  <c r="AZ500" i="3"/>
  <c r="BA499" i="3"/>
  <c r="BA497" i="3"/>
  <c r="BL496" i="3"/>
  <c r="BA495" i="3"/>
  <c r="BA490" i="3"/>
  <c r="BL486" i="3"/>
  <c r="AZ486" i="3" s="1"/>
  <c r="BA486" i="3"/>
  <c r="BA483" i="3"/>
  <c r="AZ483" i="3" s="1"/>
  <c r="BA18" i="3"/>
  <c r="F36" i="44"/>
  <c r="H38" i="34"/>
  <c r="U38" i="34" s="1"/>
  <c r="H30" i="40"/>
  <c r="AB30" i="40" s="1"/>
  <c r="J30" i="40"/>
  <c r="AC30" i="40" s="1"/>
  <c r="F38" i="40"/>
  <c r="AA38" i="40"/>
  <c r="AC12" i="21"/>
  <c r="AB8" i="21"/>
  <c r="S34" i="21"/>
  <c r="AB8" i="33"/>
  <c r="H34" i="33"/>
  <c r="AB34" i="33" s="1"/>
  <c r="U34" i="33"/>
  <c r="F34" i="33"/>
  <c r="S34" i="33" s="1"/>
  <c r="E121" i="33"/>
  <c r="F41" i="33"/>
  <c r="AC34" i="34"/>
  <c r="S43" i="34"/>
  <c r="E78" i="34"/>
  <c r="F78" i="34" s="1"/>
  <c r="G78" i="34" s="1"/>
  <c r="F15" i="34"/>
  <c r="AA15" i="34" s="1"/>
  <c r="AC28" i="35"/>
  <c r="W28" i="35"/>
  <c r="J20" i="35"/>
  <c r="AC20" i="35" s="1"/>
  <c r="H22" i="35"/>
  <c r="U22" i="35" s="1"/>
  <c r="AB22" i="35"/>
  <c r="H23" i="35"/>
  <c r="AB23" i="35" s="1"/>
  <c r="AA23" i="35"/>
  <c r="U36" i="35"/>
  <c r="AC12" i="36"/>
  <c r="U31" i="36"/>
  <c r="F14" i="39"/>
  <c r="AA14" i="39" s="1"/>
  <c r="H14" i="39"/>
  <c r="AB14" i="39" s="1"/>
  <c r="E97" i="39"/>
  <c r="F27" i="39"/>
  <c r="AA27" i="39" s="1"/>
  <c r="H27" i="39"/>
  <c r="AB27" i="39" s="1"/>
  <c r="J27" i="39"/>
  <c r="AC27" i="39" s="1"/>
  <c r="F15" i="40"/>
  <c r="S15" i="40" s="1"/>
  <c r="J15" i="40"/>
  <c r="AC15" i="40" s="1"/>
  <c r="E92" i="40"/>
  <c r="F92" i="40"/>
  <c r="G92" i="40" s="1"/>
  <c r="H23" i="40"/>
  <c r="U23" i="40"/>
  <c r="AA41" i="40"/>
  <c r="H36" i="33"/>
  <c r="H37" i="34"/>
  <c r="U37" i="34" s="1"/>
  <c r="F15" i="39"/>
  <c r="AA15" i="39" s="1"/>
  <c r="H25" i="39"/>
  <c r="U25" i="39" s="1"/>
  <c r="F25" i="39"/>
  <c r="AA25" i="39" s="1"/>
  <c r="F45" i="39"/>
  <c r="AA45" i="39" s="1"/>
  <c r="H47" i="39"/>
  <c r="U47" i="39" s="1"/>
  <c r="AB47" i="39"/>
  <c r="F41" i="39"/>
  <c r="AA41" i="39" s="1"/>
  <c r="H41" i="39"/>
  <c r="AB41" i="39" s="1"/>
  <c r="J41" i="39"/>
  <c r="AC41" i="39" s="1"/>
  <c r="E94" i="40"/>
  <c r="F94" i="40" s="1"/>
  <c r="G94" i="40" s="1"/>
  <c r="J25" i="40"/>
  <c r="AC25" i="40"/>
  <c r="J32" i="40"/>
  <c r="W32" i="40" s="1"/>
  <c r="AC32" i="40"/>
  <c r="H32" i="40"/>
  <c r="U32" i="40"/>
  <c r="H33" i="40"/>
  <c r="U33" i="40" s="1"/>
  <c r="AB33" i="40"/>
  <c r="F33" i="40"/>
  <c r="AA33" i="40"/>
  <c r="J33" i="40"/>
  <c r="AC33" i="40"/>
  <c r="H35" i="40"/>
  <c r="AB35" i="40"/>
  <c r="F35" i="40"/>
  <c r="S35" i="40" s="1"/>
  <c r="AA35" i="40"/>
  <c r="J35" i="40"/>
  <c r="W35" i="40" s="1"/>
  <c r="AC35" i="40"/>
  <c r="W38" i="39"/>
  <c r="H38" i="39"/>
  <c r="U38" i="39" s="1"/>
  <c r="J16" i="40"/>
  <c r="AC16" i="40" s="1"/>
  <c r="W16" i="40"/>
  <c r="J14" i="40"/>
  <c r="W14" i="40" s="1"/>
  <c r="H34" i="40"/>
  <c r="AB34" i="40" s="1"/>
  <c r="U34" i="40"/>
  <c r="AZ454" i="3"/>
  <c r="J34" i="40"/>
  <c r="W34" i="40" s="1"/>
  <c r="AC34" i="40"/>
  <c r="H16" i="40"/>
  <c r="AB16" i="40" s="1"/>
  <c r="H14" i="40"/>
  <c r="U14" i="40"/>
  <c r="F32" i="40"/>
  <c r="S32" i="40" s="1"/>
  <c r="AZ449" i="3"/>
  <c r="M1" i="46"/>
  <c r="M6" i="46"/>
  <c r="M10" i="46"/>
  <c r="N2" i="46"/>
  <c r="N5" i="46"/>
  <c r="F58" i="46"/>
  <c r="H62" i="46" s="1"/>
  <c r="N7" i="46"/>
  <c r="AZ456" i="3"/>
  <c r="M7" i="46"/>
  <c r="M11" i="46"/>
  <c r="N3" i="46"/>
  <c r="N6" i="46"/>
  <c r="N10" i="46"/>
  <c r="F69" i="46"/>
  <c r="J13" i="40"/>
  <c r="W13" i="40" s="1"/>
  <c r="AB14" i="40"/>
  <c r="S33" i="40"/>
  <c r="AB32" i="40"/>
  <c r="AB37" i="34"/>
  <c r="J23" i="40"/>
  <c r="AC23" i="40" s="1"/>
  <c r="F23" i="40"/>
  <c r="S23" i="40" s="1"/>
  <c r="U23" i="35"/>
  <c r="H20" i="35"/>
  <c r="U20" i="35" s="1"/>
  <c r="F20" i="35"/>
  <c r="S20" i="35" s="1"/>
  <c r="H15" i="34"/>
  <c r="U15" i="34" s="1"/>
  <c r="J15" i="34"/>
  <c r="AC15" i="34" s="1"/>
  <c r="H41" i="33"/>
  <c r="U41" i="33" s="1"/>
  <c r="F121" i="33"/>
  <c r="G121" i="33" s="1"/>
  <c r="H121" i="33" s="1"/>
  <c r="I121" i="33" s="1"/>
  <c r="J121" i="33" s="1"/>
  <c r="K121" i="33" s="1"/>
  <c r="L121" i="33" s="1"/>
  <c r="M121" i="33" s="1"/>
  <c r="F30" i="40"/>
  <c r="AA30" i="40" s="1"/>
  <c r="AB38" i="34"/>
  <c r="AZ529" i="3"/>
  <c r="G99" i="37"/>
  <c r="H99" i="37" s="1"/>
  <c r="I99" i="37" s="1"/>
  <c r="J99" i="37" s="1"/>
  <c r="K99" i="37" s="1"/>
  <c r="L99" i="37" s="1"/>
  <c r="M99" i="37" s="1"/>
  <c r="F33" i="37"/>
  <c r="U46" i="34"/>
  <c r="AC30" i="34"/>
  <c r="AC13" i="33"/>
  <c r="U17" i="34"/>
  <c r="W32" i="33"/>
  <c r="H15" i="33"/>
  <c r="U15" i="33"/>
  <c r="AA40" i="21"/>
  <c r="AB42" i="40"/>
  <c r="H25" i="40"/>
  <c r="U25" i="40" s="1"/>
  <c r="AB25" i="40"/>
  <c r="J37" i="34"/>
  <c r="W37" i="34" s="1"/>
  <c r="AC37" i="34"/>
  <c r="J36" i="33"/>
  <c r="W36" i="33" s="1"/>
  <c r="AB23" i="40"/>
  <c r="S15" i="34"/>
  <c r="F106" i="33"/>
  <c r="G106" i="33" s="1"/>
  <c r="H106" i="33"/>
  <c r="I106" i="33" s="1"/>
  <c r="J106" i="33" s="1"/>
  <c r="K106" i="33" s="1"/>
  <c r="L106" i="33" s="1"/>
  <c r="M106" i="33" s="1"/>
  <c r="J34" i="33"/>
  <c r="AC34" i="33" s="1"/>
  <c r="AA37" i="39"/>
  <c r="AC39" i="39"/>
  <c r="AC33" i="39"/>
  <c r="W33" i="39"/>
  <c r="F32" i="37"/>
  <c r="S32" i="37"/>
  <c r="AB11" i="35"/>
  <c r="S46" i="34"/>
  <c r="U12" i="34"/>
  <c r="AB13" i="33"/>
  <c r="F17" i="34"/>
  <c r="J17" i="34"/>
  <c r="W17" i="34" s="1"/>
  <c r="AC17" i="34"/>
  <c r="H11" i="34"/>
  <c r="J35" i="33"/>
  <c r="AC35" i="33" s="1"/>
  <c r="W35" i="33"/>
  <c r="H11" i="33"/>
  <c r="U11" i="33"/>
  <c r="H10" i="33"/>
  <c r="I66" i="33"/>
  <c r="J10" i="33"/>
  <c r="AC10" i="33"/>
  <c r="J11" i="34"/>
  <c r="W11" i="34" s="1"/>
  <c r="AC36" i="33"/>
  <c r="F25" i="40"/>
  <c r="AA25" i="40" s="1"/>
  <c r="J11" i="33"/>
  <c r="W11" i="33" s="1"/>
  <c r="H33" i="37"/>
  <c r="AB33" i="37" s="1"/>
  <c r="W15" i="34"/>
  <c r="AP11" i="1"/>
  <c r="B11" i="1"/>
  <c r="E11" i="1" s="1"/>
  <c r="K11" i="1"/>
  <c r="M11" i="1" s="1"/>
  <c r="B9" i="1"/>
  <c r="E9" i="1" s="1"/>
  <c r="K9" i="1"/>
  <c r="M9" i="1" s="1"/>
  <c r="B7" i="1"/>
  <c r="E7" i="1" s="1"/>
  <c r="F6" i="1"/>
  <c r="G11" i="1"/>
  <c r="M22" i="44"/>
  <c r="AC25" i="36"/>
  <c r="S8" i="36"/>
  <c r="AA26" i="36"/>
  <c r="H20" i="36"/>
  <c r="AB20" i="36" s="1"/>
  <c r="U20" i="36"/>
  <c r="J20" i="36"/>
  <c r="W20" i="36" s="1"/>
  <c r="AC20" i="36"/>
  <c r="F20" i="36"/>
  <c r="S20" i="36" s="1"/>
  <c r="J14" i="36"/>
  <c r="AC14" i="36" s="1"/>
  <c r="H14" i="36"/>
  <c r="F14" i="36"/>
  <c r="AA14" i="36"/>
  <c r="U32" i="36"/>
  <c r="S33" i="36"/>
  <c r="S29" i="36"/>
  <c r="AA13" i="35"/>
  <c r="AC9" i="35"/>
  <c r="S8" i="35"/>
  <c r="AC18" i="35"/>
  <c r="W18" i="35"/>
  <c r="U18" i="35"/>
  <c r="AB18" i="35"/>
  <c r="S30" i="35"/>
  <c r="AA35" i="35"/>
  <c r="S27" i="35"/>
  <c r="S28" i="35"/>
  <c r="AB9" i="37"/>
  <c r="AA31" i="37"/>
  <c r="S33" i="37"/>
  <c r="AA33" i="37"/>
  <c r="U32" i="37"/>
  <c r="AA32" i="37"/>
  <c r="J33" i="37"/>
  <c r="W33" i="37" s="1"/>
  <c r="S29" i="37"/>
  <c r="J19" i="37"/>
  <c r="AC19" i="37" s="1"/>
  <c r="F19" i="37"/>
  <c r="H19" i="37"/>
  <c r="AB19" i="37" s="1"/>
  <c r="J17" i="37"/>
  <c r="AC17" i="37" s="1"/>
  <c r="S15" i="37"/>
  <c r="AC21" i="37"/>
  <c r="W21" i="37"/>
  <c r="AC11" i="37"/>
  <c r="U8" i="37"/>
  <c r="AB21" i="37"/>
  <c r="U21" i="37"/>
  <c r="S40" i="37"/>
  <c r="S10" i="37"/>
  <c r="W33" i="34"/>
  <c r="U44" i="34"/>
  <c r="U34" i="34"/>
  <c r="J25" i="34"/>
  <c r="AC25" i="34" s="1"/>
  <c r="H25" i="34"/>
  <c r="AB25" i="34" s="1"/>
  <c r="F25" i="34"/>
  <c r="AA25" i="34" s="1"/>
  <c r="J23" i="34"/>
  <c r="AC23" i="34" s="1"/>
  <c r="F23" i="34"/>
  <c r="AA23" i="34" s="1"/>
  <c r="H23" i="34"/>
  <c r="U23" i="34" s="1"/>
  <c r="W10" i="34"/>
  <c r="U10" i="34"/>
  <c r="W19" i="34"/>
  <c r="AC21" i="34"/>
  <c r="W21" i="34"/>
  <c r="AB21" i="34"/>
  <c r="U21" i="34"/>
  <c r="U19" i="34"/>
  <c r="AA41" i="34"/>
  <c r="S10" i="34"/>
  <c r="U37" i="33"/>
  <c r="S35" i="33"/>
  <c r="AB11" i="33"/>
  <c r="W39" i="33"/>
  <c r="H25" i="33"/>
  <c r="AB25" i="33"/>
  <c r="J25" i="33"/>
  <c r="W25" i="33" s="1"/>
  <c r="F25" i="33"/>
  <c r="AA25" i="33" s="1"/>
  <c r="J23" i="33"/>
  <c r="W23" i="33" s="1"/>
  <c r="F23" i="33"/>
  <c r="S23" i="33" s="1"/>
  <c r="H23" i="33"/>
  <c r="U23" i="33" s="1"/>
  <c r="U19" i="33"/>
  <c r="F17" i="33"/>
  <c r="AA17" i="33" s="1"/>
  <c r="H17" i="33"/>
  <c r="J17" i="33"/>
  <c r="AC17" i="33" s="1"/>
  <c r="AB15" i="33"/>
  <c r="AC11" i="33"/>
  <c r="W10" i="33"/>
  <c r="AC21" i="33"/>
  <c r="W21" i="33"/>
  <c r="U25" i="33"/>
  <c r="AB21" i="33"/>
  <c r="U21" i="33"/>
  <c r="AA21" i="33"/>
  <c r="S21" i="33"/>
  <c r="S44" i="21"/>
  <c r="U35" i="21"/>
  <c r="F23" i="21"/>
  <c r="AA23" i="21" s="1"/>
  <c r="AC21" i="21"/>
  <c r="W21" i="21"/>
  <c r="W44" i="21"/>
  <c r="W10" i="21"/>
  <c r="AC38" i="21"/>
  <c r="AB21" i="21"/>
  <c r="U21" i="21"/>
  <c r="W33" i="40"/>
  <c r="S16" i="40"/>
  <c r="W11" i="40"/>
  <c r="U21" i="40"/>
  <c r="W25" i="40"/>
  <c r="U35" i="40"/>
  <c r="F37" i="40"/>
  <c r="AA37" i="40" s="1"/>
  <c r="J37" i="40"/>
  <c r="AC37" i="40" s="1"/>
  <c r="H37" i="40"/>
  <c r="AB37" i="40" s="1"/>
  <c r="F39" i="40"/>
  <c r="AA39" i="40" s="1"/>
  <c r="S38" i="40"/>
  <c r="H39" i="40"/>
  <c r="AB39" i="40" s="1"/>
  <c r="J39" i="40"/>
  <c r="AC39" i="40" s="1"/>
  <c r="W38" i="40"/>
  <c r="F29" i="40"/>
  <c r="AA29" i="40" s="1"/>
  <c r="S30" i="40"/>
  <c r="F88" i="40"/>
  <c r="G88" i="40"/>
  <c r="F19" i="40"/>
  <c r="AA19" i="40" s="1"/>
  <c r="H19" i="40"/>
  <c r="AB19" i="40" s="1"/>
  <c r="J19" i="40"/>
  <c r="W17" i="40"/>
  <c r="AC17" i="40"/>
  <c r="F17" i="40"/>
  <c r="AA17" i="40" s="1"/>
  <c r="H17" i="40"/>
  <c r="AB17" i="40"/>
  <c r="W21" i="40"/>
  <c r="U10" i="40"/>
  <c r="U27" i="40"/>
  <c r="AB27" i="40"/>
  <c r="S11" i="39"/>
  <c r="AA21" i="39"/>
  <c r="AC19" i="39"/>
  <c r="U11" i="39"/>
  <c r="AB38" i="39"/>
  <c r="U31" i="39"/>
  <c r="AB31" i="39"/>
  <c r="S38" i="39"/>
  <c r="M20" i="15"/>
  <c r="D96" i="9"/>
  <c r="A18" i="64"/>
  <c r="B74" i="63"/>
  <c r="C53" i="10"/>
  <c r="A25" i="64" s="1"/>
  <c r="A18" i="51"/>
  <c r="B14" i="63"/>
  <c r="BA16" i="3"/>
  <c r="BA17" i="3"/>
  <c r="F3" i="35"/>
  <c r="K1" i="43"/>
  <c r="K1" i="12"/>
  <c r="G1" i="44"/>
  <c r="G3" i="46"/>
  <c r="BL18" i="3"/>
  <c r="AZ18" i="3"/>
  <c r="BL16" i="3"/>
  <c r="BA13" i="3"/>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B6" i="63" s="1"/>
  <c r="C51" i="10"/>
  <c r="A9" i="64" s="1"/>
  <c r="I100" i="46"/>
  <c r="C24" i="46"/>
  <c r="N100" i="46"/>
  <c r="H100" i="46"/>
  <c r="F108" i="46"/>
  <c r="H80" i="46"/>
  <c r="B45" i="46"/>
  <c r="E100" i="46"/>
  <c r="G100" i="46"/>
  <c r="H84" i="46"/>
  <c r="C100" i="46"/>
  <c r="J100" i="46"/>
  <c r="M100" i="46"/>
  <c r="U13" i="37"/>
  <c r="C24" i="9"/>
  <c r="C25" i="9"/>
  <c r="G9" i="1"/>
  <c r="G8" i="1"/>
  <c r="I20" i="46"/>
  <c r="L5" i="54"/>
  <c r="B39" i="63"/>
  <c r="K5" i="54"/>
  <c r="B38" i="63"/>
  <c r="T41" i="4"/>
  <c r="A17" i="51" s="1"/>
  <c r="B13" i="63" s="1"/>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c r="B12" i="1"/>
  <c r="E12" i="1" s="1"/>
  <c r="S12" i="1"/>
  <c r="G1" i="15"/>
  <c r="F66" i="36"/>
  <c r="G66" i="36" s="1"/>
  <c r="H18" i="36"/>
  <c r="AC27" i="36"/>
  <c r="W28" i="36"/>
  <c r="U10" i="36"/>
  <c r="W9" i="36"/>
  <c r="AC30" i="35"/>
  <c r="S32" i="35"/>
  <c r="W35" i="37"/>
  <c r="AC15" i="37"/>
  <c r="W36" i="37"/>
  <c r="AA31" i="34"/>
  <c r="AB35" i="34"/>
  <c r="W47" i="34"/>
  <c r="AB47" i="34"/>
  <c r="AB13" i="34"/>
  <c r="AA29" i="34"/>
  <c r="AA19" i="33"/>
  <c r="S43" i="33"/>
  <c r="AB14" i="33"/>
  <c r="AA25" i="21"/>
  <c r="G96" i="40"/>
  <c r="J27" i="40"/>
  <c r="W27" i="40" s="1"/>
  <c r="W30" i="40"/>
  <c r="U17" i="40"/>
  <c r="J31" i="39"/>
  <c r="AC31" i="39" s="1"/>
  <c r="S34" i="39"/>
  <c r="W42" i="39"/>
  <c r="W36" i="39"/>
  <c r="AC37" i="39"/>
  <c r="W34" i="39"/>
  <c r="W10" i="39"/>
  <c r="W11" i="39"/>
  <c r="U42" i="39"/>
  <c r="C27" i="39"/>
  <c r="C19" i="40"/>
  <c r="C17" i="39"/>
  <c r="C19" i="39"/>
  <c r="C21" i="39"/>
  <c r="B51" i="46"/>
  <c r="B55" i="46"/>
  <c r="B59" i="46"/>
  <c r="B62" i="46"/>
  <c r="B53" i="46"/>
  <c r="D24" i="15"/>
  <c r="S14" i="36"/>
  <c r="W14" i="36"/>
  <c r="U14" i="36"/>
  <c r="AB14" i="36"/>
  <c r="U18" i="36"/>
  <c r="AB18" i="36"/>
  <c r="W19" i="37"/>
  <c r="U19" i="37"/>
  <c r="W17" i="37"/>
  <c r="W25" i="34"/>
  <c r="AB23" i="34"/>
  <c r="W23" i="34"/>
  <c r="W17" i="33"/>
  <c r="U17" i="33"/>
  <c r="AB17" i="33"/>
  <c r="U39" i="40"/>
  <c r="W39" i="40"/>
  <c r="S39" i="40"/>
  <c r="U37" i="40"/>
  <c r="W19" i="40"/>
  <c r="AC19" i="40"/>
  <c r="S19" i="40"/>
  <c r="AC27" i="40"/>
  <c r="A9" i="51"/>
  <c r="B9" i="63" s="1"/>
  <c r="A3" i="55"/>
  <c r="B56" i="63"/>
  <c r="E4" i="4"/>
  <c r="C4" i="4"/>
  <c r="B20" i="55" s="1"/>
  <c r="B70" i="63" s="1"/>
  <c r="J18" i="36"/>
  <c r="AC18" i="36" s="1"/>
  <c r="AE6" i="1"/>
  <c r="AG6" i="1"/>
  <c r="L20" i="6"/>
  <c r="B21" i="55"/>
  <c r="B72" i="63" s="1"/>
  <c r="C45" i="9"/>
  <c r="H14" i="66" s="1"/>
  <c r="B7" i="66" s="1"/>
  <c r="K31" i="9"/>
  <c r="K32" i="9" s="1"/>
  <c r="N76" i="9"/>
  <c r="C46" i="9"/>
  <c r="J17" i="46"/>
  <c r="C17" i="46"/>
  <c r="F34" i="46"/>
  <c r="F38" i="46"/>
  <c r="F37" i="46"/>
  <c r="H113" i="46"/>
  <c r="F19" i="59"/>
  <c r="F18" i="59" s="1"/>
  <c r="F17" i="59" s="1"/>
  <c r="F16" i="59" s="1"/>
  <c r="Y18" i="59"/>
  <c r="Z18" i="59"/>
  <c r="AA18" i="59"/>
  <c r="AB18" i="59"/>
  <c r="Y17" i="59"/>
  <c r="Z17" i="59"/>
  <c r="Y16" i="59"/>
  <c r="Z16" i="59" s="1"/>
  <c r="Y15" i="59"/>
  <c r="Z15" i="59" s="1"/>
  <c r="AB17" i="59"/>
  <c r="AB16" i="59"/>
  <c r="AB15" i="59"/>
  <c r="AA20" i="59"/>
  <c r="X18" i="59"/>
  <c r="X16" i="59"/>
  <c r="X15" i="59"/>
  <c r="AA16" i="59"/>
  <c r="AA15" i="59"/>
  <c r="H1" i="65"/>
  <c r="X7" i="46"/>
  <c r="E17" i="46"/>
  <c r="N17" i="46"/>
  <c r="O17" i="46"/>
  <c r="M17" i="46"/>
  <c r="L17" i="46"/>
  <c r="AP7" i="1"/>
  <c r="H73" i="46"/>
  <c r="F35" i="46"/>
  <c r="I17" i="46"/>
  <c r="D100" i="46"/>
  <c r="AF12" i="46"/>
  <c r="K100" i="46"/>
  <c r="AB12" i="46"/>
  <c r="AJ12" i="46"/>
  <c r="E10" i="46"/>
  <c r="E9" i="46"/>
  <c r="E11" i="46"/>
  <c r="E8" i="46"/>
  <c r="H55" i="46"/>
  <c r="AD12" i="46"/>
  <c r="AH12" i="46"/>
  <c r="G20" i="46"/>
  <c r="E41" i="46" s="1"/>
  <c r="C41" i="46" s="1"/>
  <c r="F11" i="67"/>
  <c r="B8" i="67"/>
  <c r="E8" i="67"/>
  <c r="B9" i="67"/>
  <c r="F14" i="67"/>
  <c r="F13" i="67"/>
  <c r="B11" i="67"/>
  <c r="B14" i="67"/>
  <c r="N7" i="65"/>
  <c r="N6" i="65"/>
  <c r="E13" i="67"/>
  <c r="F12" i="67"/>
  <c r="B13" i="67"/>
  <c r="N3" i="65"/>
  <c r="B12" i="67"/>
  <c r="F10" i="67"/>
  <c r="N4" i="65"/>
  <c r="B10" i="67"/>
  <c r="L48" i="15"/>
  <c r="N5" i="65"/>
  <c r="E9" i="67"/>
  <c r="E11" i="67"/>
  <c r="E10" i="67"/>
  <c r="F6" i="15"/>
  <c r="L48" i="44"/>
  <c r="M28" i="15"/>
  <c r="F9" i="67"/>
  <c r="F45" i="44"/>
  <c r="M25" i="44"/>
  <c r="E14" i="67"/>
  <c r="L47" i="15"/>
  <c r="F8" i="67"/>
  <c r="J5" i="65"/>
  <c r="M26" i="44"/>
  <c r="E12" i="67"/>
  <c r="F11" i="44"/>
  <c r="M23" i="15"/>
  <c r="S31" i="35" l="1"/>
  <c r="S29" i="21"/>
  <c r="AA29" i="21"/>
  <c r="AA30" i="21"/>
  <c r="S30" i="21"/>
  <c r="W27" i="33"/>
  <c r="AC27" i="33"/>
  <c r="AB32" i="34"/>
  <c r="U32" i="34"/>
  <c r="AB23" i="36"/>
  <c r="U23" i="36"/>
  <c r="J29" i="35"/>
  <c r="AC29" i="35" s="1"/>
  <c r="F29" i="35"/>
  <c r="S29" i="35" s="1"/>
  <c r="AB39" i="21"/>
  <c r="U39" i="21"/>
  <c r="S14" i="34"/>
  <c r="AA14" i="34"/>
  <c r="J11" i="36"/>
  <c r="F11" i="36"/>
  <c r="AA11" i="36" s="1"/>
  <c r="AC39" i="37"/>
  <c r="W39" i="37"/>
  <c r="AZ344" i="3"/>
  <c r="AZ347" i="3"/>
  <c r="AC46" i="34"/>
  <c r="W46" i="34"/>
  <c r="AA11" i="34"/>
  <c r="S11" i="34"/>
  <c r="S9" i="37"/>
  <c r="AA9" i="37"/>
  <c r="W33" i="36"/>
  <c r="AC33" i="36"/>
  <c r="H59" i="46"/>
  <c r="H66" i="46"/>
  <c r="S29" i="40"/>
  <c r="AB23" i="33"/>
  <c r="S23" i="34"/>
  <c r="S25" i="34"/>
  <c r="B66" i="46"/>
  <c r="U38" i="40"/>
  <c r="S17" i="40"/>
  <c r="S19" i="34"/>
  <c r="U13" i="36"/>
  <c r="S14" i="37"/>
  <c r="AZ16" i="3"/>
  <c r="W31" i="33"/>
  <c r="S13" i="34"/>
  <c r="W15" i="40"/>
  <c r="AC14" i="40"/>
  <c r="AZ490" i="3"/>
  <c r="S39" i="39"/>
  <c r="AA39" i="39"/>
  <c r="F32" i="34"/>
  <c r="J14" i="34"/>
  <c r="AA29" i="33"/>
  <c r="AB39" i="34"/>
  <c r="F45" i="33"/>
  <c r="H13" i="21"/>
  <c r="S41" i="21"/>
  <c r="AC39" i="21"/>
  <c r="W39" i="21"/>
  <c r="AB35" i="33"/>
  <c r="U35" i="33"/>
  <c r="S37" i="40"/>
  <c r="S25" i="33"/>
  <c r="C23" i="40"/>
  <c r="AC46" i="39"/>
  <c r="S19" i="37"/>
  <c r="AA19" i="37"/>
  <c r="U10" i="33"/>
  <c r="AB10" i="33"/>
  <c r="AB14" i="37"/>
  <c r="AC32" i="36"/>
  <c r="AZ332" i="3"/>
  <c r="AZ365" i="3"/>
  <c r="AZ170" i="3"/>
  <c r="AZ377" i="3"/>
  <c r="W9" i="37"/>
  <c r="W43" i="33"/>
  <c r="AC43" i="33"/>
  <c r="H28" i="37"/>
  <c r="W45" i="33"/>
  <c r="J29" i="33"/>
  <c r="S27" i="36"/>
  <c r="AA27" i="36"/>
  <c r="AB28" i="33"/>
  <c r="U28" i="33"/>
  <c r="J30" i="21"/>
  <c r="H39" i="37"/>
  <c r="W36" i="35"/>
  <c r="W22" i="36"/>
  <c r="S39" i="34"/>
  <c r="AA39" i="34"/>
  <c r="U30" i="35"/>
  <c r="AB30" i="35"/>
  <c r="F23" i="36"/>
  <c r="AA23" i="36" s="1"/>
  <c r="W24" i="36"/>
  <c r="AC24" i="36"/>
  <c r="E99" i="39"/>
  <c r="F99" i="39" s="1"/>
  <c r="G99" i="39" s="1"/>
  <c r="J25" i="39"/>
  <c r="AC25" i="39" s="1"/>
  <c r="F47" i="39"/>
  <c r="J47" i="39"/>
  <c r="AA40" i="33"/>
  <c r="S40" i="33"/>
  <c r="BL569" i="3"/>
  <c r="BA550" i="3"/>
  <c r="BA549" i="3"/>
  <c r="BL548" i="3"/>
  <c r="AZ548" i="3" s="1"/>
  <c r="BA548" i="3"/>
  <c r="BA540" i="3"/>
  <c r="AZ540" i="3" s="1"/>
  <c r="BL526" i="3"/>
  <c r="BA521" i="3"/>
  <c r="AZ521" i="3" s="1"/>
  <c r="BL517" i="3"/>
  <c r="BL493" i="3"/>
  <c r="S22" i="31"/>
  <c r="AC10" i="40"/>
  <c r="W10" i="40"/>
  <c r="AZ195" i="3"/>
  <c r="AZ336" i="3"/>
  <c r="AZ139" i="3"/>
  <c r="AA11" i="35"/>
  <c r="S11" i="35"/>
  <c r="H29" i="21"/>
  <c r="J29" i="21"/>
  <c r="E85" i="21"/>
  <c r="F85" i="21" s="1"/>
  <c r="G85" i="21" s="1"/>
  <c r="J23" i="21"/>
  <c r="W23" i="21" s="1"/>
  <c r="F40" i="40"/>
  <c r="S40" i="40" s="1"/>
  <c r="J40" i="40"/>
  <c r="AC26" i="21"/>
  <c r="AA36" i="33"/>
  <c r="AC32" i="34"/>
  <c r="S16" i="36"/>
  <c r="S32" i="33"/>
  <c r="J45" i="39"/>
  <c r="H11" i="36"/>
  <c r="S35" i="34"/>
  <c r="AB17" i="37"/>
  <c r="AZ356" i="3"/>
  <c r="AZ339" i="3"/>
  <c r="AZ323" i="3"/>
  <c r="AZ305" i="3"/>
  <c r="AZ17" i="3"/>
  <c r="AA13" i="33"/>
  <c r="S45" i="21"/>
  <c r="AB14" i="21"/>
  <c r="J13" i="37"/>
  <c r="AA14" i="33"/>
  <c r="S14" i="33"/>
  <c r="AB40" i="34"/>
  <c r="AC35" i="21"/>
  <c r="S33" i="33"/>
  <c r="AA35" i="21"/>
  <c r="S35" i="21"/>
  <c r="B73" i="46"/>
  <c r="C29" i="39"/>
  <c r="U33" i="33"/>
  <c r="AB33" i="33"/>
  <c r="F9" i="33"/>
  <c r="J9" i="33"/>
  <c r="H27" i="33"/>
  <c r="F27" i="33"/>
  <c r="J26" i="33"/>
  <c r="AC26" i="33" s="1"/>
  <c r="F26" i="33"/>
  <c r="H60" i="46"/>
  <c r="H63" i="46"/>
  <c r="U33" i="37"/>
  <c r="U32" i="35"/>
  <c r="U16" i="36"/>
  <c r="AC21" i="39"/>
  <c r="AB13" i="40"/>
  <c r="AC11" i="34"/>
  <c r="AC13" i="40"/>
  <c r="AB19" i="39"/>
  <c r="H40" i="40"/>
  <c r="U45" i="39"/>
  <c r="AB36" i="33"/>
  <c r="U36" i="33"/>
  <c r="H41" i="40"/>
  <c r="J16" i="39"/>
  <c r="AC16" i="39" s="1"/>
  <c r="S8" i="37"/>
  <c r="AB40" i="33"/>
  <c r="AA44" i="34"/>
  <c r="H29" i="33"/>
  <c r="AB29" i="33" s="1"/>
  <c r="C7" i="46"/>
  <c r="S17" i="33"/>
  <c r="U25" i="34"/>
  <c r="B64" i="46"/>
  <c r="C17" i="40"/>
  <c r="S45" i="39"/>
  <c r="AC25" i="33"/>
  <c r="AC33" i="37"/>
  <c r="S24" i="35"/>
  <c r="W29" i="36"/>
  <c r="U15" i="40"/>
  <c r="S9" i="34"/>
  <c r="S37" i="37"/>
  <c r="U35" i="37"/>
  <c r="AB12" i="36"/>
  <c r="W23" i="40"/>
  <c r="AA17" i="34"/>
  <c r="S17" i="34"/>
  <c r="AA34" i="33"/>
  <c r="AB15" i="34"/>
  <c r="H15" i="39"/>
  <c r="U15" i="39" s="1"/>
  <c r="J41" i="40"/>
  <c r="F16" i="39"/>
  <c r="AA16" i="39" s="1"/>
  <c r="S41" i="33"/>
  <c r="AA41" i="33"/>
  <c r="AZ517" i="3"/>
  <c r="AB8" i="35"/>
  <c r="H14" i="34"/>
  <c r="AZ310" i="3"/>
  <c r="AZ174" i="3"/>
  <c r="AB31" i="37"/>
  <c r="U31" i="37"/>
  <c r="S39" i="33"/>
  <c r="H24" i="35"/>
  <c r="U41" i="34"/>
  <c r="AB41" i="34"/>
  <c r="AC28" i="34"/>
  <c r="AZ520" i="3"/>
  <c r="J28" i="37"/>
  <c r="F13" i="37"/>
  <c r="AC31" i="34"/>
  <c r="H45" i="21"/>
  <c r="U45" i="21" s="1"/>
  <c r="F13" i="21"/>
  <c r="W28" i="33"/>
  <c r="F46" i="21"/>
  <c r="I4" i="6"/>
  <c r="C13" i="39" s="1"/>
  <c r="S42" i="34"/>
  <c r="W40" i="33"/>
  <c r="AB8" i="36"/>
  <c r="U9" i="33"/>
  <c r="BA570" i="3"/>
  <c r="AA8" i="21"/>
  <c r="S8" i="21"/>
  <c r="E81" i="21"/>
  <c r="F81" i="21" s="1"/>
  <c r="G81" i="21" s="1"/>
  <c r="F31" i="33"/>
  <c r="H45" i="33"/>
  <c r="AB22" i="36"/>
  <c r="U22" i="36"/>
  <c r="W8" i="37"/>
  <c r="U30" i="36"/>
  <c r="BA569" i="3"/>
  <c r="AZ569" i="3" s="1"/>
  <c r="BL555" i="3"/>
  <c r="AZ555" i="3" s="1"/>
  <c r="BL554" i="3"/>
  <c r="G554" i="3"/>
  <c r="BL553" i="3"/>
  <c r="BL552" i="3"/>
  <c r="BA552" i="3"/>
  <c r="G552" i="3"/>
  <c r="G544" i="3"/>
  <c r="BA538" i="3"/>
  <c r="AZ538" i="3" s="1"/>
  <c r="BA533" i="3"/>
  <c r="AZ533" i="3" s="1"/>
  <c r="G528" i="3"/>
  <c r="G527" i="3"/>
  <c r="BA526" i="3"/>
  <c r="AZ526" i="3" s="1"/>
  <c r="BL524" i="3"/>
  <c r="AZ524" i="3" s="1"/>
  <c r="BL521" i="3"/>
  <c r="G520" i="3"/>
  <c r="G519" i="3"/>
  <c r="BL512" i="3"/>
  <c r="AZ512" i="3" s="1"/>
  <c r="BA512" i="3"/>
  <c r="G511" i="3"/>
  <c r="BA507" i="3"/>
  <c r="AZ507" i="3" s="1"/>
  <c r="BA504" i="3"/>
  <c r="AZ504" i="3" s="1"/>
  <c r="BL497" i="3"/>
  <c r="AZ497" i="3" s="1"/>
  <c r="BA494" i="3"/>
  <c r="BL489" i="3"/>
  <c r="G488" i="3"/>
  <c r="G487" i="3"/>
  <c r="BA484" i="3"/>
  <c r="G19" i="3"/>
  <c r="BL399" i="3"/>
  <c r="BL400" i="3"/>
  <c r="AZ400" i="3" s="1"/>
  <c r="BA407" i="3"/>
  <c r="AZ407" i="3" s="1"/>
  <c r="BA408" i="3"/>
  <c r="AZ408" i="3" s="1"/>
  <c r="BL430" i="3"/>
  <c r="AZ430" i="3" s="1"/>
  <c r="BA443" i="3"/>
  <c r="AZ443" i="3" s="1"/>
  <c r="BL479" i="3"/>
  <c r="BA301" i="3"/>
  <c r="AZ301" i="3" s="1"/>
  <c r="G311" i="3"/>
  <c r="BA317" i="3"/>
  <c r="AZ317" i="3" s="1"/>
  <c r="BA325" i="3"/>
  <c r="AZ325" i="3" s="1"/>
  <c r="BA337" i="3"/>
  <c r="AZ337" i="3" s="1"/>
  <c r="G345" i="3"/>
  <c r="G349" i="3"/>
  <c r="BL205" i="3"/>
  <c r="BL211" i="3"/>
  <c r="G218" i="3"/>
  <c r="BA218" i="3"/>
  <c r="AZ218" i="3" s="1"/>
  <c r="BA219" i="3"/>
  <c r="AZ219" i="3" s="1"/>
  <c r="BA238" i="3"/>
  <c r="AZ238" i="3" s="1"/>
  <c r="AZ424" i="3"/>
  <c r="AZ370" i="3"/>
  <c r="AZ306" i="3"/>
  <c r="AZ196" i="3"/>
  <c r="AZ379" i="3"/>
  <c r="AZ303" i="3"/>
  <c r="AZ15" i="3"/>
  <c r="BL484" i="3"/>
  <c r="AZ484" i="3" s="1"/>
  <c r="BL498" i="3"/>
  <c r="BL518" i="3"/>
  <c r="AZ518" i="3" s="1"/>
  <c r="AC5" i="3"/>
  <c r="BN5" i="3"/>
  <c r="G569" i="3"/>
  <c r="G568" i="3"/>
  <c r="BL560" i="3"/>
  <c r="BA560" i="3"/>
  <c r="BA559" i="3"/>
  <c r="BA558" i="3"/>
  <c r="BE5" i="3"/>
  <c r="BL556" i="3"/>
  <c r="G556" i="3"/>
  <c r="BR5" i="3"/>
  <c r="BL546" i="3"/>
  <c r="G546" i="3"/>
  <c r="BL545" i="3"/>
  <c r="BA545" i="3"/>
  <c r="AZ545" i="3" s="1"/>
  <c r="G545" i="3"/>
  <c r="BL543" i="3"/>
  <c r="BA543" i="3"/>
  <c r="G540" i="3"/>
  <c r="BA527" i="3"/>
  <c r="BL519" i="3"/>
  <c r="BA519" i="3"/>
  <c r="G495" i="3"/>
  <c r="G490" i="3"/>
  <c r="G489" i="3"/>
  <c r="BL488" i="3"/>
  <c r="G482" i="3"/>
  <c r="G481" i="3"/>
  <c r="BA20" i="3"/>
  <c r="BP5" i="3"/>
  <c r="BC5" i="3"/>
  <c r="BL389" i="3"/>
  <c r="AZ389" i="3" s="1"/>
  <c r="BL422" i="3"/>
  <c r="AZ464" i="3"/>
  <c r="BA470" i="3"/>
  <c r="AZ470" i="3" s="1"/>
  <c r="BA476" i="3"/>
  <c r="BA477" i="3"/>
  <c r="BA478" i="3"/>
  <c r="AZ478" i="3" s="1"/>
  <c r="BA227" i="3"/>
  <c r="C67" i="59"/>
  <c r="T68" i="59"/>
  <c r="D68" i="59"/>
  <c r="AI10" i="46"/>
  <c r="AI12" i="46"/>
  <c r="C19" i="59"/>
  <c r="D20" i="59"/>
  <c r="T20" i="59"/>
  <c r="Y34" i="59"/>
  <c r="Z34" i="59" s="1"/>
  <c r="G391" i="3"/>
  <c r="BA391" i="3"/>
  <c r="AZ391" i="3" s="1"/>
  <c r="BA392" i="3"/>
  <c r="BA393" i="3"/>
  <c r="BL398" i="3"/>
  <c r="G402" i="3"/>
  <c r="G405" i="3"/>
  <c r="BL409" i="3"/>
  <c r="AZ409" i="3" s="1"/>
  <c r="BA411" i="3"/>
  <c r="AZ411" i="3" s="1"/>
  <c r="BA414" i="3"/>
  <c r="AZ414" i="3" s="1"/>
  <c r="BA417" i="3"/>
  <c r="AZ417" i="3" s="1"/>
  <c r="BA420" i="3"/>
  <c r="AZ420" i="3" s="1"/>
  <c r="BA422" i="3"/>
  <c r="AZ422" i="3" s="1"/>
  <c r="BA426" i="3"/>
  <c r="BA428" i="3"/>
  <c r="AZ428" i="3" s="1"/>
  <c r="BL441" i="3"/>
  <c r="AZ441" i="3" s="1"/>
  <c r="BL459" i="3"/>
  <c r="BL460" i="3"/>
  <c r="BA463" i="3"/>
  <c r="AZ463" i="3" s="1"/>
  <c r="BL464" i="3"/>
  <c r="BL466" i="3"/>
  <c r="BA468" i="3"/>
  <c r="G473" i="3"/>
  <c r="BL475" i="3"/>
  <c r="G478" i="3"/>
  <c r="BA315" i="3"/>
  <c r="AZ315" i="3" s="1"/>
  <c r="BA321" i="3"/>
  <c r="AZ321" i="3" s="1"/>
  <c r="G329" i="3"/>
  <c r="G333" i="3"/>
  <c r="G336" i="3"/>
  <c r="BL348" i="3"/>
  <c r="AZ348" i="3" s="1"/>
  <c r="BL351" i="3"/>
  <c r="BA353" i="3"/>
  <c r="AZ353" i="3" s="1"/>
  <c r="BL366" i="3"/>
  <c r="AZ366" i="3" s="1"/>
  <c r="BA371" i="3"/>
  <c r="AZ371" i="3" s="1"/>
  <c r="BA205" i="3"/>
  <c r="AZ205" i="3" s="1"/>
  <c r="BL207" i="3"/>
  <c r="BL210" i="3"/>
  <c r="BL232" i="3"/>
  <c r="BL234" i="3"/>
  <c r="BL235" i="3"/>
  <c r="BA244" i="3"/>
  <c r="AZ123" i="3"/>
  <c r="G166" i="3"/>
  <c r="G168" i="3"/>
  <c r="BA181" i="3"/>
  <c r="AZ181" i="3" s="1"/>
  <c r="BL184" i="3"/>
  <c r="AZ184" i="3" s="1"/>
  <c r="AZ93" i="3"/>
  <c r="BA568" i="3"/>
  <c r="BL566" i="3"/>
  <c r="BA564" i="3"/>
  <c r="G564" i="3"/>
  <c r="G561" i="3"/>
  <c r="G548" i="3"/>
  <c r="BL541" i="3"/>
  <c r="G541" i="3"/>
  <c r="BA537" i="3"/>
  <c r="AZ537" i="3" s="1"/>
  <c r="BL532" i="3"/>
  <c r="G532" i="3"/>
  <c r="G531" i="3"/>
  <c r="BL530" i="3"/>
  <c r="BL528" i="3"/>
  <c r="G524" i="3"/>
  <c r="BM5" i="3"/>
  <c r="BH5" i="3"/>
  <c r="BL522" i="3"/>
  <c r="BA522" i="3"/>
  <c r="BO5" i="3"/>
  <c r="BB5" i="3"/>
  <c r="E8" i="6" s="1"/>
  <c r="G516" i="3"/>
  <c r="BA511" i="3"/>
  <c r="AZ511" i="3" s="1"/>
  <c r="BA505" i="3"/>
  <c r="BL492" i="3"/>
  <c r="AZ492" i="3" s="1"/>
  <c r="BL491" i="3"/>
  <c r="BA489" i="3"/>
  <c r="AZ489" i="3" s="1"/>
  <c r="G483" i="3"/>
  <c r="BL481" i="3"/>
  <c r="M8" i="1"/>
  <c r="O8" i="1" s="1"/>
  <c r="P8" i="1" s="1"/>
  <c r="O24" i="1"/>
  <c r="BL390" i="3"/>
  <c r="AZ390" i="3" s="1"/>
  <c r="BL394" i="3"/>
  <c r="AZ394" i="3" s="1"/>
  <c r="G396" i="3"/>
  <c r="G397" i="3"/>
  <c r="BA398" i="3"/>
  <c r="AZ398" i="3" s="1"/>
  <c r="G407" i="3"/>
  <c r="G411" i="3"/>
  <c r="BL412" i="3"/>
  <c r="G417" i="3"/>
  <c r="G420" i="3"/>
  <c r="G424" i="3"/>
  <c r="BL424" i="3"/>
  <c r="BL425" i="3"/>
  <c r="AZ425" i="3" s="1"/>
  <c r="G430" i="3"/>
  <c r="BA432" i="3"/>
  <c r="BA437" i="3"/>
  <c r="BA444" i="3"/>
  <c r="AZ444" i="3" s="1"/>
  <c r="BA445" i="3"/>
  <c r="BL446" i="3"/>
  <c r="AZ446" i="3" s="1"/>
  <c r="G449" i="3"/>
  <c r="G451" i="3"/>
  <c r="G454" i="3"/>
  <c r="G456" i="3"/>
  <c r="BL457" i="3"/>
  <c r="BA459" i="3"/>
  <c r="AZ459" i="3" s="1"/>
  <c r="BA460" i="3"/>
  <c r="AZ460" i="3" s="1"/>
  <c r="BL368" i="3"/>
  <c r="BL369" i="3"/>
  <c r="BL376" i="3"/>
  <c r="AZ376" i="3" s="1"/>
  <c r="BL386" i="3"/>
  <c r="G212" i="3"/>
  <c r="BA220" i="3"/>
  <c r="BA224" i="3"/>
  <c r="AZ224" i="3" s="1"/>
  <c r="BL225" i="3"/>
  <c r="AZ225" i="3" s="1"/>
  <c r="BA229" i="3"/>
  <c r="AZ229" i="3" s="1"/>
  <c r="BA230" i="3"/>
  <c r="AZ230" i="3" s="1"/>
  <c r="BA240" i="3"/>
  <c r="AZ240" i="3" s="1"/>
  <c r="BL241" i="3"/>
  <c r="AZ241" i="3" s="1"/>
  <c r="BA247" i="3"/>
  <c r="BA264" i="3"/>
  <c r="BL281" i="3"/>
  <c r="BL287" i="3"/>
  <c r="AZ287" i="3" s="1"/>
  <c r="BL289" i="3"/>
  <c r="BA290" i="3"/>
  <c r="AZ290" i="3" s="1"/>
  <c r="BL426" i="3"/>
  <c r="G432" i="3"/>
  <c r="BL432" i="3"/>
  <c r="BA434" i="3"/>
  <c r="AZ434" i="3" s="1"/>
  <c r="BA435" i="3"/>
  <c r="AZ435" i="3" s="1"/>
  <c r="BL436" i="3"/>
  <c r="AZ436" i="3" s="1"/>
  <c r="G441" i="3"/>
  <c r="G443" i="3"/>
  <c r="G446" i="3"/>
  <c r="BL447" i="3"/>
  <c r="BL448" i="3"/>
  <c r="BL450" i="3"/>
  <c r="BL452" i="3"/>
  <c r="BL453" i="3"/>
  <c r="BL455" i="3"/>
  <c r="BA457" i="3"/>
  <c r="AZ457" i="3" s="1"/>
  <c r="G462" i="3"/>
  <c r="BL462" i="3"/>
  <c r="AZ462" i="3" s="1"/>
  <c r="BL465" i="3"/>
  <c r="AZ465" i="3" s="1"/>
  <c r="BA466" i="3"/>
  <c r="BA480" i="3"/>
  <c r="AZ480" i="3" s="1"/>
  <c r="BA309" i="3"/>
  <c r="AZ309" i="3" s="1"/>
  <c r="BL350" i="3"/>
  <c r="G352" i="3"/>
  <c r="G365" i="3"/>
  <c r="G370" i="3"/>
  <c r="BL380" i="3"/>
  <c r="AZ380" i="3" s="1"/>
  <c r="BA385" i="3"/>
  <c r="BA386" i="3"/>
  <c r="AZ386" i="3" s="1"/>
  <c r="BA387" i="3"/>
  <c r="AZ387" i="3" s="1"/>
  <c r="G206" i="3"/>
  <c r="G207" i="3"/>
  <c r="G208" i="3"/>
  <c r="BA209" i="3"/>
  <c r="BA210" i="3"/>
  <c r="AZ210" i="3" s="1"/>
  <c r="BA211" i="3"/>
  <c r="G214" i="3"/>
  <c r="G215" i="3"/>
  <c r="G216" i="3"/>
  <c r="BA217" i="3"/>
  <c r="BA221" i="3"/>
  <c r="AZ221" i="3" s="1"/>
  <c r="BA222" i="3"/>
  <c r="AZ222" i="3" s="1"/>
  <c r="BL224" i="3"/>
  <c r="BL227" i="3"/>
  <c r="BL228" i="3"/>
  <c r="AZ228" i="3" s="1"/>
  <c r="G231" i="3"/>
  <c r="BL231" i="3"/>
  <c r="AZ231" i="3" s="1"/>
  <c r="G234" i="3"/>
  <c r="BA234" i="3"/>
  <c r="AZ234" i="3" s="1"/>
  <c r="BA235" i="3"/>
  <c r="BL237" i="3"/>
  <c r="AZ237" i="3" s="1"/>
  <c r="BL238" i="3"/>
  <c r="G244" i="3"/>
  <c r="BL245" i="3"/>
  <c r="AZ245" i="3" s="1"/>
  <c r="BA254" i="3"/>
  <c r="BA256" i="3"/>
  <c r="BA259" i="3"/>
  <c r="AZ259" i="3" s="1"/>
  <c r="G114" i="3"/>
  <c r="BA116" i="3"/>
  <c r="AZ116" i="3" s="1"/>
  <c r="BL120" i="3"/>
  <c r="AZ120" i="3" s="1"/>
  <c r="BA121" i="3"/>
  <c r="BL134" i="3"/>
  <c r="AZ134" i="3" s="1"/>
  <c r="B13" i="1"/>
  <c r="E13" i="1" s="1"/>
  <c r="K13" i="1"/>
  <c r="M13" i="1" s="1"/>
  <c r="D83" i="59"/>
  <c r="C82" i="59"/>
  <c r="D82" i="59" s="1"/>
  <c r="C48" i="59"/>
  <c r="D47" i="59"/>
  <c r="P75" i="15"/>
  <c r="P62" i="15"/>
  <c r="BL392" i="3"/>
  <c r="BL393" i="3"/>
  <c r="BA395" i="3"/>
  <c r="AZ395" i="3" s="1"/>
  <c r="BA396" i="3"/>
  <c r="AZ396" i="3" s="1"/>
  <c r="BA397" i="3"/>
  <c r="AZ397" i="3" s="1"/>
  <c r="BA399" i="3"/>
  <c r="BL401" i="3"/>
  <c r="AZ401" i="3" s="1"/>
  <c r="BL403" i="3"/>
  <c r="AZ403" i="3" s="1"/>
  <c r="BL404" i="3"/>
  <c r="AZ404" i="3" s="1"/>
  <c r="BL406" i="3"/>
  <c r="BA410" i="3"/>
  <c r="AZ410" i="3" s="1"/>
  <c r="BL413" i="3"/>
  <c r="BL415" i="3"/>
  <c r="AZ415" i="3" s="1"/>
  <c r="BL416" i="3"/>
  <c r="BL418" i="3"/>
  <c r="AZ418" i="3" s="1"/>
  <c r="BL419" i="3"/>
  <c r="BL421" i="3"/>
  <c r="BL423" i="3"/>
  <c r="AZ423" i="3" s="1"/>
  <c r="G425" i="3"/>
  <c r="G426" i="3"/>
  <c r="BL427" i="3"/>
  <c r="AZ427" i="3" s="1"/>
  <c r="BL429" i="3"/>
  <c r="BL431" i="3"/>
  <c r="AZ431" i="3" s="1"/>
  <c r="G433" i="3"/>
  <c r="G435" i="3"/>
  <c r="G436" i="3"/>
  <c r="BL437" i="3"/>
  <c r="BL439" i="3"/>
  <c r="AZ439" i="3" s="1"/>
  <c r="BL440" i="3"/>
  <c r="BL442" i="3"/>
  <c r="AZ442" i="3" s="1"/>
  <c r="BL444" i="3"/>
  <c r="BL445" i="3"/>
  <c r="BA447" i="3"/>
  <c r="BA448" i="3"/>
  <c r="BA450" i="3"/>
  <c r="AZ450" i="3" s="1"/>
  <c r="BA452" i="3"/>
  <c r="BA453" i="3"/>
  <c r="AZ453" i="3" s="1"/>
  <c r="BA455" i="3"/>
  <c r="AZ455" i="3" s="1"/>
  <c r="BA458" i="3"/>
  <c r="AZ458" i="3" s="1"/>
  <c r="BL461" i="3"/>
  <c r="AZ461" i="3" s="1"/>
  <c r="G463" i="3"/>
  <c r="G467" i="3"/>
  <c r="BL469" i="3"/>
  <c r="AZ469" i="3" s="1"/>
  <c r="G471" i="3"/>
  <c r="BL471" i="3"/>
  <c r="AZ471" i="3" s="1"/>
  <c r="BL472" i="3"/>
  <c r="BA475" i="3"/>
  <c r="AZ475" i="3" s="1"/>
  <c r="BL477" i="3"/>
  <c r="BA297" i="3"/>
  <c r="AZ297" i="3" s="1"/>
  <c r="BL310" i="3"/>
  <c r="BL312" i="3"/>
  <c r="AZ312" i="3" s="1"/>
  <c r="G317" i="3"/>
  <c r="G320" i="3"/>
  <c r="BL332" i="3"/>
  <c r="BA341" i="3"/>
  <c r="AZ341" i="3" s="1"/>
  <c r="G347" i="3"/>
  <c r="BA350" i="3"/>
  <c r="AZ350" i="3" s="1"/>
  <c r="G363" i="3"/>
  <c r="BA363" i="3"/>
  <c r="AZ363" i="3" s="1"/>
  <c r="BL363" i="3"/>
  <c r="G367" i="3"/>
  <c r="BL384" i="3"/>
  <c r="G205" i="3"/>
  <c r="BA208" i="3"/>
  <c r="AZ208" i="3" s="1"/>
  <c r="G213" i="3"/>
  <c r="BA216" i="3"/>
  <c r="AZ216" i="3" s="1"/>
  <c r="G220" i="3"/>
  <c r="G224" i="3"/>
  <c r="G225" i="3"/>
  <c r="G230" i="3"/>
  <c r="BA232" i="3"/>
  <c r="AZ232" i="3" s="1"/>
  <c r="G235" i="3"/>
  <c r="G236" i="3"/>
  <c r="BA236" i="3"/>
  <c r="G240" i="3"/>
  <c r="G241" i="3"/>
  <c r="G243" i="3"/>
  <c r="BL243" i="3"/>
  <c r="BL244" i="3"/>
  <c r="G249" i="3"/>
  <c r="BL250" i="3"/>
  <c r="AZ250" i="3" s="1"/>
  <c r="BA252" i="3"/>
  <c r="BL259" i="3"/>
  <c r="BL260" i="3"/>
  <c r="AZ260" i="3" s="1"/>
  <c r="BA270" i="3"/>
  <c r="AZ270" i="3" s="1"/>
  <c r="BL275" i="3"/>
  <c r="BL277" i="3"/>
  <c r="AZ277" i="3" s="1"/>
  <c r="BA278" i="3"/>
  <c r="BL280" i="3"/>
  <c r="BA283" i="3"/>
  <c r="BL293" i="3"/>
  <c r="G294" i="3"/>
  <c r="BA113" i="3"/>
  <c r="AZ113" i="3" s="1"/>
  <c r="BL114" i="3"/>
  <c r="AZ114" i="3" s="1"/>
  <c r="BL124" i="3"/>
  <c r="AZ124" i="3" s="1"/>
  <c r="BL126" i="3"/>
  <c r="AZ126" i="3" s="1"/>
  <c r="BL128" i="3"/>
  <c r="G130" i="3"/>
  <c r="BA143" i="3"/>
  <c r="AZ143" i="3" s="1"/>
  <c r="G149" i="3"/>
  <c r="BL149" i="3"/>
  <c r="AZ149" i="3" s="1"/>
  <c r="G154" i="3"/>
  <c r="BA155" i="3"/>
  <c r="AZ155" i="3" s="1"/>
  <c r="G160" i="3"/>
  <c r="G170" i="3"/>
  <c r="BA172" i="3"/>
  <c r="G179" i="3"/>
  <c r="AB24" i="59"/>
  <c r="BL248" i="3"/>
  <c r="AZ248" i="3" s="1"/>
  <c r="G251" i="3"/>
  <c r="G255" i="3"/>
  <c r="G256" i="3"/>
  <c r="G257" i="3"/>
  <c r="G262" i="3"/>
  <c r="G266" i="3"/>
  <c r="BL266" i="3"/>
  <c r="G268" i="3"/>
  <c r="G272" i="3"/>
  <c r="G279" i="3"/>
  <c r="BL279" i="3"/>
  <c r="G286" i="3"/>
  <c r="G287" i="3"/>
  <c r="BL288" i="3"/>
  <c r="BA289" i="3"/>
  <c r="AZ289" i="3" s="1"/>
  <c r="BA294" i="3"/>
  <c r="BL113" i="3"/>
  <c r="BL117" i="3"/>
  <c r="G122" i="3"/>
  <c r="G123" i="3"/>
  <c r="BL123" i="3"/>
  <c r="G126" i="3"/>
  <c r="BA128" i="3"/>
  <c r="G134" i="3"/>
  <c r="BA140" i="3"/>
  <c r="G142" i="3"/>
  <c r="G143" i="3"/>
  <c r="BA148" i="3"/>
  <c r="AZ148" i="3" s="1"/>
  <c r="G152" i="3"/>
  <c r="BL152" i="3"/>
  <c r="BA161" i="3"/>
  <c r="BA162" i="3"/>
  <c r="G164" i="3"/>
  <c r="BL164" i="3"/>
  <c r="BA170" i="3"/>
  <c r="BL173" i="3"/>
  <c r="AZ173" i="3" s="1"/>
  <c r="BA174" i="3"/>
  <c r="BA175" i="3"/>
  <c r="G177" i="3"/>
  <c r="BL177" i="3"/>
  <c r="BL180" i="3"/>
  <c r="AZ180" i="3" s="1"/>
  <c r="BA186" i="3"/>
  <c r="BA190" i="3"/>
  <c r="BA197" i="3"/>
  <c r="AZ197" i="3" s="1"/>
  <c r="BA203" i="3"/>
  <c r="BL29" i="3"/>
  <c r="BA30" i="3"/>
  <c r="BL33" i="3"/>
  <c r="AZ33" i="3" s="1"/>
  <c r="BL46" i="3"/>
  <c r="AZ46" i="3" s="1"/>
  <c r="BA51" i="3"/>
  <c r="BA58" i="3"/>
  <c r="BA66" i="3"/>
  <c r="AZ66" i="3" s="1"/>
  <c r="AA31" i="59"/>
  <c r="AA32" i="59"/>
  <c r="C35" i="59"/>
  <c r="C36" i="59" s="1"/>
  <c r="T36" i="59" s="1"/>
  <c r="D34" i="59"/>
  <c r="P64" i="59"/>
  <c r="E63" i="59"/>
  <c r="BL256" i="3"/>
  <c r="BL261" i="3"/>
  <c r="AZ261" i="3" s="1"/>
  <c r="BA265" i="3"/>
  <c r="BA266" i="3"/>
  <c r="AZ266" i="3" s="1"/>
  <c r="BA271" i="3"/>
  <c r="BA275" i="3"/>
  <c r="BA276" i="3"/>
  <c r="G278" i="3"/>
  <c r="BL278" i="3"/>
  <c r="G281" i="3"/>
  <c r="G282" i="3"/>
  <c r="G283" i="3"/>
  <c r="BA288" i="3"/>
  <c r="AZ288" i="3" s="1"/>
  <c r="G291" i="3"/>
  <c r="BL292" i="3"/>
  <c r="AZ292" i="3" s="1"/>
  <c r="G113" i="3"/>
  <c r="G115" i="3"/>
  <c r="BA117" i="3"/>
  <c r="AZ117" i="3" s="1"/>
  <c r="G121" i="3"/>
  <c r="BL121" i="3"/>
  <c r="G131" i="3"/>
  <c r="BA139" i="3"/>
  <c r="BL141" i="3"/>
  <c r="AZ141" i="3" s="1"/>
  <c r="BA145" i="3"/>
  <c r="AZ145" i="3" s="1"/>
  <c r="BL148" i="3"/>
  <c r="G150" i="3"/>
  <c r="BA152" i="3"/>
  <c r="G156" i="3"/>
  <c r="BL156" i="3"/>
  <c r="BL159" i="3"/>
  <c r="BL161" i="3"/>
  <c r="BL163" i="3"/>
  <c r="AZ163" i="3" s="1"/>
  <c r="BA164" i="3"/>
  <c r="BL169" i="3"/>
  <c r="AZ169" i="3" s="1"/>
  <c r="G172" i="3"/>
  <c r="BL176" i="3"/>
  <c r="AZ176" i="3" s="1"/>
  <c r="BA177" i="3"/>
  <c r="BA189" i="3"/>
  <c r="AZ189" i="3" s="1"/>
  <c r="BL198" i="3"/>
  <c r="BA202" i="3"/>
  <c r="BL204" i="3"/>
  <c r="BL25" i="3"/>
  <c r="AZ25" i="3" s="1"/>
  <c r="BA38" i="3"/>
  <c r="BL42" i="3"/>
  <c r="BA48" i="3"/>
  <c r="BA53" i="3"/>
  <c r="BA63" i="3"/>
  <c r="BA68" i="3"/>
  <c r="AZ68" i="3" s="1"/>
  <c r="BL70" i="3"/>
  <c r="BA77" i="3"/>
  <c r="BL80" i="3"/>
  <c r="AA21" i="37"/>
  <c r="S21" i="37"/>
  <c r="BL186" i="3"/>
  <c r="BA187" i="3"/>
  <c r="AZ187" i="3" s="1"/>
  <c r="G192" i="3"/>
  <c r="BL199" i="3"/>
  <c r="AZ199" i="3" s="1"/>
  <c r="BL21" i="3"/>
  <c r="G23" i="3"/>
  <c r="G24" i="3"/>
  <c r="BL24" i="3"/>
  <c r="G27" i="3"/>
  <c r="BL27" i="3"/>
  <c r="BA29" i="3"/>
  <c r="AZ29" i="3" s="1"/>
  <c r="BL35" i="3"/>
  <c r="G37" i="3"/>
  <c r="G38" i="3"/>
  <c r="BL38" i="3"/>
  <c r="BL39" i="3"/>
  <c r="BA43" i="3"/>
  <c r="AZ43" i="3" s="1"/>
  <c r="BA47" i="3"/>
  <c r="G50" i="3"/>
  <c r="BL50" i="3"/>
  <c r="AZ50" i="3" s="1"/>
  <c r="BL51" i="3"/>
  <c r="BA57" i="3"/>
  <c r="G60" i="3"/>
  <c r="G62" i="3"/>
  <c r="G63" i="3"/>
  <c r="G64" i="3"/>
  <c r="BA64" i="3"/>
  <c r="AZ64" i="3" s="1"/>
  <c r="BL67" i="3"/>
  <c r="AZ67" i="3" s="1"/>
  <c r="BL71" i="3"/>
  <c r="G72" i="3"/>
  <c r="BL73" i="3"/>
  <c r="AZ73" i="3" s="1"/>
  <c r="BA74" i="3"/>
  <c r="AZ74" i="3" s="1"/>
  <c r="BL79" i="3"/>
  <c r="AZ79" i="3" s="1"/>
  <c r="BL81" i="3"/>
  <c r="AZ81" i="3" s="1"/>
  <c r="BL91" i="3"/>
  <c r="BL94" i="3"/>
  <c r="BL103" i="3"/>
  <c r="D32" i="59"/>
  <c r="C52" i="59"/>
  <c r="D51" i="59"/>
  <c r="E47" i="59"/>
  <c r="E48" i="59" s="1"/>
  <c r="U48" i="59" s="1"/>
  <c r="B75" i="59"/>
  <c r="B74" i="59" s="1"/>
  <c r="C22" i="59"/>
  <c r="D22" i="59" s="1"/>
  <c r="D23" i="59"/>
  <c r="S20" i="59"/>
  <c r="B19" i="59"/>
  <c r="B18" i="59" s="1"/>
  <c r="B17" i="59" s="1"/>
  <c r="B16" i="59" s="1"/>
  <c r="G188" i="3"/>
  <c r="G189" i="3"/>
  <c r="BL190" i="3"/>
  <c r="BL195" i="3"/>
  <c r="G202" i="3"/>
  <c r="G203" i="3"/>
  <c r="G204" i="3"/>
  <c r="BA21" i="3"/>
  <c r="BL22" i="3"/>
  <c r="BL28" i="3"/>
  <c r="AZ28" i="3" s="1"/>
  <c r="G30" i="3"/>
  <c r="G31" i="3"/>
  <c r="G32" i="3"/>
  <c r="BA33" i="3"/>
  <c r="BA35" i="3"/>
  <c r="BA37" i="3"/>
  <c r="G40" i="3"/>
  <c r="BL40" i="3"/>
  <c r="AZ40" i="3" s="1"/>
  <c r="BA41" i="3"/>
  <c r="G44" i="3"/>
  <c r="BL45" i="3"/>
  <c r="G48" i="3"/>
  <c r="G49" i="3"/>
  <c r="BA49" i="3"/>
  <c r="AZ49" i="3" s="1"/>
  <c r="BL52" i="3"/>
  <c r="AZ52" i="3" s="1"/>
  <c r="G55" i="3"/>
  <c r="G56" i="3"/>
  <c r="G57" i="3"/>
  <c r="G58" i="3"/>
  <c r="BL58" i="3"/>
  <c r="BA59" i="3"/>
  <c r="AZ59" i="3" s="1"/>
  <c r="BA62" i="3"/>
  <c r="G65" i="3"/>
  <c r="BL65" i="3"/>
  <c r="AZ65" i="3" s="1"/>
  <c r="BL66" i="3"/>
  <c r="BL69" i="3"/>
  <c r="G70" i="3"/>
  <c r="BA72" i="3"/>
  <c r="BA87" i="3"/>
  <c r="BA90" i="3"/>
  <c r="G93" i="3"/>
  <c r="BA94" i="3"/>
  <c r="AZ94" i="3" s="1"/>
  <c r="BL98" i="3"/>
  <c r="BA102" i="3"/>
  <c r="BA107" i="3"/>
  <c r="BA110" i="3"/>
  <c r="BA112" i="3"/>
  <c r="AZ112" i="3" s="1"/>
  <c r="AA21" i="34"/>
  <c r="S21" i="34"/>
  <c r="AA25" i="59"/>
  <c r="E26" i="59"/>
  <c r="E27" i="59" s="1"/>
  <c r="E28" i="59" s="1"/>
  <c r="U28" i="59" s="1"/>
  <c r="D54" i="59"/>
  <c r="C55" i="59"/>
  <c r="S64" i="59"/>
  <c r="B63" i="59"/>
  <c r="B24" i="59"/>
  <c r="X22" i="59"/>
  <c r="X24" i="59"/>
  <c r="U20" i="59"/>
  <c r="E19" i="59"/>
  <c r="E18" i="59" s="1"/>
  <c r="E17" i="59" s="1"/>
  <c r="E16" i="59" s="1"/>
  <c r="X17" i="59"/>
  <c r="G83" i="3"/>
  <c r="BL90" i="3"/>
  <c r="BA92" i="3"/>
  <c r="AZ92" i="3" s="1"/>
  <c r="BA96" i="3"/>
  <c r="AZ96" i="3" s="1"/>
  <c r="BA97" i="3"/>
  <c r="BA105" i="3"/>
  <c r="AZ105" i="3" s="1"/>
  <c r="BA106" i="3"/>
  <c r="AZ106" i="3" s="1"/>
  <c r="BL110" i="3"/>
  <c r="BL111" i="3"/>
  <c r="X25" i="59"/>
  <c r="X27" i="59"/>
  <c r="X30" i="59"/>
  <c r="X31" i="59"/>
  <c r="X32" i="59"/>
  <c r="AA22" i="59"/>
  <c r="E39" i="59"/>
  <c r="E40" i="59" s="1"/>
  <c r="U40" i="59" s="1"/>
  <c r="AA17" i="59"/>
  <c r="X14" i="59"/>
  <c r="AA14" i="59"/>
  <c r="X10" i="59"/>
  <c r="BL68" i="3"/>
  <c r="G74" i="3"/>
  <c r="BL74" i="3"/>
  <c r="G76" i="3"/>
  <c r="G90" i="3"/>
  <c r="BL93" i="3"/>
  <c r="BA95" i="3"/>
  <c r="AZ95" i="3" s="1"/>
  <c r="BA98" i="3"/>
  <c r="AZ98" i="3" s="1"/>
  <c r="G101" i="3"/>
  <c r="BL101" i="3"/>
  <c r="AZ101" i="3" s="1"/>
  <c r="BL102" i="3"/>
  <c r="G103" i="3"/>
  <c r="BA104" i="3"/>
  <c r="AZ104" i="3" s="1"/>
  <c r="G110" i="3"/>
  <c r="C62" i="59"/>
  <c r="D62" i="59" s="1"/>
  <c r="L16" i="4"/>
  <c r="E75" i="59"/>
  <c r="E74" i="59" s="1"/>
  <c r="D64" i="59"/>
  <c r="Y26" i="59"/>
  <c r="Z26" i="59" s="1"/>
  <c r="Y27" i="59"/>
  <c r="Z27" i="59" s="1"/>
  <c r="Y28" i="59"/>
  <c r="Z28" i="59" s="1"/>
  <c r="Y30" i="59"/>
  <c r="Z30" i="59" s="1"/>
  <c r="Y31" i="59"/>
  <c r="Z31" i="59" s="1"/>
  <c r="Y32" i="59"/>
  <c r="Z32" i="59" s="1"/>
  <c r="F63" i="59"/>
  <c r="A28" i="51"/>
  <c r="F15" i="21"/>
  <c r="S15" i="21" s="1"/>
  <c r="J19" i="21"/>
  <c r="W19" i="21" s="1"/>
  <c r="H19" i="21"/>
  <c r="AB19" i="21" s="1"/>
  <c r="AZ522" i="3"/>
  <c r="U12" i="33"/>
  <c r="AB12" i="33"/>
  <c r="AA30" i="33"/>
  <c r="S30" i="33"/>
  <c r="AZ552" i="3"/>
  <c r="F29" i="39"/>
  <c r="AA29" i="39" s="1"/>
  <c r="J29" i="39"/>
  <c r="AC29" i="39" s="1"/>
  <c r="H29" i="39"/>
  <c r="U29" i="39" s="1"/>
  <c r="F103" i="39"/>
  <c r="G103" i="39" s="1"/>
  <c r="AZ560" i="3"/>
  <c r="AZ543" i="3"/>
  <c r="AZ519" i="3"/>
  <c r="B20" i="31"/>
  <c r="R22" i="31"/>
  <c r="B21" i="31" s="1"/>
  <c r="F15" i="59"/>
  <c r="F14" i="59" s="1"/>
  <c r="F13" i="59" s="1"/>
  <c r="F12" i="59" s="1"/>
  <c r="V16" i="59"/>
  <c r="AZ495" i="3"/>
  <c r="W12" i="35"/>
  <c r="AC12" i="35"/>
  <c r="AA40" i="40"/>
  <c r="AC8" i="36"/>
  <c r="W8" i="36"/>
  <c r="AC23" i="36"/>
  <c r="W23" i="36"/>
  <c r="AZ162" i="3"/>
  <c r="Y23" i="59"/>
  <c r="Z23" i="59" s="1"/>
  <c r="Y22" i="59"/>
  <c r="Z22" i="59" s="1"/>
  <c r="AA10" i="33"/>
  <c r="S10" i="33"/>
  <c r="AA42" i="33"/>
  <c r="S42" i="33"/>
  <c r="W27" i="37"/>
  <c r="AC27" i="37"/>
  <c r="AA25" i="35"/>
  <c r="S25" i="35"/>
  <c r="W13" i="34"/>
  <c r="AC13" i="34"/>
  <c r="U31" i="33"/>
  <c r="AB31" i="33"/>
  <c r="H27" i="21"/>
  <c r="F27" i="21"/>
  <c r="J31" i="21"/>
  <c r="F31" i="21"/>
  <c r="W18" i="36"/>
  <c r="S47" i="34"/>
  <c r="W38" i="37"/>
  <c r="S25" i="36"/>
  <c r="Y11" i="46"/>
  <c r="Y13" i="46" s="1"/>
  <c r="AF11" i="46"/>
  <c r="AF13" i="46" s="1"/>
  <c r="U11" i="37"/>
  <c r="AB33" i="36"/>
  <c r="W15" i="33"/>
  <c r="AC15" i="33"/>
  <c r="AA43" i="21"/>
  <c r="BA19" i="3"/>
  <c r="AC46" i="33"/>
  <c r="W46" i="33"/>
  <c r="W37" i="33"/>
  <c r="AC37" i="33"/>
  <c r="S34" i="37"/>
  <c r="S38" i="33"/>
  <c r="S40" i="34"/>
  <c r="AA40" i="34"/>
  <c r="AA9" i="35"/>
  <c r="S9" i="35"/>
  <c r="BA567" i="3"/>
  <c r="AZ567" i="3" s="1"/>
  <c r="BA566" i="3"/>
  <c r="AZ566" i="3" s="1"/>
  <c r="BA565" i="3"/>
  <c r="G555" i="3"/>
  <c r="BA554" i="3"/>
  <c r="BA553" i="3"/>
  <c r="AZ553" i="3" s="1"/>
  <c r="BL19" i="3"/>
  <c r="U31" i="34"/>
  <c r="AZ493" i="3"/>
  <c r="F38" i="37"/>
  <c r="S27" i="33"/>
  <c r="AA27" i="33"/>
  <c r="AA46" i="21"/>
  <c r="S46" i="21"/>
  <c r="AB28" i="21"/>
  <c r="U28" i="21"/>
  <c r="S38" i="34"/>
  <c r="BD5" i="3"/>
  <c r="H113" i="21"/>
  <c r="F37" i="21"/>
  <c r="H37" i="21"/>
  <c r="U37" i="21" s="1"/>
  <c r="W8" i="33"/>
  <c r="AC8" i="33"/>
  <c r="J12" i="37"/>
  <c r="F12" i="37"/>
  <c r="H25" i="37"/>
  <c r="F25" i="37"/>
  <c r="J25" i="37"/>
  <c r="F42" i="40"/>
  <c r="J42" i="40"/>
  <c r="H87" i="35"/>
  <c r="I87" i="35" s="1"/>
  <c r="J87" i="35" s="1"/>
  <c r="K87" i="35" s="1"/>
  <c r="L87" i="35" s="1"/>
  <c r="M87" i="35" s="1"/>
  <c r="H29" i="35"/>
  <c r="AB31" i="35"/>
  <c r="U31" i="35"/>
  <c r="BL568" i="3"/>
  <c r="AZ568" i="3" s="1"/>
  <c r="BL565" i="3"/>
  <c r="BL564" i="3"/>
  <c r="AZ564" i="3" s="1"/>
  <c r="BL563" i="3"/>
  <c r="BL561" i="3"/>
  <c r="G560" i="3"/>
  <c r="BL559" i="3"/>
  <c r="AZ559" i="3" s="1"/>
  <c r="BL558" i="3"/>
  <c r="G558" i="3"/>
  <c r="BL557" i="3"/>
  <c r="BA557" i="3"/>
  <c r="BA556" i="3"/>
  <c r="AZ556" i="3" s="1"/>
  <c r="BL542" i="3"/>
  <c r="BL535" i="3"/>
  <c r="BA532" i="3"/>
  <c r="AZ532" i="3" s="1"/>
  <c r="BA515" i="3"/>
  <c r="AZ515" i="3" s="1"/>
  <c r="BA513" i="3"/>
  <c r="AZ513" i="3" s="1"/>
  <c r="BA503" i="3"/>
  <c r="AZ503" i="3" s="1"/>
  <c r="BA496" i="3"/>
  <c r="AZ496" i="3" s="1"/>
  <c r="BL495" i="3"/>
  <c r="BL494" i="3"/>
  <c r="AZ494" i="3" s="1"/>
  <c r="BA491" i="3"/>
  <c r="AZ491" i="3" s="1"/>
  <c r="BL485" i="3"/>
  <c r="BA485" i="3"/>
  <c r="BL482" i="3"/>
  <c r="BA482" i="3"/>
  <c r="K33" i="9"/>
  <c r="O41" i="9"/>
  <c r="R8" i="54" s="1"/>
  <c r="B54" i="63" s="1"/>
  <c r="W34" i="33"/>
  <c r="H71" i="46"/>
  <c r="H72" i="46"/>
  <c r="U40" i="40"/>
  <c r="AB40" i="40"/>
  <c r="F23" i="39"/>
  <c r="AA23" i="39" s="1"/>
  <c r="H23" i="39"/>
  <c r="AB23" i="39" s="1"/>
  <c r="AZ535" i="3"/>
  <c r="AB12" i="37"/>
  <c r="U12" i="37"/>
  <c r="AB38" i="37"/>
  <c r="U38" i="37"/>
  <c r="U37" i="37"/>
  <c r="AB37" i="37"/>
  <c r="AA22" i="35"/>
  <c r="S22" i="35"/>
  <c r="U12" i="21"/>
  <c r="AB12" i="21"/>
  <c r="AA15" i="33"/>
  <c r="S15" i="33"/>
  <c r="H12" i="35"/>
  <c r="F12" i="35"/>
  <c r="J34" i="35"/>
  <c r="H34" i="35"/>
  <c r="F34" i="35"/>
  <c r="W31" i="36"/>
  <c r="AC31" i="36"/>
  <c r="BL551" i="3"/>
  <c r="BA551" i="3"/>
  <c r="BL550" i="3"/>
  <c r="AZ550" i="3" s="1"/>
  <c r="BL549" i="3"/>
  <c r="AZ549" i="3" s="1"/>
  <c r="BL547" i="3"/>
  <c r="AZ547" i="3" s="1"/>
  <c r="BA546" i="3"/>
  <c r="AZ546" i="3" s="1"/>
  <c r="BA544" i="3"/>
  <c r="BA488" i="3"/>
  <c r="AZ488" i="3" s="1"/>
  <c r="BA487" i="3"/>
  <c r="AZ20" i="3"/>
  <c r="AA23" i="33"/>
  <c r="W37" i="40"/>
  <c r="S14" i="40"/>
  <c r="W28" i="21"/>
  <c r="U27" i="34"/>
  <c r="U30" i="34"/>
  <c r="F27" i="34"/>
  <c r="U37" i="39"/>
  <c r="AB27" i="36"/>
  <c r="U27" i="36"/>
  <c r="S19" i="39"/>
  <c r="AA19" i="39"/>
  <c r="AC12" i="34"/>
  <c r="W12" i="34"/>
  <c r="AB36" i="34"/>
  <c r="AA36" i="35"/>
  <c r="AZ327" i="3"/>
  <c r="AZ498" i="3"/>
  <c r="U45" i="34"/>
  <c r="AB45" i="34"/>
  <c r="AC40" i="37"/>
  <c r="W40" i="37"/>
  <c r="S13" i="36"/>
  <c r="AA13" i="36"/>
  <c r="H31" i="21"/>
  <c r="AA14" i="21"/>
  <c r="S14" i="21"/>
  <c r="W8" i="35"/>
  <c r="F12" i="33"/>
  <c r="J12" i="33"/>
  <c r="H30" i="33"/>
  <c r="J30" i="33"/>
  <c r="H44" i="33"/>
  <c r="F44" i="33"/>
  <c r="S31" i="36"/>
  <c r="AA31" i="36"/>
  <c r="AC41" i="21"/>
  <c r="W41" i="21"/>
  <c r="BA563" i="3"/>
  <c r="AZ563" i="3" s="1"/>
  <c r="BA562" i="3"/>
  <c r="AZ562" i="3" s="1"/>
  <c r="BA561" i="3"/>
  <c r="BA530" i="3"/>
  <c r="AZ530" i="3" s="1"/>
  <c r="BA528" i="3"/>
  <c r="AZ528" i="3" s="1"/>
  <c r="BA523" i="3"/>
  <c r="AZ523" i="3" s="1"/>
  <c r="BA481" i="3"/>
  <c r="AZ481" i="3" s="1"/>
  <c r="H77" i="46"/>
  <c r="W29" i="40"/>
  <c r="AC23" i="33"/>
  <c r="AB45" i="21"/>
  <c r="H53" i="46"/>
  <c r="H49" i="46"/>
  <c r="H48" i="46"/>
  <c r="AA23" i="40"/>
  <c r="H15" i="21"/>
  <c r="AB15" i="21" s="1"/>
  <c r="W14" i="33"/>
  <c r="AB41" i="33"/>
  <c r="S17" i="37"/>
  <c r="F97" i="39"/>
  <c r="G97" i="39" s="1"/>
  <c r="U16" i="40"/>
  <c r="U29" i="33"/>
  <c r="H61" i="46"/>
  <c r="H64" i="46"/>
  <c r="S26" i="21"/>
  <c r="S30" i="36"/>
  <c r="AZ328" i="3"/>
  <c r="AZ304" i="3"/>
  <c r="AZ372" i="3"/>
  <c r="AZ142" i="3"/>
  <c r="U15" i="37"/>
  <c r="AB15" i="37"/>
  <c r="S11" i="37"/>
  <c r="AA11" i="37"/>
  <c r="H65" i="46"/>
  <c r="H58" i="46"/>
  <c r="U19" i="40"/>
  <c r="AA20" i="36"/>
  <c r="AB25" i="21"/>
  <c r="AA22" i="36"/>
  <c r="S25" i="40"/>
  <c r="H29" i="40"/>
  <c r="J15" i="21"/>
  <c r="W15" i="21" s="1"/>
  <c r="W29" i="34"/>
  <c r="AA33" i="34"/>
  <c r="AA12" i="34"/>
  <c r="AA28" i="36"/>
  <c r="AB11" i="34"/>
  <c r="U11" i="34"/>
  <c r="AA33" i="39"/>
  <c r="U30" i="40"/>
  <c r="J23" i="39"/>
  <c r="AC23" i="39" s="1"/>
  <c r="U39" i="39"/>
  <c r="AA32" i="40"/>
  <c r="AA15" i="40"/>
  <c r="F46" i="39"/>
  <c r="AC26" i="37"/>
  <c r="AZ307" i="3"/>
  <c r="AZ298" i="3"/>
  <c r="AZ343" i="3"/>
  <c r="AB27" i="37"/>
  <c r="AC25" i="21"/>
  <c r="W25" i="21"/>
  <c r="S12" i="21"/>
  <c r="AC14" i="21"/>
  <c r="W35" i="35"/>
  <c r="F27" i="37"/>
  <c r="H35" i="35"/>
  <c r="H13" i="35"/>
  <c r="F45" i="34"/>
  <c r="H29" i="34"/>
  <c r="H46" i="33"/>
  <c r="J44" i="33"/>
  <c r="W29" i="37"/>
  <c r="W29" i="33"/>
  <c r="AC29" i="33"/>
  <c r="J27" i="21"/>
  <c r="U13" i="21"/>
  <c r="AB13" i="21"/>
  <c r="AC42" i="34"/>
  <c r="S36" i="34"/>
  <c r="AA36" i="34"/>
  <c r="U10" i="21"/>
  <c r="AB10" i="21"/>
  <c r="BL572" i="3"/>
  <c r="AZ572" i="3" s="1"/>
  <c r="BL571" i="3"/>
  <c r="AZ571" i="3" s="1"/>
  <c r="BL570" i="3"/>
  <c r="AZ570" i="3" s="1"/>
  <c r="BG5" i="3"/>
  <c r="F9" i="21"/>
  <c r="J9" i="21"/>
  <c r="AC9" i="21" s="1"/>
  <c r="AA8" i="34"/>
  <c r="S8" i="34"/>
  <c r="J27" i="34"/>
  <c r="F66" i="35"/>
  <c r="G66" i="35" s="1"/>
  <c r="H16" i="35"/>
  <c r="U16" i="35" s="1"/>
  <c r="J16" i="35"/>
  <c r="W16" i="35" s="1"/>
  <c r="F9" i="36"/>
  <c r="H9" i="36"/>
  <c r="H26" i="37"/>
  <c r="F26" i="37"/>
  <c r="AC31" i="35"/>
  <c r="W31" i="35"/>
  <c r="BL544" i="3"/>
  <c r="G543" i="3"/>
  <c r="BA542" i="3"/>
  <c r="BA541" i="3"/>
  <c r="AZ541" i="3" s="1"/>
  <c r="BL527" i="3"/>
  <c r="AZ527" i="3" s="1"/>
  <c r="BL516" i="3"/>
  <c r="BA516" i="3"/>
  <c r="BL509" i="3"/>
  <c r="BA509" i="3"/>
  <c r="AZ509" i="3" s="1"/>
  <c r="BL508" i="3"/>
  <c r="AZ508" i="3" s="1"/>
  <c r="BL505" i="3"/>
  <c r="G503" i="3"/>
  <c r="BL502" i="3"/>
  <c r="BA502" i="3"/>
  <c r="BL501" i="3"/>
  <c r="AZ501" i="3" s="1"/>
  <c r="BL499" i="3"/>
  <c r="AZ499" i="3" s="1"/>
  <c r="BL487" i="3"/>
  <c r="B48" i="46"/>
  <c r="AB42" i="33"/>
  <c r="AA34" i="36"/>
  <c r="C20" i="46"/>
  <c r="AA12" i="36"/>
  <c r="H23" i="21"/>
  <c r="AB23" i="21" s="1"/>
  <c r="W26" i="33"/>
  <c r="U39" i="33"/>
  <c r="AC40" i="34"/>
  <c r="AB33" i="34"/>
  <c r="W32" i="37"/>
  <c r="U40" i="21"/>
  <c r="U32" i="33"/>
  <c r="AC26" i="36"/>
  <c r="AB43" i="33"/>
  <c r="AB30" i="21"/>
  <c r="H26" i="33"/>
  <c r="C23" i="39"/>
  <c r="W9" i="34"/>
  <c r="F39" i="37"/>
  <c r="H5" i="3"/>
  <c r="BF5" i="3"/>
  <c r="H9" i="34"/>
  <c r="AZ214" i="3"/>
  <c r="BT5" i="3"/>
  <c r="BI5" i="3"/>
  <c r="G512" i="3"/>
  <c r="G509" i="3"/>
  <c r="AZ406" i="3"/>
  <c r="AZ412" i="3"/>
  <c r="AZ447" i="3"/>
  <c r="AZ448" i="3"/>
  <c r="AZ384" i="3"/>
  <c r="AZ413" i="3"/>
  <c r="AZ416" i="3"/>
  <c r="AZ419" i="3"/>
  <c r="AZ421" i="3"/>
  <c r="AZ429" i="3"/>
  <c r="AZ437" i="3"/>
  <c r="AZ440" i="3"/>
  <c r="AZ445" i="3"/>
  <c r="AZ472" i="3"/>
  <c r="AZ264" i="3"/>
  <c r="A11" i="55"/>
  <c r="B62" i="63" s="1"/>
  <c r="AZ476" i="3"/>
  <c r="AZ45" i="3"/>
  <c r="BL468" i="3"/>
  <c r="AZ468" i="3" s="1"/>
  <c r="BA369" i="3"/>
  <c r="AZ369" i="3" s="1"/>
  <c r="G383" i="3"/>
  <c r="G386" i="3"/>
  <c r="BL388" i="3"/>
  <c r="BA207" i="3"/>
  <c r="G210" i="3"/>
  <c r="BL212" i="3"/>
  <c r="BA215" i="3"/>
  <c r="AZ215" i="3" s="1"/>
  <c r="G219" i="3"/>
  <c r="G237" i="3"/>
  <c r="AZ243" i="3"/>
  <c r="BA249" i="3"/>
  <c r="AZ256" i="3"/>
  <c r="BL263" i="3"/>
  <c r="BA267" i="3"/>
  <c r="AZ267" i="3" s="1"/>
  <c r="AZ279" i="3"/>
  <c r="AZ156" i="3"/>
  <c r="AZ159" i="3"/>
  <c r="AZ57" i="3"/>
  <c r="C18" i="9"/>
  <c r="BA474" i="3"/>
  <c r="AZ474" i="3" s="1"/>
  <c r="BA479" i="3"/>
  <c r="AZ479" i="3" s="1"/>
  <c r="BL302" i="3"/>
  <c r="AZ302" i="3" s="1"/>
  <c r="BA319" i="3"/>
  <c r="AZ319" i="3" s="1"/>
  <c r="BL326" i="3"/>
  <c r="AZ326" i="3" s="1"/>
  <c r="BA335" i="3"/>
  <c r="AZ335" i="3" s="1"/>
  <c r="BL342" i="3"/>
  <c r="AZ342" i="3" s="1"/>
  <c r="BA351" i="3"/>
  <c r="AZ351" i="3" s="1"/>
  <c r="BL364" i="3"/>
  <c r="AZ364" i="3" s="1"/>
  <c r="BA368" i="3"/>
  <c r="AZ368" i="3" s="1"/>
  <c r="BA375" i="3"/>
  <c r="AZ375" i="3" s="1"/>
  <c r="BL382" i="3"/>
  <c r="AZ382" i="3" s="1"/>
  <c r="BL385" i="3"/>
  <c r="AZ385" i="3" s="1"/>
  <c r="BA388" i="3"/>
  <c r="BL206" i="3"/>
  <c r="AZ206" i="3" s="1"/>
  <c r="BL209" i="3"/>
  <c r="AZ209" i="3" s="1"/>
  <c r="BA212" i="3"/>
  <c r="BL214" i="3"/>
  <c r="G221" i="3"/>
  <c r="BA233" i="3"/>
  <c r="BL247" i="3"/>
  <c r="AZ247" i="3" s="1"/>
  <c r="BA251" i="3"/>
  <c r="AZ251" i="3" s="1"/>
  <c r="BL254" i="3"/>
  <c r="AZ254" i="3" s="1"/>
  <c r="BL257" i="3"/>
  <c r="AZ257" i="3" s="1"/>
  <c r="BA263" i="3"/>
  <c r="AZ263" i="3" s="1"/>
  <c r="G267" i="3"/>
  <c r="AZ129" i="3"/>
  <c r="BL217" i="3"/>
  <c r="AZ217" i="3" s="1"/>
  <c r="BA223" i="3"/>
  <c r="AZ223" i="3" s="1"/>
  <c r="BL233" i="3"/>
  <c r="BA239" i="3"/>
  <c r="AZ239" i="3" s="1"/>
  <c r="BL249" i="3"/>
  <c r="BA255" i="3"/>
  <c r="AZ255" i="3" s="1"/>
  <c r="BL265" i="3"/>
  <c r="AZ265" i="3" s="1"/>
  <c r="BA269" i="3"/>
  <c r="AZ269" i="3" s="1"/>
  <c r="BA272" i="3"/>
  <c r="AZ272" i="3" s="1"/>
  <c r="BA273" i="3"/>
  <c r="AZ273" i="3" s="1"/>
  <c r="BA274" i="3"/>
  <c r="AZ274" i="3" s="1"/>
  <c r="BL276" i="3"/>
  <c r="AZ276" i="3" s="1"/>
  <c r="BL283" i="3"/>
  <c r="AZ283" i="3" s="1"/>
  <c r="BA285" i="3"/>
  <c r="AZ285" i="3" s="1"/>
  <c r="BA286" i="3"/>
  <c r="AZ286" i="3" s="1"/>
  <c r="BL294" i="3"/>
  <c r="BA296" i="3"/>
  <c r="AZ296" i="3" s="1"/>
  <c r="BL118" i="3"/>
  <c r="AZ118" i="3" s="1"/>
  <c r="BA133" i="3"/>
  <c r="AZ133" i="3" s="1"/>
  <c r="BL140" i="3"/>
  <c r="AZ140" i="3" s="1"/>
  <c r="BA144" i="3"/>
  <c r="AZ144" i="3" s="1"/>
  <c r="BL150" i="3"/>
  <c r="AZ150" i="3" s="1"/>
  <c r="BL153" i="3"/>
  <c r="AZ153" i="3" s="1"/>
  <c r="BA158" i="3"/>
  <c r="AZ158" i="3" s="1"/>
  <c r="BL165" i="3"/>
  <c r="AZ165" i="3" s="1"/>
  <c r="BA168" i="3"/>
  <c r="AZ168" i="3" s="1"/>
  <c r="BL172" i="3"/>
  <c r="AZ172" i="3" s="1"/>
  <c r="BL175" i="3"/>
  <c r="AZ175" i="3" s="1"/>
  <c r="BL188" i="3"/>
  <c r="AZ188" i="3" s="1"/>
  <c r="BA194" i="3"/>
  <c r="AZ194" i="3" s="1"/>
  <c r="BL200" i="3"/>
  <c r="AZ200" i="3" s="1"/>
  <c r="BL202" i="3"/>
  <c r="BA204" i="3"/>
  <c r="AZ204" i="3" s="1"/>
  <c r="AZ21" i="3"/>
  <c r="BA23" i="3"/>
  <c r="AZ23" i="3" s="1"/>
  <c r="BL30" i="3"/>
  <c r="AZ30" i="3" s="1"/>
  <c r="BL37" i="3"/>
  <c r="AZ37" i="3" s="1"/>
  <c r="BL41" i="3"/>
  <c r="AZ41" i="3" s="1"/>
  <c r="BL57" i="3"/>
  <c r="BL60" i="3"/>
  <c r="AZ60" i="3" s="1"/>
  <c r="BL72" i="3"/>
  <c r="AZ72" i="3" s="1"/>
  <c r="BL75" i="3"/>
  <c r="AZ75" i="3" s="1"/>
  <c r="BA103" i="3"/>
  <c r="AZ103" i="3" s="1"/>
  <c r="C60" i="59"/>
  <c r="D59" i="59"/>
  <c r="BL220" i="3"/>
  <c r="AZ220" i="3" s="1"/>
  <c r="BA226" i="3"/>
  <c r="AZ226" i="3" s="1"/>
  <c r="G232" i="3"/>
  <c r="BL236" i="3"/>
  <c r="AZ236" i="3" s="1"/>
  <c r="BA242" i="3"/>
  <c r="AZ242" i="3" s="1"/>
  <c r="G248" i="3"/>
  <c r="BL252" i="3"/>
  <c r="AZ252" i="3" s="1"/>
  <c r="BA258" i="3"/>
  <c r="AZ258" i="3" s="1"/>
  <c r="G264" i="3"/>
  <c r="BL268" i="3"/>
  <c r="AZ268" i="3" s="1"/>
  <c r="BL271" i="3"/>
  <c r="AZ271" i="3" s="1"/>
  <c r="BA280" i="3"/>
  <c r="BA281" i="3"/>
  <c r="AZ281" i="3" s="1"/>
  <c r="BA282" i="3"/>
  <c r="AZ282" i="3" s="1"/>
  <c r="BL284" i="3"/>
  <c r="AZ284" i="3" s="1"/>
  <c r="BL291" i="3"/>
  <c r="AZ291" i="3" s="1"/>
  <c r="BA293" i="3"/>
  <c r="AZ293" i="3" s="1"/>
  <c r="BL295" i="3"/>
  <c r="AZ295" i="3" s="1"/>
  <c r="BA115" i="3"/>
  <c r="AZ115" i="3" s="1"/>
  <c r="BL122" i="3"/>
  <c r="AZ122" i="3" s="1"/>
  <c r="BA125" i="3"/>
  <c r="AZ125" i="3" s="1"/>
  <c r="BL129" i="3"/>
  <c r="BL132" i="3"/>
  <c r="AZ132" i="3" s="1"/>
  <c r="BA136" i="3"/>
  <c r="AZ136" i="3" s="1"/>
  <c r="BA137" i="3"/>
  <c r="AZ137" i="3" s="1"/>
  <c r="BL142" i="3"/>
  <c r="BA147" i="3"/>
  <c r="AZ147" i="3" s="1"/>
  <c r="BA160" i="3"/>
  <c r="AZ160" i="3" s="1"/>
  <c r="BL167" i="3"/>
  <c r="AZ167" i="3" s="1"/>
  <c r="BA171" i="3"/>
  <c r="AZ171" i="3" s="1"/>
  <c r="BL178" i="3"/>
  <c r="AZ178" i="3" s="1"/>
  <c r="BA182" i="3"/>
  <c r="AZ182" i="3" s="1"/>
  <c r="BA183" i="3"/>
  <c r="AZ183" i="3" s="1"/>
  <c r="AZ198" i="3"/>
  <c r="BL203" i="3"/>
  <c r="AZ203" i="3" s="1"/>
  <c r="BA26" i="3"/>
  <c r="AZ26" i="3" s="1"/>
  <c r="BL31" i="3"/>
  <c r="AZ31" i="3" s="1"/>
  <c r="BL36" i="3"/>
  <c r="BL47" i="3"/>
  <c r="AZ47" i="3" s="1"/>
  <c r="BL62" i="3"/>
  <c r="AZ62" i="3" s="1"/>
  <c r="BL77" i="3"/>
  <c r="AZ77" i="3" s="1"/>
  <c r="BA83" i="3"/>
  <c r="AZ83" i="3" s="1"/>
  <c r="BA84" i="3"/>
  <c r="AZ84" i="3" s="1"/>
  <c r="BL192" i="3"/>
  <c r="AZ192" i="3" s="1"/>
  <c r="G200" i="3"/>
  <c r="BA24" i="3"/>
  <c r="AZ24" i="3" s="1"/>
  <c r="G34" i="3"/>
  <c r="BA39" i="3"/>
  <c r="AZ39" i="3" s="1"/>
  <c r="BA42" i="3"/>
  <c r="AZ42" i="3" s="1"/>
  <c r="BL44" i="3"/>
  <c r="AZ44" i="3" s="1"/>
  <c r="BL48" i="3"/>
  <c r="AZ48" i="3" s="1"/>
  <c r="BA54" i="3"/>
  <c r="AZ54" i="3" s="1"/>
  <c r="BA55" i="3"/>
  <c r="AZ55" i="3" s="1"/>
  <c r="BA56" i="3"/>
  <c r="AZ56" i="3" s="1"/>
  <c r="BA61" i="3"/>
  <c r="AZ61" i="3" s="1"/>
  <c r="BL63" i="3"/>
  <c r="AZ63" i="3" s="1"/>
  <c r="BA69" i="3"/>
  <c r="AZ69" i="3" s="1"/>
  <c r="BA70" i="3"/>
  <c r="AZ70" i="3" s="1"/>
  <c r="BA71" i="3"/>
  <c r="AZ71" i="3" s="1"/>
  <c r="BA76" i="3"/>
  <c r="AZ76" i="3" s="1"/>
  <c r="BL78" i="3"/>
  <c r="AZ78" i="3" s="1"/>
  <c r="BA80" i="3"/>
  <c r="AZ80" i="3" s="1"/>
  <c r="BL82" i="3"/>
  <c r="AZ82" i="3" s="1"/>
  <c r="AA27" i="40"/>
  <c r="S27" i="40"/>
  <c r="F62" i="59"/>
  <c r="Q63" i="59"/>
  <c r="BA191" i="3"/>
  <c r="AZ191" i="3" s="1"/>
  <c r="G195" i="3"/>
  <c r="BA22" i="3"/>
  <c r="BA27" i="3"/>
  <c r="AZ27" i="3" s="1"/>
  <c r="BL32" i="3"/>
  <c r="AZ32" i="3" s="1"/>
  <c r="BA36" i="3"/>
  <c r="AZ36" i="3" s="1"/>
  <c r="AZ53" i="3"/>
  <c r="BA91" i="3"/>
  <c r="AZ91" i="3" s="1"/>
  <c r="AZ97" i="3"/>
  <c r="AZ111" i="3"/>
  <c r="B65" i="46"/>
  <c r="B74" i="46"/>
  <c r="B54" i="46"/>
  <c r="BA85" i="3"/>
  <c r="BL87" i="3"/>
  <c r="AZ87" i="3" s="1"/>
  <c r="BL88" i="3"/>
  <c r="G89" i="3"/>
  <c r="BA99" i="3"/>
  <c r="BA100" i="3"/>
  <c r="AZ100" i="3" s="1"/>
  <c r="BA108" i="3"/>
  <c r="BA109" i="3"/>
  <c r="AZ109" i="3" s="1"/>
  <c r="AB25" i="59"/>
  <c r="F26" i="59"/>
  <c r="F27" i="59" s="1"/>
  <c r="F28" i="59" s="1"/>
  <c r="V28" i="59" s="1"/>
  <c r="AB23" i="59"/>
  <c r="AC10" i="46"/>
  <c r="AC12" i="46"/>
  <c r="BL85" i="3"/>
  <c r="G86" i="3"/>
  <c r="BA88" i="3"/>
  <c r="BA89" i="3"/>
  <c r="AZ89" i="3" s="1"/>
  <c r="G92" i="3"/>
  <c r="G95" i="3"/>
  <c r="BL99" i="3"/>
  <c r="G100" i="3"/>
  <c r="G104" i="3"/>
  <c r="G107" i="3"/>
  <c r="BL107" i="3"/>
  <c r="BL108" i="3"/>
  <c r="G109" i="3"/>
  <c r="AA18" i="36"/>
  <c r="S18" i="36"/>
  <c r="AA5" i="59"/>
  <c r="AA6" i="59"/>
  <c r="AA29" i="59"/>
  <c r="AA35" i="59"/>
  <c r="AA28" i="59"/>
  <c r="D31" i="59"/>
  <c r="O62" i="59"/>
  <c r="O61" i="59"/>
  <c r="E67" i="59"/>
  <c r="E66" i="59" s="1"/>
  <c r="D38" i="59"/>
  <c r="E36" i="59"/>
  <c r="U36" i="59" s="1"/>
  <c r="X5" i="59"/>
  <c r="X6" i="59"/>
  <c r="X35" i="59"/>
  <c r="X23" i="59"/>
  <c r="AB5" i="59"/>
  <c r="AB35" i="59"/>
  <c r="D42" i="59"/>
  <c r="C43" i="59"/>
  <c r="D43" i="59" s="1"/>
  <c r="X28" i="59"/>
  <c r="Y25" i="59"/>
  <c r="Z25" i="59" s="1"/>
  <c r="C26" i="59"/>
  <c r="Y24" i="59"/>
  <c r="Z24" i="59" s="1"/>
  <c r="E59" i="59"/>
  <c r="E60" i="59" s="1"/>
  <c r="U60" i="59" s="1"/>
  <c r="T76" i="59"/>
  <c r="C75" i="59"/>
  <c r="F24" i="59"/>
  <c r="AB3" i="59"/>
  <c r="AB20" i="59"/>
  <c r="AB22" i="59"/>
  <c r="T24" i="59"/>
  <c r="D24" i="59"/>
  <c r="Y19" i="59"/>
  <c r="Z19" i="59" s="1"/>
  <c r="Y20" i="59"/>
  <c r="Z20" i="59" s="1"/>
  <c r="AB14" i="59"/>
  <c r="AA19" i="59"/>
  <c r="Y14" i="59"/>
  <c r="Z14" i="59" s="1"/>
  <c r="D36" i="59"/>
  <c r="D35" i="59"/>
  <c r="D76" i="59"/>
  <c r="AB21" i="59"/>
  <c r="Y21" i="59"/>
  <c r="Z21" i="59" s="1"/>
  <c r="AA21" i="59"/>
  <c r="AA27" i="59"/>
  <c r="AA23" i="59"/>
  <c r="E30" i="59"/>
  <c r="E31" i="59" s="1"/>
  <c r="E32" i="59" s="1"/>
  <c r="U32" i="59" s="1"/>
  <c r="AA34" i="59"/>
  <c r="AE12" i="46"/>
  <c r="Y29" i="59"/>
  <c r="Z29" i="59" s="1"/>
  <c r="X3" i="59"/>
  <c r="X26" i="59"/>
  <c r="X29" i="59"/>
  <c r="X33" i="59"/>
  <c r="AB33" i="59"/>
  <c r="Y6" i="59"/>
  <c r="Z6" i="59" s="1"/>
  <c r="E24" i="59"/>
  <c r="AA3" i="59"/>
  <c r="AA24" i="59"/>
  <c r="L76" i="9"/>
  <c r="O76" i="9"/>
  <c r="Y10" i="59"/>
  <c r="Z10" i="59" s="1"/>
  <c r="Y13" i="59"/>
  <c r="Z13" i="59" s="1"/>
  <c r="AA26" i="59"/>
  <c r="AA30" i="59"/>
  <c r="AA33" i="59"/>
  <c r="X21" i="59"/>
  <c r="X13" i="59"/>
  <c r="AA9" i="59"/>
  <c r="AB13" i="59"/>
  <c r="AB19" i="59"/>
  <c r="X12" i="59"/>
  <c r="AB6" i="59"/>
  <c r="AA10" i="59"/>
  <c r="Y9" i="59"/>
  <c r="Z9" i="59" s="1"/>
  <c r="X7" i="59"/>
  <c r="X19" i="59"/>
  <c r="AA13" i="59"/>
  <c r="AB8" i="59"/>
  <c r="Y5" i="59"/>
  <c r="Z5" i="59" s="1"/>
  <c r="Y7" i="59"/>
  <c r="Z7" i="59" s="1"/>
  <c r="X8" i="59"/>
  <c r="AA11" i="59"/>
  <c r="AB9" i="59"/>
  <c r="AB10" i="59"/>
  <c r="AA8" i="59"/>
  <c r="Y8" i="59"/>
  <c r="Z8" i="59" s="1"/>
  <c r="X9" i="59"/>
  <c r="AB11" i="59"/>
  <c r="AB7" i="59"/>
  <c r="AA7" i="59"/>
  <c r="G123" i="21"/>
  <c r="H123" i="21" s="1"/>
  <c r="I123" i="21" s="1"/>
  <c r="J123" i="21" s="1"/>
  <c r="K123" i="21" s="1"/>
  <c r="L123" i="21" s="1"/>
  <c r="M123" i="21" s="1"/>
  <c r="J42" i="21"/>
  <c r="AC42" i="21" s="1"/>
  <c r="F42" i="21"/>
  <c r="AA42" i="21" s="1"/>
  <c r="H42" i="21"/>
  <c r="AB42" i="21" s="1"/>
  <c r="O40" i="9"/>
  <c r="R7" i="54" s="1"/>
  <c r="B52" i="63" s="1"/>
  <c r="G17" i="46"/>
  <c r="C16" i="46" s="1"/>
  <c r="C5" i="46" s="1"/>
  <c r="H47" i="46"/>
  <c r="H54" i="46"/>
  <c r="H76" i="46"/>
  <c r="H69" i="46"/>
  <c r="H75" i="46"/>
  <c r="H74" i="46"/>
  <c r="H50" i="46"/>
  <c r="H70" i="46"/>
  <c r="H51" i="46"/>
  <c r="AB16" i="39"/>
  <c r="F91" i="39"/>
  <c r="G91" i="39" s="1"/>
  <c r="F17" i="39"/>
  <c r="AA17" i="39" s="1"/>
  <c r="S16" i="39"/>
  <c r="C101" i="46"/>
  <c r="C109" i="46" s="1"/>
  <c r="S7" i="46"/>
  <c r="Z7" i="46"/>
  <c r="D101" i="46"/>
  <c r="D105" i="46" s="1"/>
  <c r="C23" i="46"/>
  <c r="Z11" i="46"/>
  <c r="Z13" i="46" s="1"/>
  <c r="N104" i="45"/>
  <c r="N101" i="46"/>
  <c r="N105" i="46" s="1"/>
  <c r="H101" i="46"/>
  <c r="H102" i="46" s="1"/>
  <c r="BL13" i="3"/>
  <c r="S4" i="46"/>
  <c r="S2" i="46"/>
  <c r="AB11" i="46"/>
  <c r="AB13" i="46" s="1"/>
  <c r="AA11" i="46"/>
  <c r="AA13" i="46" s="1"/>
  <c r="E22" i="46"/>
  <c r="F22" i="46"/>
  <c r="J101" i="46"/>
  <c r="J106" i="46" s="1"/>
  <c r="AD11" i="46"/>
  <c r="AD13" i="46" s="1"/>
  <c r="I101" i="46"/>
  <c r="I105" i="46" s="1"/>
  <c r="J22" i="46"/>
  <c r="H22" i="46"/>
  <c r="AZ13" i="3"/>
  <c r="BL5" i="3"/>
  <c r="E53" i="40"/>
  <c r="E58" i="39"/>
  <c r="S6" i="46"/>
  <c r="S3" i="46"/>
  <c r="S5" i="46"/>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AA29" i="35"/>
  <c r="W29" i="35"/>
  <c r="U28" i="35"/>
  <c r="F26" i="35"/>
  <c r="J26" i="35"/>
  <c r="H26" i="35"/>
  <c r="F14" i="35"/>
  <c r="AA14" i="35" s="1"/>
  <c r="F64" i="35"/>
  <c r="G64" i="35" s="1"/>
  <c r="J14" i="35"/>
  <c r="AC14" i="35" s="1"/>
  <c r="H14" i="35"/>
  <c r="U14" i="35" s="1"/>
  <c r="W20" i="35"/>
  <c r="AB20" i="35"/>
  <c r="AA20" i="35"/>
  <c r="S18" i="35"/>
  <c r="AA16" i="35"/>
  <c r="S10" i="35"/>
  <c r="AC10" i="35"/>
  <c r="U9" i="35"/>
  <c r="D18" i="9"/>
  <c r="M44" i="9" s="1"/>
  <c r="M43" i="9"/>
  <c r="A30" i="64"/>
  <c r="A30" i="51"/>
  <c r="B22" i="63" s="1"/>
  <c r="U14" i="39"/>
  <c r="W15" i="39"/>
  <c r="AB15" i="39"/>
  <c r="S15" i="39"/>
  <c r="W14" i="39"/>
  <c r="S14" i="39"/>
  <c r="AB29" i="39"/>
  <c r="U27" i="39"/>
  <c r="AB17" i="39"/>
  <c r="S29" i="39"/>
  <c r="AB25" i="39"/>
  <c r="S23" i="39"/>
  <c r="W31" i="39"/>
  <c r="S31" i="39"/>
  <c r="S27" i="39"/>
  <c r="W27" i="39"/>
  <c r="W25" i="39"/>
  <c r="S25" i="39"/>
  <c r="W23" i="39"/>
  <c r="U21" i="39"/>
  <c r="AC17" i="39"/>
  <c r="F126" i="39"/>
  <c r="G126" i="39" s="1"/>
  <c r="J43" i="39" s="1"/>
  <c r="AC43" i="39" s="1"/>
  <c r="F43" i="39"/>
  <c r="AA43" i="39" s="1"/>
  <c r="AB44" i="39"/>
  <c r="AA44" i="39"/>
  <c r="AC44" i="39"/>
  <c r="S41" i="39"/>
  <c r="W41" i="39"/>
  <c r="U41" i="39"/>
  <c r="F101" i="21"/>
  <c r="G101" i="21" s="1"/>
  <c r="H101" i="21" s="1"/>
  <c r="I101" i="21" s="1"/>
  <c r="J101" i="21" s="1"/>
  <c r="K101" i="21" s="1"/>
  <c r="L101" i="21" s="1"/>
  <c r="M101" i="21" s="1"/>
  <c r="F32" i="21"/>
  <c r="H32" i="21"/>
  <c r="U32" i="21" s="1"/>
  <c r="J32" i="21"/>
  <c r="AC32" i="21" s="1"/>
  <c r="F79" i="21"/>
  <c r="G79" i="21" s="1"/>
  <c r="H17" i="21"/>
  <c r="AB17" i="21" s="1"/>
  <c r="F17" i="21"/>
  <c r="S17" i="21" s="1"/>
  <c r="J17" i="21"/>
  <c r="AC17" i="21" s="1"/>
  <c r="U9" i="21"/>
  <c r="S39" i="21"/>
  <c r="AA38" i="21"/>
  <c r="U42" i="21"/>
  <c r="AC37" i="21"/>
  <c r="AB37" i="21"/>
  <c r="AC36" i="21"/>
  <c r="AC23" i="21"/>
  <c r="S23" i="21"/>
  <c r="S21" i="21"/>
  <c r="U38" i="21"/>
  <c r="AB36" i="21"/>
  <c r="AC34" i="21"/>
  <c r="U34" i="21"/>
  <c r="W9" i="21"/>
  <c r="W8" i="21"/>
  <c r="B41" i="1"/>
  <c r="F34" i="44" s="1"/>
  <c r="I14" i="66"/>
  <c r="B8" i="66" s="1"/>
  <c r="I117" i="46"/>
  <c r="J117" i="46" s="1"/>
  <c r="K117" i="46" s="1"/>
  <c r="L117" i="46" s="1"/>
  <c r="M117" i="46" s="1"/>
  <c r="G28" i="6"/>
  <c r="E28" i="6" s="1"/>
  <c r="G27" i="12"/>
  <c r="G13" i="3"/>
  <c r="N109" i="46"/>
  <c r="C103" i="46"/>
  <c r="C106" i="46"/>
  <c r="C104" i="46"/>
  <c r="N103" i="46"/>
  <c r="D102" i="46"/>
  <c r="D104" i="46"/>
  <c r="D109" i="46"/>
  <c r="D107" i="46"/>
  <c r="C25" i="43"/>
  <c r="C2" i="65"/>
  <c r="G20" i="43"/>
  <c r="G26" i="12"/>
  <c r="E103" i="46"/>
  <c r="N102" i="46"/>
  <c r="N107" i="46"/>
  <c r="E14" i="6"/>
  <c r="O11" i="1"/>
  <c r="P11" i="1" s="1"/>
  <c r="O12" i="1"/>
  <c r="P12" i="1" s="1"/>
  <c r="O10" i="1"/>
  <c r="P10" i="1" s="1"/>
  <c r="O9" i="1"/>
  <c r="P9" i="1" s="1"/>
  <c r="O13" i="1"/>
  <c r="P13" i="1" s="1"/>
  <c r="C105" i="46"/>
  <c r="C107" i="46"/>
  <c r="G6" i="1"/>
  <c r="K17" i="4"/>
  <c r="A22" i="51" s="1"/>
  <c r="B16" i="63" s="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L59" i="15"/>
  <c r="L58" i="15"/>
  <c r="L60" i="44"/>
  <c r="J53" i="15"/>
  <c r="J57" i="15"/>
  <c r="J55" i="15" s="1"/>
  <c r="J58" i="15" s="1"/>
  <c r="Q51" i="15" s="1"/>
  <c r="I54" i="15"/>
  <c r="L56" i="15"/>
  <c r="C4" i="65"/>
  <c r="B39" i="1" s="1"/>
  <c r="M30" i="44"/>
  <c r="F36" i="15"/>
  <c r="M8" i="15"/>
  <c r="M9" i="15"/>
  <c r="J7" i="65"/>
  <c r="M27" i="15"/>
  <c r="M10" i="44"/>
  <c r="J3" i="65"/>
  <c r="F40" i="44"/>
  <c r="F39" i="44"/>
  <c r="I7" i="65"/>
  <c r="I6" i="65"/>
  <c r="M6" i="15"/>
  <c r="F26" i="15"/>
  <c r="M28" i="44"/>
  <c r="M29" i="44"/>
  <c r="F43" i="44"/>
  <c r="F15" i="44"/>
  <c r="M24" i="44"/>
  <c r="F42" i="15"/>
  <c r="F37" i="15"/>
  <c r="F13" i="15"/>
  <c r="F16" i="15"/>
  <c r="J15" i="15"/>
  <c r="F40" i="15"/>
  <c r="I3" i="65"/>
  <c r="F8" i="15"/>
  <c r="M24" i="15"/>
  <c r="M11" i="44"/>
  <c r="F46" i="44"/>
  <c r="M22" i="15"/>
  <c r="M26" i="15"/>
  <c r="J36" i="15"/>
  <c r="J17" i="44"/>
  <c r="M8" i="44"/>
  <c r="L49" i="44"/>
  <c r="F8" i="44"/>
  <c r="F38" i="44"/>
  <c r="J4" i="65"/>
  <c r="F38" i="15"/>
  <c r="J6" i="65"/>
  <c r="F18" i="44"/>
  <c r="I5" i="65"/>
  <c r="F9" i="15"/>
  <c r="I4" i="65"/>
  <c r="F10" i="44"/>
  <c r="F28" i="44"/>
  <c r="D5" i="46" l="1"/>
  <c r="M11" i="74"/>
  <c r="J10" i="74" s="1"/>
  <c r="J5" i="74" s="1"/>
  <c r="F11" i="74"/>
  <c r="C29" i="44"/>
  <c r="I55" i="44"/>
  <c r="J60" i="44"/>
  <c r="L59" i="44"/>
  <c r="Q75" i="44" s="1"/>
  <c r="J58" i="44"/>
  <c r="J56" i="44" s="1"/>
  <c r="J59" i="44" s="1"/>
  <c r="Q52" i="44" s="1"/>
  <c r="J54" i="44"/>
  <c r="F1" i="44" s="1"/>
  <c r="J61" i="44"/>
  <c r="Q50" i="44" s="1"/>
  <c r="L57" i="44"/>
  <c r="Q73" i="44"/>
  <c r="F63" i="15"/>
  <c r="D55" i="59"/>
  <c r="C56" i="59"/>
  <c r="T52" i="59"/>
  <c r="D52" i="59"/>
  <c r="P63" i="59"/>
  <c r="E62" i="59"/>
  <c r="T48" i="59"/>
  <c r="D48" i="59"/>
  <c r="AZ121" i="3"/>
  <c r="F29" i="6"/>
  <c r="D19" i="59"/>
  <c r="C18" i="59"/>
  <c r="S31" i="33"/>
  <c r="AA31" i="33"/>
  <c r="AA13" i="37"/>
  <c r="S13" i="37"/>
  <c r="AA26" i="33"/>
  <c r="S26" i="33"/>
  <c r="W9" i="33"/>
  <c r="AC9" i="33"/>
  <c r="AB29" i="21"/>
  <c r="U29" i="21"/>
  <c r="W30" i="21"/>
  <c r="AC30" i="21"/>
  <c r="J7" i="21"/>
  <c r="C102" i="46"/>
  <c r="N106" i="46"/>
  <c r="D103" i="46"/>
  <c r="D106" i="46"/>
  <c r="N104" i="46"/>
  <c r="U23" i="21"/>
  <c r="AZ280" i="3"/>
  <c r="AZ202" i="3"/>
  <c r="AZ294" i="3"/>
  <c r="AZ388" i="3"/>
  <c r="K34" i="9"/>
  <c r="AZ565" i="3"/>
  <c r="E15" i="59"/>
  <c r="E14" i="59" s="1"/>
  <c r="E13" i="59" s="1"/>
  <c r="E12" i="59" s="1"/>
  <c r="U12" i="59" s="1"/>
  <c r="U16" i="59"/>
  <c r="B23" i="59"/>
  <c r="B22" i="59" s="1"/>
  <c r="S24" i="59"/>
  <c r="AZ102" i="3"/>
  <c r="AZ90" i="3"/>
  <c r="B15" i="59"/>
  <c r="B14" i="59" s="1"/>
  <c r="B13" i="59" s="1"/>
  <c r="B12" i="59" s="1"/>
  <c r="S16" i="59"/>
  <c r="AZ38" i="3"/>
  <c r="AZ152" i="3"/>
  <c r="AZ58" i="3"/>
  <c r="AZ190" i="3"/>
  <c r="AZ161" i="3"/>
  <c r="AZ128" i="3"/>
  <c r="AZ278" i="3"/>
  <c r="AZ452" i="3"/>
  <c r="AZ211" i="3"/>
  <c r="AZ466" i="3"/>
  <c r="AZ393" i="3"/>
  <c r="D67" i="59"/>
  <c r="C66" i="59"/>
  <c r="D66" i="59" s="1"/>
  <c r="AZ477" i="3"/>
  <c r="G29" i="6"/>
  <c r="G30" i="6" s="1"/>
  <c r="G31" i="6" s="1"/>
  <c r="F19" i="21"/>
  <c r="AA13" i="21"/>
  <c r="S13" i="21"/>
  <c r="AC28" i="37"/>
  <c r="W28" i="37"/>
  <c r="U14" i="34"/>
  <c r="AB14" i="34"/>
  <c r="AB41" i="40"/>
  <c r="U41" i="40"/>
  <c r="AA9" i="33"/>
  <c r="S9" i="33"/>
  <c r="AC13" i="37"/>
  <c r="W13" i="37"/>
  <c r="AC14" i="34"/>
  <c r="W14" i="34"/>
  <c r="AC11" i="36"/>
  <c r="W11" i="36"/>
  <c r="AB32" i="21"/>
  <c r="W16" i="39"/>
  <c r="AZ107" i="3"/>
  <c r="AZ88" i="3"/>
  <c r="AZ212" i="3"/>
  <c r="AZ207" i="3"/>
  <c r="AZ505" i="3"/>
  <c r="S11" i="36"/>
  <c r="S23" i="36"/>
  <c r="AZ485" i="3"/>
  <c r="AZ558" i="3"/>
  <c r="N4" i="63"/>
  <c r="B21" i="63"/>
  <c r="N63" i="59"/>
  <c r="B62" i="59"/>
  <c r="AZ35" i="3"/>
  <c r="AZ275" i="3"/>
  <c r="AZ51" i="3"/>
  <c r="AZ186" i="3"/>
  <c r="AZ164" i="3"/>
  <c r="AZ432" i="3"/>
  <c r="AZ392" i="3"/>
  <c r="AB24" i="35"/>
  <c r="U24" i="35"/>
  <c r="AB11" i="36"/>
  <c r="U11" i="36"/>
  <c r="AC47" i="39"/>
  <c r="W47" i="39"/>
  <c r="S45" i="33"/>
  <c r="AA45" i="33"/>
  <c r="AA32" i="34"/>
  <c r="S32" i="34"/>
  <c r="AZ22" i="3"/>
  <c r="AZ249" i="3"/>
  <c r="AZ502" i="3"/>
  <c r="E15" i="6"/>
  <c r="AZ554" i="3"/>
  <c r="AZ110" i="3"/>
  <c r="AZ177" i="3"/>
  <c r="AZ399" i="3"/>
  <c r="AZ235" i="3"/>
  <c r="AZ244" i="3"/>
  <c r="AZ426" i="3"/>
  <c r="AZ227" i="3"/>
  <c r="U45" i="33"/>
  <c r="AB45" i="33"/>
  <c r="AC41" i="40"/>
  <c r="W41" i="40"/>
  <c r="AB27" i="33"/>
  <c r="U27" i="33"/>
  <c r="AC45" i="39"/>
  <c r="W45" i="39"/>
  <c r="AC40" i="40"/>
  <c r="W40" i="40"/>
  <c r="AC29" i="21"/>
  <c r="W29" i="21"/>
  <c r="S47" i="39"/>
  <c r="AA47" i="39"/>
  <c r="AB39" i="37"/>
  <c r="U39" i="37"/>
  <c r="U28" i="37"/>
  <c r="AB28" i="37"/>
  <c r="H107" i="46"/>
  <c r="AC15" i="21"/>
  <c r="AA15" i="21"/>
  <c r="U19" i="21"/>
  <c r="U15" i="21"/>
  <c r="AC19" i="21"/>
  <c r="AB14" i="35"/>
  <c r="U17" i="21"/>
  <c r="AB16" i="35"/>
  <c r="W42" i="21"/>
  <c r="C27" i="15"/>
  <c r="I1" i="65"/>
  <c r="Q72" i="15"/>
  <c r="J1" i="65"/>
  <c r="F50" i="15"/>
  <c r="F65" i="15"/>
  <c r="F64" i="15"/>
  <c r="F67" i="15"/>
  <c r="Q62" i="59"/>
  <c r="Q61" i="59"/>
  <c r="AB46" i="33"/>
  <c r="U46" i="33"/>
  <c r="AA46" i="39"/>
  <c r="S46" i="39"/>
  <c r="AC12" i="33"/>
  <c r="W12" i="33"/>
  <c r="AC34" i="35"/>
  <c r="W34" i="35"/>
  <c r="AA25" i="37"/>
  <c r="S25" i="37"/>
  <c r="J7" i="33"/>
  <c r="W7" i="33" s="1"/>
  <c r="E11" i="6"/>
  <c r="W32" i="21"/>
  <c r="S43" i="39"/>
  <c r="AC16" i="35"/>
  <c r="U24" i="59"/>
  <c r="E23" i="59"/>
  <c r="E22" i="59" s="1"/>
  <c r="AZ99" i="3"/>
  <c r="AZ85" i="3"/>
  <c r="AB9" i="34"/>
  <c r="U9" i="34"/>
  <c r="AB26" i="37"/>
  <c r="U26" i="37"/>
  <c r="U29" i="34"/>
  <c r="AB29" i="34"/>
  <c r="AA27" i="37"/>
  <c r="S27" i="37"/>
  <c r="AB44" i="33"/>
  <c r="U44" i="33"/>
  <c r="AA12" i="33"/>
  <c r="S12" i="33"/>
  <c r="U31" i="21"/>
  <c r="AB31" i="21"/>
  <c r="AZ544" i="3"/>
  <c r="AA12" i="35"/>
  <c r="S12" i="35"/>
  <c r="W42" i="40"/>
  <c r="AC42" i="40"/>
  <c r="U25" i="37"/>
  <c r="AB25" i="37"/>
  <c r="S38" i="37"/>
  <c r="AA38" i="37"/>
  <c r="U27" i="21"/>
  <c r="AB27" i="21"/>
  <c r="T60" i="59"/>
  <c r="D60" i="59"/>
  <c r="AA26" i="37"/>
  <c r="S26" i="37"/>
  <c r="AA27" i="34"/>
  <c r="S27" i="34"/>
  <c r="F23" i="59"/>
  <c r="F22" i="59" s="1"/>
  <c r="V24" i="59"/>
  <c r="AB9" i="36"/>
  <c r="U9" i="36"/>
  <c r="AA45" i="34"/>
  <c r="S45" i="34"/>
  <c r="AC30" i="33"/>
  <c r="W30" i="33"/>
  <c r="AZ551" i="3"/>
  <c r="AA34" i="35"/>
  <c r="S34" i="35"/>
  <c r="AB12" i="35"/>
  <c r="U12" i="35"/>
  <c r="AZ557" i="3"/>
  <c r="AA42" i="40"/>
  <c r="S42" i="40"/>
  <c r="AA12" i="37"/>
  <c r="S12" i="37"/>
  <c r="AZ19" i="3"/>
  <c r="BA5" i="3"/>
  <c r="AA31" i="21"/>
  <c r="S31" i="21"/>
  <c r="F11" i="59"/>
  <c r="F10" i="59" s="1"/>
  <c r="F9" i="59" s="1"/>
  <c r="F8" i="59" s="1"/>
  <c r="V12" i="59"/>
  <c r="AA39" i="37"/>
  <c r="S39" i="37"/>
  <c r="U35" i="35"/>
  <c r="AB35" i="35"/>
  <c r="AA44" i="33"/>
  <c r="S44" i="33"/>
  <c r="S27" i="21"/>
  <c r="AA27" i="21"/>
  <c r="B11" i="59"/>
  <c r="B10" i="59" s="1"/>
  <c r="B9" i="59" s="1"/>
  <c r="B8" i="59" s="1"/>
  <c r="B7" i="59" s="1"/>
  <c r="S12" i="59"/>
  <c r="E10" i="6"/>
  <c r="E12" i="6"/>
  <c r="S42" i="21"/>
  <c r="U23" i="39"/>
  <c r="E11" i="59"/>
  <c r="E10" i="59" s="1"/>
  <c r="E9" i="59" s="1"/>
  <c r="E8" i="59" s="1"/>
  <c r="E7" i="59" s="1"/>
  <c r="E13" i="6"/>
  <c r="F66" i="9"/>
  <c r="P72" i="9" s="1"/>
  <c r="W29" i="39"/>
  <c r="C74" i="59"/>
  <c r="D74" i="59" s="1"/>
  <c r="D75" i="59"/>
  <c r="C27" i="59"/>
  <c r="D26" i="59"/>
  <c r="AZ108" i="3"/>
  <c r="AZ233" i="3"/>
  <c r="AB26" i="33"/>
  <c r="U26" i="33"/>
  <c r="AZ516" i="3"/>
  <c r="AZ542" i="3"/>
  <c r="S9" i="36"/>
  <c r="AA9" i="36"/>
  <c r="AC27" i="34"/>
  <c r="W27" i="34"/>
  <c r="S9" i="21"/>
  <c r="AA9" i="21"/>
  <c r="W27" i="21"/>
  <c r="AC27" i="21"/>
  <c r="AC44" i="33"/>
  <c r="W44" i="33"/>
  <c r="U13" i="35"/>
  <c r="AB13" i="35"/>
  <c r="AB29" i="40"/>
  <c r="U29" i="40"/>
  <c r="AZ561" i="3"/>
  <c r="AB30" i="33"/>
  <c r="U30" i="33"/>
  <c r="AZ487" i="3"/>
  <c r="AB34" i="35"/>
  <c r="U34" i="35"/>
  <c r="AZ482" i="3"/>
  <c r="U29" i="35"/>
  <c r="AB29" i="35"/>
  <c r="W25" i="37"/>
  <c r="AC25" i="37"/>
  <c r="W12" i="37"/>
  <c r="AC12" i="37"/>
  <c r="S37" i="21"/>
  <c r="AA37" i="21"/>
  <c r="W31" i="21"/>
  <c r="AC31" i="21"/>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3" i="39"/>
  <c r="E58" i="40"/>
  <c r="E67" i="39"/>
  <c r="E62" i="40"/>
  <c r="K14" i="1"/>
  <c r="H7" i="34"/>
  <c r="AB7" i="34" s="1"/>
  <c r="T49" i="34" s="1"/>
  <c r="G49" i="34" s="1"/>
  <c r="F7" i="34"/>
  <c r="AA7" i="34" s="1"/>
  <c r="R49" i="34" s="1"/>
  <c r="J7" i="34"/>
  <c r="W7" i="34" s="1"/>
  <c r="F7" i="21"/>
  <c r="AA7" i="21" s="1"/>
  <c r="H7" i="21"/>
  <c r="AB7" i="21" s="1"/>
  <c r="S8" i="59"/>
  <c r="F58" i="15"/>
  <c r="H7" i="35"/>
  <c r="U7" i="35" s="1"/>
  <c r="E65" i="40"/>
  <c r="D67" i="40"/>
  <c r="AC7" i="33"/>
  <c r="V48" i="33" s="1"/>
  <c r="I48" i="33" s="1"/>
  <c r="AC7" i="34"/>
  <c r="V49" i="34" s="1"/>
  <c r="I49" i="34" s="1"/>
  <c r="J7" i="37"/>
  <c r="W7" i="21"/>
  <c r="AC7" i="21"/>
  <c r="D72" i="39"/>
  <c r="E70" i="39"/>
  <c r="H7" i="33"/>
  <c r="F7" i="33"/>
  <c r="J46" i="36"/>
  <c r="J7" i="35"/>
  <c r="F7" i="35"/>
  <c r="H7" i="37"/>
  <c r="F7" i="37"/>
  <c r="M19" i="44"/>
  <c r="C19" i="46"/>
  <c r="C34" i="46" s="1"/>
  <c r="Q62" i="15"/>
  <c r="Q75" i="15"/>
  <c r="M13" i="44"/>
  <c r="J12" i="44" s="1"/>
  <c r="F11" i="15"/>
  <c r="M11" i="15"/>
  <c r="J10" i="15" s="1"/>
  <c r="F13" i="44"/>
  <c r="C12" i="44" s="1"/>
  <c r="M28" i="46"/>
  <c r="P28" i="46"/>
  <c r="O28" i="46"/>
  <c r="N28" i="46"/>
  <c r="Q63" i="44"/>
  <c r="Q76" i="44"/>
  <c r="F1" i="15"/>
  <c r="Q53" i="15"/>
  <c r="Q61" i="15"/>
  <c r="Q74" i="15"/>
  <c r="AE8" i="1"/>
  <c r="AE7" i="1"/>
  <c r="F41" i="74" s="1"/>
  <c r="F41" i="15"/>
  <c r="E2" i="65"/>
  <c r="E3" i="65"/>
  <c r="F68" i="74" l="1"/>
  <c r="C52" i="74"/>
  <c r="C47" i="74" s="1"/>
  <c r="C10" i="74"/>
  <c r="C5" i="74" s="1"/>
  <c r="J26" i="74"/>
  <c r="J29" i="74" s="1"/>
  <c r="J24" i="74"/>
  <c r="Q54" i="44"/>
  <c r="P61" i="59"/>
  <c r="P62" i="59"/>
  <c r="T56" i="59"/>
  <c r="D56" i="59"/>
  <c r="Q62" i="44"/>
  <c r="U8" i="59"/>
  <c r="AA19" i="21"/>
  <c r="S19" i="21"/>
  <c r="AZ5" i="3"/>
  <c r="E3" i="6" s="1"/>
  <c r="L38" i="9" s="1"/>
  <c r="B14" i="66" s="1"/>
  <c r="B1" i="66" s="1"/>
  <c r="E29" i="6"/>
  <c r="F30" i="6"/>
  <c r="U7" i="34"/>
  <c r="S7" i="34"/>
  <c r="E16" i="6"/>
  <c r="N62" i="59"/>
  <c r="N61" i="59"/>
  <c r="D18" i="59"/>
  <c r="C17" i="59"/>
  <c r="F17" i="11"/>
  <c r="C17" i="11" s="1"/>
  <c r="C19" i="11" s="1"/>
  <c r="C20" i="11" s="1"/>
  <c r="C21" i="11" s="1"/>
  <c r="B40" i="1"/>
  <c r="F24" i="74" s="1"/>
  <c r="D16" i="43"/>
  <c r="C16" i="43" s="1"/>
  <c r="D45" i="9"/>
  <c r="D46" i="9"/>
  <c r="V8" i="59"/>
  <c r="F7" i="59"/>
  <c r="F6" i="59" s="1"/>
  <c r="E60" i="40"/>
  <c r="C28" i="59"/>
  <c r="D27" i="59"/>
  <c r="F68" i="15"/>
  <c r="B3" i="3"/>
  <c r="AT6" i="3" s="1"/>
  <c r="C33" i="21"/>
  <c r="E115" i="46"/>
  <c r="F115" i="46" s="1"/>
  <c r="G115" i="46" s="1"/>
  <c r="H115" i="46" s="1"/>
  <c r="AC13" i="39"/>
  <c r="W13" i="39"/>
  <c r="AA13" i="39"/>
  <c r="S13" i="39"/>
  <c r="S11" i="21"/>
  <c r="AA11" i="21"/>
  <c r="AB13" i="39"/>
  <c r="U13" i="39"/>
  <c r="W11" i="21"/>
  <c r="AC11" i="21"/>
  <c r="U11" i="21"/>
  <c r="AB11" i="21"/>
  <c r="U43" i="39"/>
  <c r="AB43" i="39"/>
  <c r="E294" i="3"/>
  <c r="E343" i="3"/>
  <c r="E109" i="3"/>
  <c r="E412" i="3"/>
  <c r="E568" i="3"/>
  <c r="E332" i="3"/>
  <c r="E166" i="3"/>
  <c r="E451" i="3"/>
  <c r="E291" i="3"/>
  <c r="E449" i="3"/>
  <c r="E12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396" i="3"/>
  <c r="E392" i="3"/>
  <c r="E360" i="3"/>
  <c r="E144" i="3"/>
  <c r="E506" i="3"/>
  <c r="E497" i="3"/>
  <c r="E553" i="3"/>
  <c r="E563" i="3"/>
  <c r="E268" i="3"/>
  <c r="E565" i="3"/>
  <c r="AO6" i="3"/>
  <c r="E421" i="3"/>
  <c r="E132" i="3"/>
  <c r="E91" i="3"/>
  <c r="E359" i="3"/>
  <c r="E391" i="3"/>
  <c r="E127" i="3"/>
  <c r="E215" i="3"/>
  <c r="E548" i="3"/>
  <c r="E454" i="3"/>
  <c r="AK6" i="3"/>
  <c r="E41" i="3"/>
  <c r="E92" i="3"/>
  <c r="E202" i="3"/>
  <c r="E304" i="3"/>
  <c r="E404" i="3"/>
  <c r="E441" i="3"/>
  <c r="E415" i="3"/>
  <c r="E28" i="3"/>
  <c r="E168" i="3"/>
  <c r="E407" i="3"/>
  <c r="E23" i="3"/>
  <c r="AM6" i="3"/>
  <c r="E280" i="3"/>
  <c r="E157" i="3"/>
  <c r="E492" i="3"/>
  <c r="E89" i="3"/>
  <c r="E170" i="3"/>
  <c r="E32" i="3"/>
  <c r="E447" i="3"/>
  <c r="Q6" i="3"/>
  <c r="E500" i="3"/>
  <c r="AE6" i="3"/>
  <c r="E535" i="3"/>
  <c r="E13" i="3"/>
  <c r="U7" i="21"/>
  <c r="M14" i="1"/>
  <c r="S7" i="21"/>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24" i="74" l="1"/>
  <c r="C23" i="74"/>
  <c r="C38" i="74"/>
  <c r="C65" i="74"/>
  <c r="C59" i="74"/>
  <c r="C58" i="74" s="1"/>
  <c r="E49" i="3"/>
  <c r="E283" i="3"/>
  <c r="E438" i="3"/>
  <c r="J6" i="3"/>
  <c r="E75" i="3"/>
  <c r="E426" i="3"/>
  <c r="E463" i="3"/>
  <c r="E460" i="3"/>
  <c r="E249" i="3"/>
  <c r="E450" i="3"/>
  <c r="E464" i="3"/>
  <c r="AN6" i="3"/>
  <c r="E194" i="3"/>
  <c r="E561" i="3"/>
  <c r="E444" i="3"/>
  <c r="E179" i="3"/>
  <c r="E317" i="3"/>
  <c r="E399" i="3"/>
  <c r="E223" i="3"/>
  <c r="E100" i="3"/>
  <c r="E237" i="3"/>
  <c r="E44" i="3"/>
  <c r="E408" i="3"/>
  <c r="E250" i="3"/>
  <c r="E230" i="3"/>
  <c r="E62" i="3"/>
  <c r="E103" i="3"/>
  <c r="E299" i="3"/>
  <c r="AA6" i="3"/>
  <c r="E31" i="3"/>
  <c r="E221" i="3"/>
  <c r="E437" i="3"/>
  <c r="E446" i="3"/>
  <c r="E241" i="3"/>
  <c r="E413" i="3"/>
  <c r="E318" i="3"/>
  <c r="E341" i="3"/>
  <c r="E542" i="3"/>
  <c r="E515" i="3"/>
  <c r="E518" i="3"/>
  <c r="E338" i="3"/>
  <c r="E181" i="3"/>
  <c r="E284" i="3"/>
  <c r="E320" i="3"/>
  <c r="E286" i="3"/>
  <c r="E101" i="3"/>
  <c r="E99" i="3"/>
  <c r="E82" i="3"/>
  <c r="E263" i="3"/>
  <c r="E186" i="3"/>
  <c r="E470" i="3"/>
  <c r="E231" i="3"/>
  <c r="E459" i="3"/>
  <c r="E22" i="3"/>
  <c r="E135" i="3"/>
  <c r="E86" i="3"/>
  <c r="E544" i="3"/>
  <c r="E519" i="3"/>
  <c r="E352" i="3"/>
  <c r="E350" i="3"/>
  <c r="E366" i="3"/>
  <c r="E344" i="3"/>
  <c r="E531" i="3"/>
  <c r="E171" i="3"/>
  <c r="E236" i="3"/>
  <c r="E353" i="3"/>
  <c r="E334" i="3"/>
  <c r="E324" i="3"/>
  <c r="E228" i="3"/>
  <c r="E559" i="3"/>
  <c r="E40" i="3"/>
  <c r="AF6" i="3"/>
  <c r="E290" i="3"/>
  <c r="E281" i="3"/>
  <c r="E198" i="3"/>
  <c r="E51" i="3"/>
  <c r="E466" i="3"/>
  <c r="E369" i="3"/>
  <c r="E543" i="3"/>
  <c r="E214" i="3"/>
  <c r="E467" i="3"/>
  <c r="E507" i="3"/>
  <c r="E232" i="3"/>
  <c r="E184" i="3"/>
  <c r="E397" i="3"/>
  <c r="E54" i="3"/>
  <c r="E158" i="3"/>
  <c r="E356" i="3"/>
  <c r="E484" i="3"/>
  <c r="E301" i="3"/>
  <c r="E137" i="3"/>
  <c r="E244" i="3"/>
  <c r="E406" i="3"/>
  <c r="E504" i="3"/>
  <c r="E510" i="3"/>
  <c r="E368" i="3"/>
  <c r="AL6" i="3"/>
  <c r="E351" i="3"/>
  <c r="E163" i="3"/>
  <c r="E226" i="3"/>
  <c r="E169" i="3"/>
  <c r="E106" i="3"/>
  <c r="E210" i="3"/>
  <c r="E90" i="3"/>
  <c r="E307" i="3"/>
  <c r="E177" i="3"/>
  <c r="E217" i="3"/>
  <c r="E403" i="3"/>
  <c r="E538" i="3"/>
  <c r="E530" i="3"/>
  <c r="E379" i="3"/>
  <c r="E300" i="3"/>
  <c r="E529" i="3"/>
  <c r="E433" i="3"/>
  <c r="E61" i="3"/>
  <c r="E285" i="3"/>
  <c r="E197" i="3"/>
  <c r="E58" i="3"/>
  <c r="E400" i="3"/>
  <c r="E279" i="3"/>
  <c r="E417" i="3"/>
  <c r="E172" i="3"/>
  <c r="E203" i="3"/>
  <c r="E420" i="3"/>
  <c r="E398" i="3"/>
  <c r="E174" i="3"/>
  <c r="E218" i="3"/>
  <c r="E199" i="3"/>
  <c r="E390" i="3"/>
  <c r="Y6" i="3"/>
  <c r="E211" i="3"/>
  <c r="E196" i="3"/>
  <c r="E527" i="3"/>
  <c r="U6" i="3"/>
  <c r="O6" i="3"/>
  <c r="E139" i="3"/>
  <c r="E539" i="3"/>
  <c r="E136" i="3"/>
  <c r="E27" i="3"/>
  <c r="E468" i="3"/>
  <c r="E140" i="3"/>
  <c r="E376" i="3"/>
  <c r="C21" i="4"/>
  <c r="O5" i="54" s="1"/>
  <c r="B45" i="63" s="1"/>
  <c r="D16" i="12"/>
  <c r="D19" i="12" s="1"/>
  <c r="C19" i="12" s="1"/>
  <c r="E381" i="3"/>
  <c r="E289" i="3"/>
  <c r="E97" i="3"/>
  <c r="E119" i="3"/>
  <c r="E33" i="3"/>
  <c r="E547" i="3"/>
  <c r="E274" i="3"/>
  <c r="E201" i="3"/>
  <c r="E295" i="3"/>
  <c r="E161" i="3"/>
  <c r="E270" i="3"/>
  <c r="E395" i="3"/>
  <c r="E265" i="3"/>
  <c r="E550" i="3"/>
  <c r="E34" i="3"/>
  <c r="E141" i="3"/>
  <c r="E80" i="3"/>
  <c r="E367" i="3"/>
  <c r="E30" i="3"/>
  <c r="E165" i="3"/>
  <c r="E131" i="3"/>
  <c r="E414" i="3"/>
  <c r="E418" i="3"/>
  <c r="E411" i="3"/>
  <c r="E520" i="3"/>
  <c r="Z6" i="3"/>
  <c r="I6" i="3"/>
  <c r="E266" i="3"/>
  <c r="E321" i="3"/>
  <c r="E195" i="3"/>
  <c r="E115" i="3"/>
  <c r="E333" i="3"/>
  <c r="E206" i="3"/>
  <c r="E475" i="3"/>
  <c r="E503" i="3"/>
  <c r="E175" i="3"/>
  <c r="E112" i="3"/>
  <c r="E273" i="3"/>
  <c r="E566" i="3"/>
  <c r="E571" i="3"/>
  <c r="E219" i="3"/>
  <c r="T6" i="3"/>
  <c r="E373" i="3"/>
  <c r="E216" i="3"/>
  <c r="E325" i="3"/>
  <c r="E552" i="3"/>
  <c r="E77" i="3"/>
  <c r="E430" i="3"/>
  <c r="E222" i="3"/>
  <c r="E83" i="3"/>
  <c r="E375" i="3"/>
  <c r="E282" i="3"/>
  <c r="E394" i="3"/>
  <c r="E348" i="3"/>
  <c r="E192" i="3"/>
  <c r="E557" i="3"/>
  <c r="E346" i="3"/>
  <c r="E328" i="3"/>
  <c r="E130" i="3"/>
  <c r="E340" i="3"/>
  <c r="E483" i="3"/>
  <c r="E208" i="3"/>
  <c r="E56" i="3"/>
  <c r="E15" i="3"/>
  <c r="AJ6" i="3"/>
  <c r="E456" i="3"/>
  <c r="E319" i="3"/>
  <c r="E491" i="3"/>
  <c r="E256" i="3"/>
  <c r="E29" i="3"/>
  <c r="E458" i="3"/>
  <c r="E87" i="3"/>
  <c r="E133" i="3"/>
  <c r="E242" i="3"/>
  <c r="E160" i="3"/>
  <c r="E96" i="3"/>
  <c r="E416" i="3"/>
  <c r="E243" i="3"/>
  <c r="E465" i="3"/>
  <c r="E116" i="3"/>
  <c r="L6" i="3"/>
  <c r="E37" i="3"/>
  <c r="N6" i="3"/>
  <c r="E545" i="3"/>
  <c r="E536" i="3"/>
  <c r="E537" i="3"/>
  <c r="E337" i="3"/>
  <c r="E20" i="3"/>
  <c r="E358" i="3"/>
  <c r="E377" i="3"/>
  <c r="E511" i="3"/>
  <c r="S6" i="3"/>
  <c r="AB6" i="3"/>
  <c r="E487" i="3"/>
  <c r="E310" i="3"/>
  <c r="E384" i="3"/>
  <c r="E501" i="3"/>
  <c r="E159" i="3"/>
  <c r="E323"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22" i="3"/>
  <c r="E63" i="3"/>
  <c r="E490" i="3"/>
  <c r="E225" i="3"/>
  <c r="E78" i="3"/>
  <c r="E308" i="3"/>
  <c r="E259" i="3"/>
  <c r="E365" i="3"/>
  <c r="E305" i="3"/>
  <c r="E204" i="3"/>
  <c r="E445" i="3"/>
  <c r="E245" i="3"/>
  <c r="E425" i="3"/>
  <c r="E247" i="3"/>
  <c r="E148" i="3"/>
  <c r="E410" i="3"/>
  <c r="E64" i="3"/>
  <c r="E94" i="3"/>
  <c r="E6" i="6"/>
  <c r="D17" i="59"/>
  <c r="C16" i="59"/>
  <c r="K15" i="1"/>
  <c r="E30" i="6"/>
  <c r="E156" i="3"/>
  <c r="E455" i="3"/>
  <c r="E48" i="3"/>
  <c r="E178" i="3"/>
  <c r="E60" i="3"/>
  <c r="E292" i="3"/>
  <c r="I3" i="6"/>
  <c r="E549" i="3"/>
  <c r="E149" i="3"/>
  <c r="E209" i="3"/>
  <c r="E59" i="3"/>
  <c r="E297" i="3"/>
  <c r="E443" i="3"/>
  <c r="E383" i="3"/>
  <c r="AS6" i="3"/>
  <c r="E357" i="3"/>
  <c r="E478" i="3"/>
  <c r="E205" i="3"/>
  <c r="E374" i="3"/>
  <c r="E428" i="3"/>
  <c r="E36" i="3"/>
  <c r="E238" i="3"/>
  <c r="E471" i="3"/>
  <c r="E143" i="3"/>
  <c r="E389" i="3"/>
  <c r="E200" i="3"/>
  <c r="E327" i="3"/>
  <c r="AD6" i="3"/>
  <c r="X6" i="3"/>
  <c r="E457" i="3"/>
  <c r="E46" i="3"/>
  <c r="E152" i="3"/>
  <c r="E69" i="3"/>
  <c r="M6" i="3"/>
  <c r="E380" i="3"/>
  <c r="E316" i="3"/>
  <c r="E254" i="3"/>
  <c r="E494" i="3"/>
  <c r="E167" i="3"/>
  <c r="E562" i="3"/>
  <c r="E269" i="3"/>
  <c r="E42" i="3"/>
  <c r="E45" i="3"/>
  <c r="E183" i="3"/>
  <c r="AY6" i="3"/>
  <c r="AY217" i="3" s="1"/>
  <c r="E262" i="3"/>
  <c r="E164" i="3"/>
  <c r="E424" i="3"/>
  <c r="E311" i="3"/>
  <c r="E349" i="3"/>
  <c r="E528" i="3"/>
  <c r="E117" i="3"/>
  <c r="E439" i="3"/>
  <c r="E147" i="3"/>
  <c r="E68" i="3"/>
  <c r="E523" i="3"/>
  <c r="E252" i="3"/>
  <c r="E138" i="3"/>
  <c r="E496" i="3"/>
  <c r="E330" i="3"/>
  <c r="E335" i="3"/>
  <c r="E495" i="3"/>
  <c r="E354" i="3"/>
  <c r="E474" i="3"/>
  <c r="E50" i="3"/>
  <c r="E489" i="3"/>
  <c r="E502" i="3"/>
  <c r="E314" i="3"/>
  <c r="E150" i="3"/>
  <c r="E362" i="3"/>
  <c r="E331" i="3"/>
  <c r="E440" i="3"/>
  <c r="E72" i="3"/>
  <c r="E345" i="3"/>
  <c r="E513" i="3"/>
  <c r="E65" i="3"/>
  <c r="V6" i="3"/>
  <c r="E264" i="3"/>
  <c r="E486" i="3"/>
  <c r="E67" i="3"/>
  <c r="E275" i="3"/>
  <c r="E189" i="3"/>
  <c r="E473" i="3"/>
  <c r="E47" i="3"/>
  <c r="E213" i="3"/>
  <c r="E253" i="3"/>
  <c r="E481" i="3"/>
  <c r="E326" i="3"/>
  <c r="E382" i="3"/>
  <c r="E240" i="3"/>
  <c r="E71" i="3"/>
  <c r="E488" i="3"/>
  <c r="E227" i="3"/>
  <c r="E516" i="3"/>
  <c r="E572" i="3"/>
  <c r="E522" i="3"/>
  <c r="E342" i="3"/>
  <c r="E364" i="3"/>
  <c r="E378" i="3"/>
  <c r="E118" i="3"/>
  <c r="E14" i="3"/>
  <c r="E339" i="3"/>
  <c r="E153" i="3"/>
  <c r="E432" i="3"/>
  <c r="E260" i="3"/>
  <c r="E436" i="3"/>
  <c r="E173" i="3"/>
  <c r="E558" i="3"/>
  <c r="E499" i="3"/>
  <c r="E355" i="3"/>
  <c r="E555" i="3"/>
  <c r="E191" i="3"/>
  <c r="E120" i="3"/>
  <c r="E229" i="3"/>
  <c r="E235" i="3"/>
  <c r="E162" i="3"/>
  <c r="AQ6" i="3"/>
  <c r="E453" i="3"/>
  <c r="E347" i="3"/>
  <c r="E145" i="3"/>
  <c r="E255" i="3"/>
  <c r="E402" i="3"/>
  <c r="E233" i="3"/>
  <c r="E190" i="3"/>
  <c r="E98" i="3"/>
  <c r="E110" i="3"/>
  <c r="E435" i="3"/>
  <c r="E187" i="3"/>
  <c r="AR6" i="3"/>
  <c r="E336" i="3"/>
  <c r="E248" i="3"/>
  <c r="E73" i="3"/>
  <c r="E207" i="3"/>
  <c r="E556" i="3"/>
  <c r="E52" i="3"/>
  <c r="E257" i="3"/>
  <c r="E85" i="3"/>
  <c r="E469" i="3"/>
  <c r="E185" i="3"/>
  <c r="E142" i="3"/>
  <c r="E21" i="3"/>
  <c r="E193" i="3"/>
  <c r="D22" i="12"/>
  <c r="C22" i="12" s="1"/>
  <c r="C20" i="12" s="1"/>
  <c r="D13" i="11"/>
  <c r="C13" i="11" s="1"/>
  <c r="C7" i="66"/>
  <c r="C8" i="66"/>
  <c r="E276" i="3"/>
  <c r="E43" i="3"/>
  <c r="E479" i="3"/>
  <c r="E258" i="3"/>
  <c r="E25" i="3"/>
  <c r="E102" i="3"/>
  <c r="E272" i="3"/>
  <c r="E401" i="3"/>
  <c r="E79" i="3"/>
  <c r="E363" i="3"/>
  <c r="E405" i="3"/>
  <c r="E313" i="3"/>
  <c r="E38" i="3"/>
  <c r="E431" i="3"/>
  <c r="E84" i="3"/>
  <c r="AH6" i="3"/>
  <c r="R6" i="3"/>
  <c r="E534" i="3"/>
  <c r="T28" i="59"/>
  <c r="D28" i="59"/>
  <c r="E113" i="3"/>
  <c r="W6" i="3"/>
  <c r="E53" i="3"/>
  <c r="E151" i="3"/>
  <c r="E70" i="3"/>
  <c r="AP6" i="3"/>
  <c r="P6" i="3"/>
  <c r="E125" i="3"/>
  <c r="E387" i="3"/>
  <c r="E104" i="3"/>
  <c r="E278" i="3"/>
  <c r="E427" i="3"/>
  <c r="H33" i="21"/>
  <c r="J33" i="21"/>
  <c r="F33" i="21"/>
  <c r="D113" i="46"/>
  <c r="G43" i="35"/>
  <c r="H43" i="35" s="1"/>
  <c r="AY53" i="3"/>
  <c r="AY116" i="3"/>
  <c r="AY336" i="3"/>
  <c r="AY111" i="3"/>
  <c r="AY171" i="3"/>
  <c r="AY388" i="3"/>
  <c r="AY415" i="3"/>
  <c r="AY208" i="3"/>
  <c r="AY447" i="3"/>
  <c r="AY483" i="3"/>
  <c r="AY60" i="3"/>
  <c r="AY322" i="3"/>
  <c r="BO6" i="3"/>
  <c r="AY468" i="3"/>
  <c r="BM6" i="3"/>
  <c r="AY18" i="3"/>
  <c r="AY451" i="3"/>
  <c r="AY444" i="3"/>
  <c r="AY196" i="3"/>
  <c r="AY521" i="3"/>
  <c r="AY508" i="3"/>
  <c r="AY256" i="3"/>
  <c r="AY314" i="3"/>
  <c r="AY485" i="3"/>
  <c r="AY174" i="3"/>
  <c r="AY71" i="3"/>
  <c r="AY363" i="3"/>
  <c r="AY110" i="3"/>
  <c r="AY212" i="3"/>
  <c r="AY419" i="3"/>
  <c r="AY482" i="3"/>
  <c r="AY170" i="3"/>
  <c r="AY411" i="3"/>
  <c r="BT6" i="3"/>
  <c r="AY553" i="3"/>
  <c r="AY344" i="3"/>
  <c r="AY401" i="3"/>
  <c r="AY455" i="3"/>
  <c r="AY539" i="3"/>
  <c r="AY338" i="3"/>
  <c r="AY466" i="3"/>
  <c r="AY97" i="3"/>
  <c r="AY57" i="3"/>
  <c r="AY149" i="3"/>
  <c r="AY372" i="3"/>
  <c r="AY450" i="3"/>
  <c r="AY330" i="3"/>
  <c r="AY414" i="3"/>
  <c r="AY266" i="3"/>
  <c r="BL6" i="3"/>
  <c r="AY131" i="3"/>
  <c r="AY151" i="3"/>
  <c r="AY517" i="3"/>
  <c r="AY94" i="3"/>
  <c r="AY102" i="3"/>
  <c r="AY470" i="3"/>
  <c r="AY19" i="3"/>
  <c r="AY263" i="3"/>
  <c r="AY270" i="3"/>
  <c r="AY93" i="3"/>
  <c r="AY478" i="3"/>
  <c r="AY567" i="3"/>
  <c r="AY497" i="3"/>
  <c r="AY15" i="3"/>
  <c r="AY287" i="3"/>
  <c r="AY489" i="3"/>
  <c r="AY500" i="3"/>
  <c r="AY166" i="3"/>
  <c r="AY320" i="3"/>
  <c r="AY92" i="3"/>
  <c r="AY464" i="3"/>
  <c r="AY361" i="3"/>
  <c r="D3" i="6"/>
  <c r="C40" i="39" s="1"/>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O14" i="1"/>
  <c r="B5" i="59"/>
  <c r="S5" i="59" s="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F7" i="67"/>
  <c r="C29" i="74" l="1"/>
  <c r="AY221" i="3"/>
  <c r="AY446" i="3"/>
  <c r="AY148" i="3"/>
  <c r="AY443" i="3"/>
  <c r="AY64" i="3"/>
  <c r="AY493" i="3"/>
  <c r="AY359" i="3"/>
  <c r="AY257" i="3"/>
  <c r="AY28" i="3"/>
  <c r="AY204" i="3"/>
  <c r="AY562" i="3"/>
  <c r="AY147" i="3"/>
  <c r="AY356" i="3"/>
  <c r="AY218" i="3"/>
  <c r="AY428" i="3"/>
  <c r="AY465" i="3"/>
  <c r="AY341" i="3"/>
  <c r="AY123" i="3"/>
  <c r="AY333" i="3"/>
  <c r="AY481" i="3"/>
  <c r="AY43" i="3"/>
  <c r="AY305" i="3"/>
  <c r="AY161" i="3"/>
  <c r="AY50" i="3"/>
  <c r="AY265" i="3"/>
  <c r="AY343" i="3"/>
  <c r="AY402" i="3"/>
  <c r="AY234" i="3"/>
  <c r="AY47" i="3"/>
  <c r="AY159" i="3"/>
  <c r="AY486" i="3"/>
  <c r="AY291" i="3"/>
  <c r="AY168" i="3"/>
  <c r="AY525" i="3"/>
  <c r="AY430" i="3"/>
  <c r="AY29" i="3"/>
  <c r="AY407" i="3"/>
  <c r="AY461" i="3"/>
  <c r="AY186" i="3"/>
  <c r="AY540" i="3"/>
  <c r="AY563" i="3"/>
  <c r="AY84" i="3"/>
  <c r="AY192" i="3"/>
  <c r="AY512" i="3"/>
  <c r="AY362" i="3"/>
  <c r="AY454" i="3"/>
  <c r="AY48" i="3"/>
  <c r="AY237" i="3"/>
  <c r="AY306" i="3"/>
  <c r="AY541" i="3"/>
  <c r="AY477" i="3"/>
  <c r="BQ6" i="3"/>
  <c r="AY329" i="3"/>
  <c r="BD6" i="3"/>
  <c r="AY424" i="3"/>
  <c r="AY556" i="3"/>
  <c r="AY543" i="3"/>
  <c r="AY302" i="3"/>
  <c r="AY294" i="3"/>
  <c r="AY49" i="3"/>
  <c r="AY144" i="3"/>
  <c r="AY87" i="3"/>
  <c r="AY528" i="3"/>
  <c r="AY188" i="3"/>
  <c r="AY132" i="3"/>
  <c r="AY435" i="3"/>
  <c r="BK6" i="3"/>
  <c r="AY70" i="3"/>
  <c r="AY139" i="3"/>
  <c r="AY467" i="3"/>
  <c r="AY175" i="3"/>
  <c r="AY504" i="3"/>
  <c r="AY41" i="3"/>
  <c r="AY88" i="3"/>
  <c r="AY146" i="3"/>
  <c r="AY194" i="3"/>
  <c r="AY187" i="3"/>
  <c r="AY154" i="3"/>
  <c r="AY323" i="3"/>
  <c r="AY107" i="3"/>
  <c r="AY546"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AY26" i="3"/>
  <c r="C16" i="12"/>
  <c r="AY569" i="3"/>
  <c r="AY544" i="3"/>
  <c r="BI6" i="3"/>
  <c r="AY176" i="3"/>
  <c r="AY321" i="3"/>
  <c r="AY246" i="3"/>
  <c r="AY400" i="3"/>
  <c r="AY416" i="3"/>
  <c r="AY58" i="3"/>
  <c r="AY386" i="3"/>
  <c r="AY552" i="3"/>
  <c r="AY484" i="3"/>
  <c r="AY387" i="3"/>
  <c r="AY215" i="3"/>
  <c r="AY167" i="3"/>
  <c r="AY96" i="3"/>
  <c r="AY274" i="3"/>
  <c r="AY389" i="3"/>
  <c r="AY448" i="3"/>
  <c r="AY537" i="3"/>
  <c r="AY52" i="3"/>
  <c r="AY308" i="3"/>
  <c r="AY555" i="3"/>
  <c r="AY542" i="3"/>
  <c r="AY241" i="3"/>
  <c r="AY348" i="3"/>
  <c r="AY398" i="3"/>
  <c r="AY202" i="3"/>
  <c r="AY384" i="3"/>
  <c r="AY45" i="3"/>
  <c r="AY95" i="3"/>
  <c r="AY37" i="3"/>
  <c r="AY39" i="3"/>
  <c r="AY278" i="3"/>
  <c r="AY335" i="3"/>
  <c r="AY409" i="3"/>
  <c r="AY32" i="3"/>
  <c r="AY458" i="3"/>
  <c r="AY242" i="3"/>
  <c r="AY385" i="3"/>
  <c r="AY220" i="3"/>
  <c r="AY404" i="3"/>
  <c r="AY534" i="3"/>
  <c r="AY434" i="3"/>
  <c r="AY334" i="3"/>
  <c r="AY469" i="3"/>
  <c r="AY231" i="3"/>
  <c r="AY347" i="3"/>
  <c r="AY533" i="3"/>
  <c r="AY462" i="3"/>
  <c r="AY536" i="3"/>
  <c r="AY523" i="3"/>
  <c r="AY453" i="3"/>
  <c r="AY472" i="3"/>
  <c r="AY193" i="3"/>
  <c r="AY227" i="3"/>
  <c r="AY191" i="3"/>
  <c r="AY412" i="3"/>
  <c r="AY376" i="3"/>
  <c r="AY463" i="3"/>
  <c r="AY349" i="3"/>
  <c r="AY77" i="3"/>
  <c r="AY441" i="3"/>
  <c r="AY243" i="3"/>
  <c r="BB6" i="3"/>
  <c r="AY487" i="3"/>
  <c r="AY545" i="3"/>
  <c r="AY190" i="3"/>
  <c r="AY90" i="3"/>
  <c r="AY565" i="3"/>
  <c r="AY510" i="3"/>
  <c r="AY342" i="3"/>
  <c r="AY69" i="3"/>
  <c r="AY301" i="3"/>
  <c r="AY353" i="3"/>
  <c r="AY554" i="3"/>
  <c r="AY547" i="3"/>
  <c r="AY195" i="3"/>
  <c r="AY328" i="3"/>
  <c r="AY399" i="3"/>
  <c r="AY367" i="3"/>
  <c r="AY21" i="3"/>
  <c r="AY383" i="3"/>
  <c r="BE6" i="3"/>
  <c r="AY570" i="3"/>
  <c r="AY261" i="3"/>
  <c r="AY460" i="3"/>
  <c r="AY488" i="3"/>
  <c r="AY423" i="3"/>
  <c r="AY205" i="3"/>
  <c r="AY210" i="3"/>
  <c r="AY189" i="3"/>
  <c r="AY40" i="3"/>
  <c r="AY108" i="3"/>
  <c r="AY185" i="3"/>
  <c r="AY299" i="3"/>
  <c r="AY503" i="3"/>
  <c r="AY518" i="3"/>
  <c r="AY413" i="3"/>
  <c r="AY268" i="3"/>
  <c r="AY293" i="3"/>
  <c r="AY81" i="3"/>
  <c r="AY427" i="3"/>
  <c r="AY396" i="3"/>
  <c r="AY283" i="3"/>
  <c r="AY290" i="3"/>
  <c r="AY494" i="3"/>
  <c r="AY394" i="3"/>
  <c r="AY172" i="3"/>
  <c r="AY432" i="3"/>
  <c r="AY22" i="3"/>
  <c r="AY318" i="3"/>
  <c r="AY34" i="3"/>
  <c r="AY431" i="3"/>
  <c r="AY25" i="3"/>
  <c r="AY374" i="3"/>
  <c r="AY99" i="3"/>
  <c r="AY442" i="3"/>
  <c r="AY272" i="3"/>
  <c r="AY459" i="3"/>
  <c r="AY141" i="3"/>
  <c r="AY250" i="3"/>
  <c r="AY118" i="3"/>
  <c r="AY100" i="3"/>
  <c r="AY549" i="3"/>
  <c r="AY422" i="3"/>
  <c r="AY295" i="3"/>
  <c r="AY207" i="3"/>
  <c r="AY319" i="3"/>
  <c r="AY519" i="3"/>
  <c r="BF6" i="3"/>
  <c r="AY68" i="3"/>
  <c r="AY276" i="3"/>
  <c r="AY313" i="3"/>
  <c r="AY298" i="3"/>
  <c r="AY499" i="3"/>
  <c r="AY173" i="3"/>
  <c r="AY33" i="3"/>
  <c r="AY292" i="3"/>
  <c r="AY225" i="3"/>
  <c r="AY27" i="3"/>
  <c r="AY558" i="3"/>
  <c r="BC6" i="3"/>
  <c r="AY178" i="3"/>
  <c r="AY104" i="3"/>
  <c r="AY211" i="3"/>
  <c r="BA6" i="3"/>
  <c r="AY219" i="3"/>
  <c r="AY158" i="3"/>
  <c r="AY273" i="3"/>
  <c r="AY437" i="3"/>
  <c r="AY254" i="3"/>
  <c r="AY311" i="3"/>
  <c r="AY216" i="3"/>
  <c r="AY303" i="3"/>
  <c r="AY162" i="3"/>
  <c r="AY288" i="3"/>
  <c r="AY392" i="3"/>
  <c r="AY42" i="3"/>
  <c r="AY86" i="3"/>
  <c r="AY76" i="3"/>
  <c r="AY337" i="3"/>
  <c r="AY117" i="3"/>
  <c r="AY36" i="3"/>
  <c r="AY501" i="3"/>
  <c r="AY429" i="3"/>
  <c r="AY101" i="3"/>
  <c r="AY346" i="3"/>
  <c r="AY350" i="3"/>
  <c r="AY65" i="3"/>
  <c r="AY181" i="3"/>
  <c r="AY317" i="3"/>
  <c r="AY31" i="3"/>
  <c r="AY105" i="3"/>
  <c r="AY67" i="3"/>
  <c r="AY129" i="3"/>
  <c r="AY324" i="3"/>
  <c r="AY16" i="3"/>
  <c r="AY445" i="3"/>
  <c r="AY259" i="3"/>
  <c r="AY127" i="3"/>
  <c r="AY140" i="3"/>
  <c r="AY66" i="3"/>
  <c r="AY222" i="3"/>
  <c r="AY505" i="3"/>
  <c r="AY357" i="3"/>
  <c r="AY436" i="3"/>
  <c r="AY410" i="3"/>
  <c r="AY125" i="3"/>
  <c r="AY403" i="3"/>
  <c r="AY391" i="3"/>
  <c r="AY61" i="3"/>
  <c r="AY59" i="3"/>
  <c r="AY473" i="3"/>
  <c r="AY439" i="3"/>
  <c r="AY452" i="3"/>
  <c r="AY249" i="3"/>
  <c r="AY248" i="3"/>
  <c r="AY378" i="3"/>
  <c r="AY38" i="3"/>
  <c r="AY13" i="3"/>
  <c r="AY457" i="3"/>
  <c r="AY269" i="3"/>
  <c r="AY326" i="3"/>
  <c r="AY232" i="3"/>
  <c r="AY142" i="3"/>
  <c r="AY516" i="3"/>
  <c r="AY157" i="3"/>
  <c r="AY420" i="3"/>
  <c r="AY230" i="3"/>
  <c r="AY115" i="3"/>
  <c r="AY238" i="3"/>
  <c r="AY364" i="3"/>
  <c r="AY479" i="3"/>
  <c r="AY264" i="3"/>
  <c r="AY182" i="3"/>
  <c r="AY128" i="3"/>
  <c r="AY82" i="3"/>
  <c r="AY106" i="3"/>
  <c r="AY315" i="3"/>
  <c r="AY35" i="3"/>
  <c r="AY369" i="3"/>
  <c r="AY138" i="3"/>
  <c r="AY239" i="3"/>
  <c r="AY152" i="3"/>
  <c r="AY417" i="3"/>
  <c r="AY492" i="3"/>
  <c r="BR6" i="3"/>
  <c r="AY327" i="3"/>
  <c r="AY557" i="3"/>
  <c r="AY289" i="3"/>
  <c r="AY331" i="3"/>
  <c r="AY177" i="3"/>
  <c r="AY300" i="3"/>
  <c r="AY345" i="3"/>
  <c r="AY89" i="3"/>
  <c r="AY51" i="3"/>
  <c r="BJ6" i="3"/>
  <c r="AY370" i="3"/>
  <c r="AY520" i="3"/>
  <c r="AY145" i="3"/>
  <c r="AY14" i="3"/>
  <c r="AY304" i="3"/>
  <c r="AY449" i="3"/>
  <c r="AY307" i="3"/>
  <c r="AY62" i="3"/>
  <c r="AY379" i="3"/>
  <c r="AY262" i="3"/>
  <c r="AY198" i="3"/>
  <c r="AY474" i="3"/>
  <c r="AY79" i="3"/>
  <c r="AY564" i="3"/>
  <c r="AY502" i="3"/>
  <c r="AY267" i="3"/>
  <c r="AY223" i="3"/>
  <c r="AY480" i="3"/>
  <c r="AY137" i="3"/>
  <c r="AY85" i="3"/>
  <c r="AY366" i="3"/>
  <c r="AY491" i="3"/>
  <c r="AY426" i="3"/>
  <c r="AY251" i="3"/>
  <c r="AY571" i="3"/>
  <c r="AY339" i="3"/>
  <c r="AY440" i="3"/>
  <c r="AY351" i="3"/>
  <c r="AY244" i="3"/>
  <c r="AY368" i="3"/>
  <c r="AY438" i="3"/>
  <c r="AY529" i="3"/>
  <c r="AY354" i="3"/>
  <c r="AY165" i="3"/>
  <c r="AY134" i="3"/>
  <c r="AY54" i="3"/>
  <c r="AY566" i="3"/>
  <c r="AY260" i="3"/>
  <c r="AY377" i="3"/>
  <c r="AY490" i="3"/>
  <c r="AY395" i="3"/>
  <c r="AY475" i="3"/>
  <c r="AY506" i="3"/>
  <c r="AY375" i="3"/>
  <c r="AY78" i="3"/>
  <c r="AY247" i="3"/>
  <c r="AY456" i="3"/>
  <c r="AY316" i="3"/>
  <c r="AY229" i="3"/>
  <c r="AY124" i="3"/>
  <c r="AY548" i="3"/>
  <c r="H6" i="3"/>
  <c r="E6" i="3" s="1"/>
  <c r="C15" i="59"/>
  <c r="D16" i="59"/>
  <c r="T16" i="59"/>
  <c r="AC6" i="3"/>
  <c r="S33" i="21"/>
  <c r="AA33" i="21"/>
  <c r="R48" i="21" s="1"/>
  <c r="U33" i="21"/>
  <c r="AB33" i="21"/>
  <c r="T48" i="21" s="1"/>
  <c r="G48" i="21" s="1"/>
  <c r="W33" i="21"/>
  <c r="AC33" i="21"/>
  <c r="V48" i="21" s="1"/>
  <c r="I48" i="21" s="1"/>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J19" i="74" l="1"/>
  <c r="J17" i="74" s="1"/>
  <c r="J14" i="74"/>
  <c r="C13" i="74"/>
  <c r="C56" i="74"/>
  <c r="C63" i="74" s="1"/>
  <c r="Q50" i="74"/>
  <c r="C36" i="74"/>
  <c r="C14" i="59"/>
  <c r="D15" i="59"/>
  <c r="B3" i="35"/>
  <c r="B2" i="35" s="1"/>
  <c r="E8" i="12"/>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C37" i="74" l="1"/>
  <c r="C30" i="74" s="1"/>
  <c r="C39" i="74" s="1"/>
  <c r="J35" i="74"/>
  <c r="Q71" i="74"/>
  <c r="C55" i="74"/>
  <c r="C64" i="74" s="1"/>
  <c r="C57" i="74" s="1"/>
  <c r="C66" i="74" s="1"/>
  <c r="C67" i="74" s="1"/>
  <c r="J22" i="74"/>
  <c r="J13" i="74"/>
  <c r="J23" i="74" s="1"/>
  <c r="D14" i="59"/>
  <c r="C13" i="59"/>
  <c r="C49" i="21"/>
  <c r="C48" i="21"/>
  <c r="E53" i="21"/>
  <c r="F53" i="21" s="1"/>
  <c r="E52" i="21"/>
  <c r="F52" i="21" s="1"/>
  <c r="I53" i="21"/>
  <c r="J53" i="21" s="1"/>
  <c r="O46" i="36"/>
  <c r="J7" i="36" s="1"/>
  <c r="F7" i="36"/>
  <c r="H7" i="36"/>
  <c r="J65" i="40"/>
  <c r="I67" i="40"/>
  <c r="J70" i="39"/>
  <c r="I72" i="39"/>
  <c r="B3" i="67"/>
  <c r="B4" i="67"/>
  <c r="J16" i="74" l="1"/>
  <c r="J25" i="74" s="1"/>
  <c r="Q70" i="74"/>
  <c r="Q69" i="74" s="1"/>
  <c r="C40" i="74"/>
  <c r="C46" i="74" s="1"/>
  <c r="J39" i="74"/>
  <c r="J40" i="74" s="1"/>
  <c r="C70" i="74"/>
  <c r="C12" i="59"/>
  <c r="D13" i="59"/>
  <c r="B3" i="21"/>
  <c r="C8" i="12"/>
  <c r="K70" i="39"/>
  <c r="J72" i="39"/>
  <c r="U7" i="36"/>
  <c r="AB7" i="36"/>
  <c r="T36" i="36" s="1"/>
  <c r="G36" i="36" s="1"/>
  <c r="AC7" i="36"/>
  <c r="V36" i="36" s="1"/>
  <c r="I36" i="36" s="1"/>
  <c r="W7" i="36"/>
  <c r="J67" i="40"/>
  <c r="K65" i="40"/>
  <c r="S7" i="36"/>
  <c r="AA7" i="36"/>
  <c r="R36" i="36" s="1"/>
  <c r="L51" i="74"/>
  <c r="Q68" i="74" l="1"/>
  <c r="Q66" i="74"/>
  <c r="Q76" i="74" s="1"/>
  <c r="Q57" i="74"/>
  <c r="Q63" i="74" s="1"/>
  <c r="C43" i="74"/>
  <c r="Q48" i="74"/>
  <c r="Q54" i="74" s="1"/>
  <c r="B2" i="74"/>
  <c r="B3" i="74" s="1"/>
  <c r="J42" i="74"/>
  <c r="J43" i="74" s="1"/>
  <c r="C11" i="59"/>
  <c r="D12" i="59"/>
  <c r="T12" i="59"/>
  <c r="R37" i="36"/>
  <c r="E36" i="36"/>
  <c r="I41" i="36" s="1"/>
  <c r="J41" i="36" s="1"/>
  <c r="K67" i="40"/>
  <c r="L65" i="40"/>
  <c r="G41" i="36"/>
  <c r="H41" i="36" s="1"/>
  <c r="G40" i="36"/>
  <c r="H40" i="36" s="1"/>
  <c r="I40" i="36"/>
  <c r="J40" i="36" s="1"/>
  <c r="L70" i="39"/>
  <c r="K72" i="39"/>
  <c r="C10" i="59" l="1"/>
  <c r="D11" i="59"/>
  <c r="L72" i="39"/>
  <c r="M70" i="39"/>
  <c r="M65" i="40"/>
  <c r="L67" i="40"/>
  <c r="E40" i="36"/>
  <c r="F40" i="36" s="1"/>
  <c r="E41" i="36"/>
  <c r="F41" i="36" s="1"/>
  <c r="C37" i="36"/>
  <c r="B3" i="36" s="1"/>
  <c r="B2" i="36" s="1"/>
  <c r="C36" i="36"/>
  <c r="C9" i="59" l="1"/>
  <c r="D10" i="59"/>
  <c r="N65" i="40"/>
  <c r="N67" i="40" s="1"/>
  <c r="M67" i="40"/>
  <c r="N70" i="39"/>
  <c r="N72" i="39" s="1"/>
  <c r="M72" i="39"/>
  <c r="C8" i="59" l="1"/>
  <c r="D9" i="59"/>
  <c r="J9" i="40"/>
  <c r="H9" i="40"/>
  <c r="F9" i="40"/>
  <c r="J9" i="39"/>
  <c r="H9" i="39"/>
  <c r="F9" i="39"/>
  <c r="T8" i="59" l="1"/>
  <c r="D8" i="59"/>
  <c r="C7" i="59"/>
  <c r="S9" i="39"/>
  <c r="AA9" i="39"/>
  <c r="W9" i="39"/>
  <c r="AC9" i="39"/>
  <c r="U9" i="40"/>
  <c r="AB9" i="40"/>
  <c r="T44" i="40" s="1"/>
  <c r="G44" i="40" s="1"/>
  <c r="U9" i="39"/>
  <c r="AB9" i="39"/>
  <c r="S9" i="40"/>
  <c r="AA9" i="40"/>
  <c r="R44" i="40" s="1"/>
  <c r="AC9" i="40"/>
  <c r="V44" i="40" s="1"/>
  <c r="I44" i="40" s="1"/>
  <c r="I48" i="40" s="1"/>
  <c r="J48" i="40" s="1"/>
  <c r="W9" i="40"/>
  <c r="D7" i="59" l="1"/>
  <c r="C6" i="59"/>
  <c r="R45" i="40"/>
  <c r="E44" i="40"/>
  <c r="G48" i="40"/>
  <c r="H48" i="40" s="1"/>
  <c r="G49" i="40"/>
  <c r="H49" i="40" s="1"/>
  <c r="D6" i="59" l="1"/>
  <c r="C5" i="59"/>
  <c r="I49" i="40"/>
  <c r="J49" i="40" s="1"/>
  <c r="E49" i="40"/>
  <c r="F49" i="40" s="1"/>
  <c r="E48" i="40"/>
  <c r="F48" i="40" s="1"/>
  <c r="C44" i="40"/>
  <c r="C45" i="40"/>
  <c r="T5" i="59" l="1"/>
  <c r="D5" i="59"/>
  <c r="M20" i="46" s="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E10" i="12" s="1"/>
  <c r="D9" i="12"/>
  <c r="K7" i="1"/>
  <c r="D20" i="6"/>
  <c r="F27" i="6"/>
  <c r="F31" i="6" s="1"/>
  <c r="F43" i="15"/>
  <c r="F9" i="44"/>
  <c r="M29" i="15"/>
  <c r="M31" i="44"/>
  <c r="F7" i="15"/>
  <c r="F70" i="15" l="1"/>
  <c r="C8" i="44"/>
  <c r="M9" i="44"/>
  <c r="J8" i="44" s="1"/>
  <c r="F49" i="15"/>
  <c r="C48" i="15" s="1"/>
  <c r="C47" i="15" s="1"/>
  <c r="C6" i="15"/>
  <c r="C10" i="15" s="1"/>
  <c r="M7" i="15"/>
  <c r="M7" i="1"/>
  <c r="E19" i="6"/>
  <c r="E32" i="6" s="1"/>
  <c r="L19" i="6" s="1"/>
  <c r="L27" i="6" s="1"/>
  <c r="E27" i="6"/>
  <c r="K19" i="6" s="1"/>
  <c r="K6" i="1"/>
  <c r="O7" i="1"/>
  <c r="P7" i="1" s="1"/>
  <c r="C18" i="44"/>
  <c r="C16" i="15"/>
  <c r="M17" i="15" l="1"/>
  <c r="J6" i="15"/>
  <c r="C65" i="15"/>
  <c r="C59" i="15"/>
  <c r="C34" i="44"/>
  <c r="C7" i="44"/>
  <c r="C40" i="44" s="1"/>
  <c r="C32" i="15"/>
  <c r="C5" i="15"/>
  <c r="C38" i="15" s="1"/>
  <c r="J20" i="44"/>
  <c r="J7" i="44"/>
  <c r="D19" i="6"/>
  <c r="D27" i="6" s="1"/>
  <c r="D31" i="6" s="1"/>
  <c r="I6" i="6" s="1"/>
  <c r="D3" i="21"/>
  <c r="B2" i="21" s="1"/>
  <c r="C9" i="12"/>
  <c r="C10" i="12" s="1"/>
  <c r="H16" i="1"/>
  <c r="K16" i="1"/>
  <c r="G16" i="1"/>
  <c r="M6" i="1"/>
  <c r="C15" i="43" s="1"/>
  <c r="Q16" i="1"/>
  <c r="AP16" i="1"/>
  <c r="F22" i="11" s="1"/>
  <c r="C22" i="11" s="1"/>
  <c r="C23" i="11" s="1"/>
  <c r="B2" i="11" s="1"/>
  <c r="M19" i="6"/>
  <c r="S6" i="1"/>
  <c r="E31" i="6"/>
  <c r="K22" i="6"/>
  <c r="K23" i="6"/>
  <c r="M23" i="6" s="1"/>
  <c r="I23" i="6" s="1"/>
  <c r="K24" i="6"/>
  <c r="M24" i="6" s="1"/>
  <c r="I24" i="6" s="1"/>
  <c r="K26" i="6"/>
  <c r="M26" i="6" s="1"/>
  <c r="I26" i="6" s="1"/>
  <c r="K21" i="6"/>
  <c r="K25" i="6"/>
  <c r="M25" i="6" s="1"/>
  <c r="I25" i="6" s="1"/>
  <c r="K20" i="6"/>
  <c r="J28" i="44" l="1"/>
  <c r="J31" i="44" s="1"/>
  <c r="J26" i="44"/>
  <c r="J5" i="15"/>
  <c r="J18" i="15"/>
  <c r="I5" i="6"/>
  <c r="S7" i="1"/>
  <c r="M20" i="6"/>
  <c r="I20" i="6" s="1"/>
  <c r="S8" i="1"/>
  <c r="M21" i="6"/>
  <c r="I21" i="6" s="1"/>
  <c r="S24" i="6"/>
  <c r="H24" i="6"/>
  <c r="R24" i="6" s="1"/>
  <c r="S9" i="1"/>
  <c r="M22" i="6"/>
  <c r="I22" i="6" s="1"/>
  <c r="S25" i="6"/>
  <c r="H25" i="6"/>
  <c r="R25" i="6" s="1"/>
  <c r="S26" i="6"/>
  <c r="H26" i="6"/>
  <c r="R26" i="6" s="1"/>
  <c r="H23" i="6"/>
  <c r="R23" i="6" s="1"/>
  <c r="S23" i="6"/>
  <c r="K27" i="6"/>
  <c r="B3" i="11"/>
  <c r="B4" i="11"/>
  <c r="B5" i="11"/>
  <c r="O6" i="1"/>
  <c r="O16" i="1" s="1"/>
  <c r="M16" i="1"/>
  <c r="N16" i="1" s="1"/>
  <c r="F22" i="43" s="1"/>
  <c r="M27" i="6"/>
  <c r="I19" i="6"/>
  <c r="F21" i="43"/>
  <c r="F33" i="12"/>
  <c r="C34" i="12" s="1"/>
  <c r="D33" i="12" s="1"/>
  <c r="J12" i="39"/>
  <c r="F12" i="39"/>
  <c r="H12" i="40"/>
  <c r="F12" i="40"/>
  <c r="J12" i="40"/>
  <c r="H12" i="39"/>
  <c r="C17" i="15"/>
  <c r="C19" i="44"/>
  <c r="J26" i="15" l="1"/>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M21" i="15"/>
  <c r="F35" i="15"/>
  <c r="C16" i="44"/>
  <c r="M23" i="44"/>
  <c r="C14" i="15"/>
  <c r="F37" i="44"/>
  <c r="J20" i="15" l="1"/>
  <c r="C36" i="44"/>
  <c r="J22" i="44"/>
  <c r="C34" i="15"/>
  <c r="F62" i="15"/>
  <c r="C61" i="15" s="1"/>
  <c r="C18" i="12"/>
  <c r="C23" i="12" s="1"/>
  <c r="C18" i="15"/>
  <c r="C15" i="15"/>
  <c r="C20" i="44"/>
  <c r="C17" i="44"/>
  <c r="T16" i="1"/>
  <c r="C50" i="39"/>
  <c r="C49" i="39"/>
  <c r="I54" i="39"/>
  <c r="J54" i="39" s="1"/>
  <c r="E54" i="39"/>
  <c r="F54" i="39" s="1"/>
  <c r="E53" i="39"/>
  <c r="F53" i="39" s="1"/>
  <c r="C18" i="43"/>
  <c r="C19" i="43" s="1"/>
  <c r="C21" i="43" s="1"/>
  <c r="R27" i="6"/>
  <c r="R6" i="1"/>
  <c r="R16" i="1" s="1"/>
  <c r="C21" i="44" l="1"/>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C26" i="15" l="1"/>
  <c r="C29" i="15" s="1"/>
  <c r="C36" i="15" s="1"/>
  <c r="C28" i="44"/>
  <c r="C31" i="44" s="1"/>
  <c r="J21" i="44" s="1"/>
  <c r="J19" i="44" s="1"/>
  <c r="F68" i="39"/>
  <c r="B2" i="39" s="1"/>
  <c r="B5" i="39" s="1"/>
  <c r="B5" i="43"/>
  <c r="B3" i="43"/>
  <c r="B4" i="43"/>
  <c r="C19" i="9"/>
  <c r="Q51" i="44" l="1"/>
  <c r="J16" i="44"/>
  <c r="C15" i="44"/>
  <c r="C39" i="44" s="1"/>
  <c r="C38" i="44"/>
  <c r="C35" i="44"/>
  <c r="C33" i="44" s="1"/>
  <c r="B4" i="39"/>
  <c r="B3" i="39"/>
  <c r="L43" i="9"/>
  <c r="C33" i="15"/>
  <c r="C31" i="15" s="1"/>
  <c r="C13" i="15"/>
  <c r="Q71" i="15" s="1"/>
  <c r="J19" i="15"/>
  <c r="J17" i="15" s="1"/>
  <c r="J14" i="15"/>
  <c r="Q50" i="15"/>
  <c r="J59" i="15"/>
  <c r="J60" i="15" s="1"/>
  <c r="C56" i="15"/>
  <c r="C21" i="9"/>
  <c r="C20" i="9"/>
  <c r="Q72" i="44" l="1"/>
  <c r="C43" i="44"/>
  <c r="C32" i="44"/>
  <c r="C42" i="44" s="1"/>
  <c r="Q71" i="44" s="1"/>
  <c r="J15" i="44"/>
  <c r="J25" i="44" s="1"/>
  <c r="J24" i="44"/>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57" i="15"/>
  <c r="C66" i="15" s="1"/>
  <c r="C67" i="15" s="1"/>
  <c r="C70" i="15" s="1"/>
  <c r="J39" i="15"/>
  <c r="J40" i="15" s="1"/>
  <c r="Q68" i="15"/>
  <c r="L57" i="15"/>
  <c r="L60" i="15" s="1"/>
  <c r="L46" i="15" s="1"/>
  <c r="C40" i="15"/>
  <c r="D10" i="12" s="1"/>
  <c r="Q70" i="15"/>
  <c r="Q69" i="15" s="1"/>
  <c r="J16" i="15"/>
  <c r="J25" i="15" s="1"/>
  <c r="Q69" i="44" l="1"/>
  <c r="B2" i="44"/>
  <c r="B3" i="44" s="1"/>
  <c r="C46" i="15"/>
  <c r="Q67" i="15"/>
  <c r="Q58" i="15"/>
  <c r="Q66" i="15"/>
  <c r="C43" i="15"/>
  <c r="D8" i="12" s="1"/>
  <c r="C6" i="12" s="1"/>
  <c r="Q57" i="15"/>
  <c r="B2" i="15"/>
  <c r="B3" i="15" s="1"/>
  <c r="Q48" i="15"/>
  <c r="Q54" i="15" s="1"/>
  <c r="J42" i="15"/>
  <c r="J43" i="15" s="1"/>
  <c r="Q59" i="44"/>
  <c r="Q64" i="44" s="1"/>
  <c r="Q68" i="44"/>
  <c r="Q77" i="44" s="1"/>
  <c r="C24" i="12" l="1"/>
  <c r="C29" i="12"/>
  <c r="B4" i="44"/>
  <c r="B5" i="44"/>
  <c r="Q63" i="15"/>
  <c r="Q76" i="15"/>
  <c r="C35" i="12" l="1"/>
  <c r="C33" i="12" s="1"/>
  <c r="C28" i="12"/>
  <c r="C26" i="12" s="1"/>
  <c r="C31" i="12" s="1"/>
  <c r="C30" i="12" s="1"/>
  <c r="C36" i="12" l="1"/>
  <c r="B2" i="12" s="1"/>
  <c r="B3" i="12" s="1"/>
  <c r="D19" i="9"/>
  <c r="D20" i="9"/>
  <c r="L44" i="9" l="1"/>
  <c r="G19" i="9"/>
  <c r="N43" i="9" s="1"/>
  <c r="D22" i="9"/>
  <c r="B5" i="12"/>
  <c r="B4" i="12"/>
  <c r="G20" i="9"/>
  <c r="D21" i="9"/>
  <c r="C32" i="9" l="1"/>
  <c r="C33" i="9" s="1"/>
  <c r="G22" i="9"/>
  <c r="G21" i="9"/>
  <c r="O43" i="9" l="1"/>
  <c r="C34" i="9"/>
  <c r="M38" i="9" s="1"/>
  <c r="K27" i="9" s="1"/>
  <c r="O38" i="9"/>
  <c r="K25" i="9" s="1"/>
  <c r="C35" i="9"/>
  <c r="F42" i="9" s="1"/>
  <c r="C42" i="9"/>
  <c r="N68" i="9" s="1"/>
  <c r="N38" i="9"/>
  <c r="K28" i="9" s="1"/>
  <c r="D42" i="9"/>
  <c r="Q5" i="54" s="1"/>
  <c r="B47" i="63" s="1"/>
  <c r="D14" i="66" l="1"/>
  <c r="B5" i="66" s="1"/>
  <c r="K26" i="9"/>
  <c r="E42" i="9"/>
  <c r="P5" i="54" s="1"/>
  <c r="B46" i="63" s="1"/>
  <c r="R5" i="54"/>
  <c r="B48" i="63" s="1"/>
  <c r="D63" i="9"/>
  <c r="C82" i="9" s="1"/>
  <c r="C81" i="9" s="1"/>
  <c r="C85" i="9" s="1"/>
  <c r="C86" i="9" s="1"/>
  <c r="D72" i="9" s="1"/>
  <c r="C44" i="9"/>
  <c r="O39" i="9" s="1"/>
  <c r="E14" i="66" l="1"/>
  <c r="F14" i="66"/>
  <c r="D70" i="9"/>
  <c r="G14" i="66"/>
  <c r="B6" i="66" s="1"/>
  <c r="C6" i="66" s="1"/>
  <c r="D44" i="9"/>
  <c r="C103" i="9"/>
  <c r="E44" i="9"/>
  <c r="N69" i="9"/>
  <c r="M86" i="9" s="1"/>
  <c r="N86" i="9" s="1"/>
  <c r="F44" i="9"/>
  <c r="D71" i="9"/>
  <c r="D66" i="9" s="1"/>
  <c r="N72" i="9" s="1"/>
  <c r="C90" i="9"/>
  <c r="C111" i="9"/>
  <c r="C104" i="9" s="1"/>
  <c r="D73" i="9"/>
  <c r="N73" i="9" s="1"/>
  <c r="C96" i="9"/>
  <c r="C91" i="9" s="1"/>
  <c r="R6" i="54"/>
  <c r="B50" i="63" s="1"/>
  <c r="K29" i="9"/>
  <c r="K30" i="9" s="1"/>
  <c r="D5" i="66"/>
  <c r="C5" i="66"/>
  <c r="M83" i="9" l="1"/>
  <c r="N83" i="9" s="1"/>
  <c r="D6" i="66"/>
  <c r="M88" i="9"/>
  <c r="N88" i="9" s="1"/>
  <c r="C113" i="9"/>
  <c r="C114" i="9" s="1"/>
  <c r="E114" i="9" s="1"/>
  <c r="E115" i="9" s="1"/>
  <c r="C97" i="9"/>
  <c r="C98" i="9" s="1"/>
  <c r="E98" i="9" s="1"/>
  <c r="E99" i="9" s="1"/>
  <c r="M84" i="9"/>
  <c r="N84" i="9" s="1"/>
  <c r="M85" i="9"/>
  <c r="N85" i="9" s="1"/>
  <c r="M87" i="9"/>
  <c r="N87" i="9" s="1"/>
  <c r="C115" i="9" l="1"/>
  <c r="D76" i="9" s="1"/>
  <c r="D74" i="9" s="1"/>
  <c r="N74" i="9" s="1"/>
  <c r="O77" i="9" s="1"/>
  <c r="O79" i="9" s="1"/>
  <c r="N89" i="9"/>
  <c r="O89" i="9" s="1"/>
  <c r="C99" i="9"/>
  <c r="Q77" i="9" l="1"/>
  <c r="O78"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<sst xmlns="http://schemas.openxmlformats.org/spreadsheetml/2006/main" count="7904" uniqueCount="3374">
  <si>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</si>
  <si>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</si>
  <si>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</si>
  <si>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</si>
  <si>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</si>
  <si>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</si>
  <si>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</si>
  <si>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</si>
  <si>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</si>
  <si>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</si>
  <si>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</si>
  <si>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</si>
  <si>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</si>
  <si>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</si>
  <si>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</si>
  <si>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</si>
  <si>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</si>
  <si>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</si>
  <si>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</si>
  <si>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</si>
  <si>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</si>
  <si>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</si>
  <si>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</si>
  <si>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</si>
  <si>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</si>
  <si>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</si>
  <si>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</si>
  <si>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</si>
  <si>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</si>
  <si>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</si>
  <si>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</si>
  <si>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</si>
  <si>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</si>
  <si>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</si>
  <si>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</si>
  <si>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</si>
  <si>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</si>
  <si>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</si>
  <si>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</si>
  <si>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</si>
  <si>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</si>
  <si>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</si>
  <si>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</si>
  <si>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</si>
  <si>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</si>
  <si>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</si>
  <si>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</si>
  <si>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</si>
  <si>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</si>
  <si>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</si>
  <si>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</si>
  <si>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</si>
  <si>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</si>
  <si>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</si>
  <si>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</si>
  <si>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</si>
  <si>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</si>
  <si>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</si>
  <si>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</si>
  <si>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</si>
  <si>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</si>
  <si>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</si>
  <si>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</si>
  <si>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</si>
  <si>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</si>
  <si>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</si>
  <si>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</si>
  <si>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</si>
  <si>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</si>
  <si>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</si>
  <si>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</si>
  <si>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</si>
  <si>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</si>
  <si>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</si>
  <si>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</si>
  <si>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</si>
  <si>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</si>
  <si>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</si>
  <si>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</si>
  <si>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</si>
  <si>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</si>
  <si>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</si>
  <si>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</si>
  <si>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</si>
  <si>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</si>
  <si>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</si>
  <si>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</si>
  <si>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</si>
  <si>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</si>
  <si>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</si>
  <si>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</si>
  <si>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</si>
  <si>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</si>
  <si>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</si>
  <si>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</si>
  <si>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</si>
  <si>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</si>
  <si>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</si>
  <si>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</si>
  <si>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</si>
  <si>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</si>
  <si>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</si>
  <si>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</si>
  <si>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</si>
  <si>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</si>
  <si>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</si>
  <si>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</si>
  <si>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</si>
  <si>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</si>
  <si>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</si>
  <si>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</si>
  <si>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</si>
  <si>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</si>
  <si>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</si>
  <si>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</si>
  <si>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</si>
  <si>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</si>
  <si>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</si>
  <si>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</si>
  <si>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</si>
  <si>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</si>
  <si>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</si>
  <si>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</si>
  <si>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</si>
  <si>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</si>
  <si>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</si>
  <si>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</si>
  <si>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</si>
  <si>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</si>
  <si>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</si>
  <si>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</si>
  <si>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</si>
  <si>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</si>
  <si>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</si>
  <si>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</si>
  <si>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</si>
  <si>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</si>
  <si>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</si>
  <si>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</si>
  <si>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</si>
  <si>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</si>
  <si>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</si>
  <si>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</si>
  <si>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</si>
  <si>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</si>
  <si>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</si>
  <si>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</si>
  <si>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</si>
  <si>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</si>
  <si>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</si>
  <si>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</si>
  <si>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</si>
  <si>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</si>
  <si>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</si>
  <si>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</si>
  <si>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</si>
  <si>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</si>
  <si>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</si>
  <si>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</si>
  <si>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</si>
  <si>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</si>
  <si>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</si>
  <si>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</si>
  <si>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</si>
  <si>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</si>
  <si>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</si>
  <si>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</si>
  <si>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</si>
  <si>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</si>
  <si>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</si>
  <si>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</si>
  <si>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</si>
  <si>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</si>
  <si>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</si>
  <si>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</si>
  <si>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</si>
  <si>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</si>
  <si>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</si>
  <si>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</si>
  <si>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</si>
  <si>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</si>
  <si>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</si>
  <si>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</si>
  <si>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</si>
  <si>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</si>
  <si>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</si>
  <si>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</si>
  <si>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</si>
  <si>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</si>
  <si>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</si>
  <si>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</si>
  <si>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</si>
  <si>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</si>
  <si>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</si>
  <si>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</si>
  <si>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</si>
  <si>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</si>
  <si>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</si>
  <si>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</si>
  <si>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</si>
  <si>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</si>
  <si>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</si>
  <si>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</si>
  <si>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</si>
  <si>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</si>
  <si>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</si>
  <si>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</si>
  <si>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</si>
  <si>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</si>
  <si>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</si>
  <si>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</si>
  <si>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</si>
  <si>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</si>
  <si>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</si>
  <si>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</si>
  <si>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</si>
  <si>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</si>
  <si>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</si>
  <si>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</si>
  <si>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</si>
  <si>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</si>
  <si>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</si>
  <si>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</si>
  <si>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</si>
  <si>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</si>
  <si>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</si>
  <si>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</si>
  <si>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</si>
  <si>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</si>
  <si>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</si>
  <si>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</si>
  <si>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</si>
  <si>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</si>
  <si>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</si>
  <si>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</si>
  <si>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</si>
  <si>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</si>
  <si>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</si>
  <si>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</si>
  <si>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</si>
  <si>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</si>
  <si>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</si>
  <si>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</si>
  <si>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</si>
  <si>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</si>
  <si>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</si>
  <si>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</si>
  <si>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</si>
  <si>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</si>
  <si>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</si>
  <si>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</si>
  <si>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</si>
  <si>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</si>
  <si>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</si>
  <si>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</si>
  <si>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</si>
  <si>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</si>
  <si>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</si>
  <si>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</si>
  <si>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</si>
  <si>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</si>
  <si>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</si>
  <si>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</si>
  <si>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</si>
  <si>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</si>
  <si>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</si>
  <si>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</si>
  <si>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</si>
  <si>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</si>
  <si>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</si>
  <si>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</si>
  <si>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</si>
  <si>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</si>
  <si>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</si>
  <si>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</si>
  <si>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</si>
  <si>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</si>
  <si>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</si>
  <si>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</si>
  <si>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</si>
  <si>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</si>
  <si>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</si>
  <si>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</si>
  <si>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</si>
  <si>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</si>
  <si>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</si>
  <si>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</si>
  <si>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</si>
  <si>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</si>
  <si>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</si>
  <si>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</si>
  <si>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</si>
  <si>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</si>
  <si>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</si>
  <si>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</si>
  <si>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</si>
  <si>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</si>
  <si>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</si>
  <si>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</si>
  <si>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</si>
  <si>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</si>
  <si>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</si>
  <si>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</si>
  <si>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</si>
  <si>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</si>
  <si>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</si>
  <si>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</si>
  <si>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</si>
  <si>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</si>
  <si>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</si>
  <si>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</si>
  <si>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</si>
  <si>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</si>
  <si>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</si>
  <si>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</si>
  <si>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</si>
  <si>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</si>
  <si>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</si>
  <si>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</si>
  <si>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</si>
  <si>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</si>
  <si>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</si>
  <si>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</si>
  <si>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</si>
  <si>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</si>
  <si>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</si>
  <si>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</si>
  <si>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</si>
  <si>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</si>
  <si>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</si>
  <si>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</si>
  <si>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</si>
  <si>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</si>
  <si>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</si>
  <si>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</si>
  <si>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</si>
  <si>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</si>
  <si>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</si>
  <si>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</si>
  <si>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</si>
  <si>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</si>
  <si>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</si>
  <si>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</si>
  <si>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</si>
  <si>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</si>
  <si>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</si>
  <si>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</si>
  <si>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</si>
  <si>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</si>
  <si>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</si>
  <si>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</si>
  <si>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</si>
  <si>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</si>
  <si>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</si>
  <si>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</si>
  <si>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</si>
  <si>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</si>
  <si>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</si>
  <si>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</si>
  <si>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</si>
  <si>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</si>
  <si>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</si>
  <si>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</si>
  <si>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</si>
  <si>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</si>
  <si>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</si>
  <si>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</si>
  <si>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</si>
  <si>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</si>
  <si>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</si>
  <si>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</si>
  <si>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</si>
  <si>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</si>
  <si>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</si>
  <si>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</si>
  <si>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</si>
  <si>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</si>
  <si>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</si>
  <si>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</si>
  <si>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</si>
  <si>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</si>
  <si>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</si>
  <si>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</si>
  <si>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</si>
  <si>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</si>
  <si>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</si>
  <si>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</si>
  <si>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</si>
  <si>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</si>
  <si>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</si>
  <si>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</si>
  <si>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</si>
  <si>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</si>
  <si>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</si>
  <si>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</si>
  <si>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</si>
  <si>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</si>
  <si>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</si>
  <si>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</si>
  <si>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</si>
  <si>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</si>
  <si>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</si>
  <si>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</si>
  <si>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</si>
  <si>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</si>
  <si>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</si>
  <si>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</si>
  <si>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</si>
  <si>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</si>
  <si>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</si>
  <si>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</si>
  <si>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</si>
  <si>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</si>
  <si>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</si>
  <si>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</si>
  <si>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</si>
  <si>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</si>
  <si>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</si>
  <si>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</si>
  <si>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</si>
  <si>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</si>
  <si>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</si>
  <si>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</si>
  <si>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</si>
  <si>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</si>
  <si>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</si>
  <si>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</si>
  <si>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</si>
  <si>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</si>
  <si>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</si>
  <si>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</si>
  <si>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</si>
  <si>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</si>
  <si>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</si>
  <si>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</si>
  <si>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</si>
  <si>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</si>
  <si>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</si>
  <si>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</si>
  <si>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</si>
  <si>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</si>
  <si>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</si>
  <si>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</si>
  <si>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</si>
  <si>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</si>
  <si>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</si>
  <si>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</si>
  <si>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</si>
  <si>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</si>
  <si>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</si>
  <si>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</si>
  <si>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</si>
  <si>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</si>
  <si>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</si>
  <si>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</si>
  <si>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</si>
  <si>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</si>
  <si>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</si>
  <si>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</si>
  <si>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</si>
  <si>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</si>
  <si>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</si>
  <si>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</si>
  <si>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</si>
  <si>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</si>
  <si>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</si>
  <si>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</si>
  <si>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</si>
  <si>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</si>
  <si>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</si>
  <si>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</si>
  <si>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</si>
  <si>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</si>
  <si>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</si>
  <si>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</si>
  <si>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</si>
  <si>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</si>
  <si>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</si>
  <si>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</si>
  <si>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</si>
  <si>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</si>
  <si>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</si>
  <si>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</si>
  <si>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</si>
  <si>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</si>
  <si>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</si>
  <si>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</si>
  <si>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</si>
  <si>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</si>
  <si>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</si>
  <si>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</si>
  <si>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</si>
  <si>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</si>
  <si>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</si>
  <si>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</si>
  <si>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</si>
  <si>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</si>
  <si>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</si>
  <si>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</si>
  <si>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</si>
  <si>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</si>
  <si>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</si>
  <si>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</si>
  <si>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</si>
  <si>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</si>
  <si>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</si>
  <si>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</si>
  <si>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</si>
  <si>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</si>
  <si>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</si>
  <si>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</si>
  <si>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</si>
  <si>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</si>
  <si>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</si>
  <si>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</si>
  <si>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</si>
  <si>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</si>
  <si>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</si>
  <si>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</si>
  <si>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</si>
  <si>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</si>
  <si>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</si>
  <si>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</si>
  <si>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</si>
  <si>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</si>
  <si>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</si>
  <si>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</si>
  <si>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</si>
  <si>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</si>
  <si>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</si>
  <si>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</si>
  <si>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</si>
  <si>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</si>
  <si>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</si>
  <si>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</si>
  <si>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</si>
  <si>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</si>
  <si>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</si>
  <si>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</si>
  <si>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</si>
  <si>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</si>
  <si>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</si>
  <si>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</si>
  <si>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</si>
  <si>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</si>
  <si>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</si>
  <si>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</si>
  <si>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</si>
  <si>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</si>
  <si>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</si>
  <si>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</si>
  <si>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</si>
  <si>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</si>
  <si>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</si>
  <si>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</si>
  <si>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</si>
  <si>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</si>
  <si>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</si>
  <si>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</si>
  <si>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</si>
  <si>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</si>
  <si>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</si>
  <si>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</si>
  <si>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</si>
  <si>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</si>
  <si>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</si>
  <si>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</si>
  <si>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</si>
  <si>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</si>
  <si>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</si>
  <si>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</si>
  <si>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</si>
  <si>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</si>
  <si>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</si>
  <si>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</si>
  <si>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</si>
  <si>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</si>
  <si>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</si>
  <si>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</si>
  <si>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</si>
  <si>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</si>
  <si>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</si>
  <si>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</si>
  <si>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</si>
  <si>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</si>
  <si>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</si>
  <si>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</si>
  <si>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</si>
  <si>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</si>
  <si>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</si>
  <si>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</si>
  <si>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</si>
  <si>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</si>
  <si>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</si>
  <si>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</si>
  <si>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</si>
  <si>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</si>
  <si>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</si>
  <si>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</si>
  <si>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</si>
  <si>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</si>
  <si>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</si>
  <si>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</si>
  <si>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</si>
  <si>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</si>
  <si>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</si>
  <si>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</si>
  <si>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</si>
  <si>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</si>
  <si>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</si>
  <si>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</si>
  <si>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</si>
  <si>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</si>
  <si>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</si>
  <si>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</si>
  <si>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</si>
  <si>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</si>
  <si>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</si>
  <si>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</si>
  <si>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</si>
  <si>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</si>
  <si>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</si>
  <si>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</si>
  <si>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</si>
  <si>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</si>
  <si>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</si>
  <si>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</si>
  <si>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</si>
  <si>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</si>
  <si>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</si>
  <si>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</si>
  <si>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</si>
  <si>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</si>
  <si>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</si>
  <si>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</si>
  <si>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</si>
  <si>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</si>
  <si>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</si>
  <si>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</si>
  <si>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</si>
  <si>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</si>
  <si>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</si>
  <si>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</si>
  <si>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</si>
  <si>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</si>
  <si>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</si>
  <si>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</si>
  <si>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</si>
  <si>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</si>
  <si>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</si>
  <si>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</si>
  <si>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</si>
  <si>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</si>
  <si>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</si>
  <si>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</si>
  <si>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</si>
  <si>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</si>
  <si>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</si>
  <si>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</si>
  <si>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</si>
  <si>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</si>
  <si>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</si>
  <si>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</si>
  <si>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</si>
  <si>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</si>
  <si>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</si>
  <si>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</si>
  <si>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</si>
  <si>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</si>
  <si>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</si>
  <si>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</si>
  <si>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</si>
  <si>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</si>
  <si>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</si>
  <si>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</si>
  <si>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</si>
  <si>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</si>
  <si>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</si>
  <si>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</si>
  <si>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</si>
  <si>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</si>
  <si>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</si>
  <si>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</si>
  <si>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</si>
  <si>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</si>
  <si>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</si>
  <si>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</si>
  <si>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</si>
  <si>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</si>
  <si>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</si>
  <si>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</si>
  <si>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</si>
  <si>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</si>
  <si>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</si>
  <si>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</si>
  <si>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</si>
  <si>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</si>
  <si>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</si>
  <si>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</si>
  <si>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</si>
  <si>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</si>
  <si>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</si>
  <si>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</si>
  <si>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</si>
  <si>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</si>
  <si>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</si>
  <si>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</si>
  <si>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</si>
  <si>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</si>
  <si>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</si>
  <si>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</si>
  <si>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</si>
  <si>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</si>
  <si>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</si>
  <si>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</si>
  <si>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</si>
  <si>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</si>
  <si>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</si>
  <si>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</si>
  <si>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</si>
  <si>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</si>
  <si>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</si>
  <si>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</si>
  <si>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</si>
  <si>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</si>
  <si>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</si>
  <si>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</si>
  <si>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</si>
  <si>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</si>
  <si>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</si>
  <si>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</si>
  <si>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</si>
  <si>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</si>
  <si>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</si>
  <si>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</si>
  <si>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</si>
  <si>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</si>
  <si>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</si>
  <si>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</si>
  <si>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</si>
  <si>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</si>
  <si>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</si>
  <si>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</si>
  <si>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</si>
  <si>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</si>
  <si>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</si>
  <si>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</si>
  <si>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</si>
  <si>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</si>
  <si>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</si>
  <si>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</si>
  <si>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</si>
  <si>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</si>
  <si>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</si>
  <si>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</si>
  <si>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</si>
  <si>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</si>
  <si>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</si>
  <si>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</si>
  <si>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</si>
  <si>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</si>
  <si>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</si>
  <si>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</si>
  <si>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</si>
  <si>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</si>
  <si>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</si>
  <si>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</si>
  <si>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</si>
  <si>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</si>
  <si>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</si>
  <si>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</si>
  <si>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</si>
  <si>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</si>
  <si>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</si>
  <si>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</si>
  <si>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</si>
  <si>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</si>
  <si>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</si>
  <si>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</si>
  <si>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</si>
  <si>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</si>
  <si>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</si>
  <si>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</si>
  <si>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</si>
  <si>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</si>
  <si>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</si>
  <si>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</si>
  <si>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</si>
  <si>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</si>
  <si>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</si>
  <si>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</si>
  <si>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</si>
  <si>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</si>
  <si>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</si>
  <si>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</si>
  <si>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</si>
  <si>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</si>
  <si>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</si>
  <si>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</si>
  <si>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</si>
  <si>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</si>
  <si>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</si>
  <si>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</si>
  <si>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</si>
  <si>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</si>
  <si>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</si>
  <si>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</si>
  <si>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</si>
  <si>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</si>
  <si>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</si>
  <si>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</si>
  <si>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</si>
  <si>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</si>
  <si>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</si>
  <si>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</si>
  <si>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</si>
  <si>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</si>
  <si>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</si>
  <si>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</si>
  <si>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</si>
  <si>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</si>
  <si>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</si>
  <si>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</si>
  <si>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</si>
  <si>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</si>
  <si>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</si>
  <si>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</si>
  <si>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</si>
  <si>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</si>
  <si>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</si>
  <si>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</si>
  <si>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</si>
  <si>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</si>
  <si>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</si>
  <si>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</si>
  <si>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</si>
  <si>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</si>
  <si>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</si>
  <si>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</si>
  <si>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</si>
  <si>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</si>
  <si>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</si>
  <si>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</si>
  <si>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</si>
  <si>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</si>
  <si>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</si>
  <si>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</si>
  <si>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</si>
  <si>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</si>
  <si>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</si>
  <si>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</si>
  <si>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</si>
  <si>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</si>
  <si>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</si>
  <si>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</si>
  <si>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</si>
  <si>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</si>
  <si>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</si>
  <si>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</si>
  <si>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</si>
  <si>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</si>
  <si>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</si>
  <si>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</si>
  <si>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</si>
  <si>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</si>
  <si>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</si>
  <si>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</si>
  <si>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</si>
  <si>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</si>
  <si>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</si>
  <si>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</si>
  <si>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</si>
  <si>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</si>
  <si>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</si>
  <si>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</si>
  <si>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</si>
  <si>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</si>
  <si>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</si>
  <si>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</si>
  <si>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</si>
  <si>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</si>
  <si>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</si>
  <si>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</si>
  <si>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</si>
  <si>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</si>
  <si>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</si>
  <si>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</si>
  <si>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</si>
  <si>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</si>
  <si>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</si>
  <si>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</si>
  <si>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</si>
  <si>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</si>
  <si>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</si>
  <si>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</si>
  <si>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</si>
  <si>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</si>
  <si>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</si>
  <si>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</si>
  <si>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</si>
  <si>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</si>
  <si>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</si>
  <si>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</si>
  <si>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</si>
  <si>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</si>
  <si>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</si>
  <si>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</si>
  <si>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</si>
  <si>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</si>
  <si>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</si>
  <si>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</si>
  <si>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</si>
  <si>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</si>
  <si>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</si>
  <si>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</si>
  <si>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</si>
  <si>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</si>
  <si>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</si>
  <si>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</si>
  <si>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</si>
  <si>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</si>
  <si>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</si>
  <si>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</si>
  <si>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</si>
  <si>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</si>
  <si>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</si>
  <si>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</si>
  <si>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</si>
  <si>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</si>
  <si>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</si>
  <si>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</si>
  <si>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</si>
  <si>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</si>
  <si>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</si>
  <si>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</si>
  <si>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</si>
  <si>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</si>
  <si>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</si>
  <si>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</si>
  <si>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</si>
  <si>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</si>
  <si>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</si>
  <si>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</si>
  <si>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</si>
  <si>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</si>
  <si>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</si>
  <si>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</si>
  <si>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</si>
  <si>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</si>
  <si>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</si>
  <si>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</si>
  <si>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</si>
  <si>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</si>
  <si>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</si>
  <si>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</si>
  <si>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</si>
  <si>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</si>
  <si>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</si>
  <si>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</si>
  <si>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</si>
  <si>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</si>
  <si>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</si>
  <si>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</si>
  <si>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</si>
  <si>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</si>
  <si>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</si>
  <si>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</si>
  <si>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</si>
  <si>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</si>
  <si>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</si>
  <si>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</si>
  <si>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</si>
  <si>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</si>
  <si>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</si>
  <si>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</si>
  <si>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</si>
  <si>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</si>
  <si>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</si>
  <si>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</si>
  <si>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</si>
  <si>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</si>
  <si>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</si>
  <si>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</si>
  <si>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</si>
  <si>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</si>
  <si>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</si>
  <si>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</si>
  <si>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</si>
  <si>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</si>
  <si>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</si>
  <si>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</si>
  <si>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</si>
  <si>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</si>
  <si>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</si>
  <si>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</si>
  <si>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</si>
  <si>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</si>
  <si>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</si>
  <si>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</si>
  <si>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</si>
  <si>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</si>
  <si>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</si>
  <si>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</si>
  <si>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</si>
  <si>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</si>
  <si>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</si>
  <si>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</si>
  <si>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</si>
  <si>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</si>
  <si>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</si>
  <si>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</si>
  <si>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</si>
  <si>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</si>
  <si>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</si>
  <si>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</si>
  <si>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</si>
  <si>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</si>
  <si>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</si>
  <si>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</si>
  <si>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</si>
  <si>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</si>
  <si>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</si>
  <si>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</si>
  <si>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</si>
  <si>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</si>
  <si>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</si>
  <si>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</si>
  <si>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</si>
  <si>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</si>
  <si>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</si>
  <si>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</si>
  <si>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</si>
  <si>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</si>
  <si>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</si>
  <si>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</si>
  <si>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</si>
  <si>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</si>
  <si>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</si>
  <si>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</si>
  <si>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</si>
  <si>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</si>
  <si>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</si>
  <si>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</si>
  <si>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</si>
  <si>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</si>
  <si>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</si>
  <si>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</si>
  <si>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</si>
  <si>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</si>
  <si>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</si>
  <si>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</si>
  <si>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</si>
  <si>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</si>
  <si>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</si>
  <si>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</si>
  <si>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</si>
  <si>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</si>
  <si>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</si>
  <si>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</si>
  <si>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</si>
  <si>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</si>
  <si>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</si>
  <si>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</si>
  <si>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</si>
  <si>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</si>
  <si>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</si>
  <si>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</si>
  <si>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</si>
  <si>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</si>
  <si>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</si>
  <si>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</si>
  <si>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</si>
  <si>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</si>
  <si>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</si>
  <si>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</si>
  <si>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</si>
  <si>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</si>
  <si>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</si>
  <si>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</si>
  <si>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</si>
  <si>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</si>
  <si>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</si>
  <si>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</si>
  <si>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</si>
  <si>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</si>
  <si>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</si>
  <si>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</si>
  <si>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</si>
  <si>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</si>
  <si>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</si>
  <si>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</si>
  <si>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</si>
  <si>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</si>
  <si>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</si>
  <si>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</si>
  <si>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</si>
  <si>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</si>
  <si>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</si>
  <si>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</si>
  <si>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</si>
  <si>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</si>
  <si>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</si>
  <si>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</si>
  <si>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</si>
  <si>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</si>
  <si>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</si>
  <si>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</si>
  <si>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</si>
  <si>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</si>
  <si>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</si>
  <si>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</si>
  <si>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</si>
  <si>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</si>
  <si>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</si>
  <si>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</si>
  <si>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</si>
  <si>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</si>
  <si>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</si>
  <si>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</si>
  <si>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</si>
  <si>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</si>
  <si>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</si>
  <si>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</si>
  <si>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</si>
  <si>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</si>
  <si>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</si>
  <si>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</si>
  <si>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</si>
  <si>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</si>
  <si>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</si>
  <si>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</si>
  <si>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</si>
  <si>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</si>
  <si>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</si>
  <si>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</si>
  <si>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</si>
  <si>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</si>
  <si>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</si>
  <si>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</si>
  <si>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</si>
  <si>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</si>
  <si>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</si>
  <si>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</si>
  <si>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</si>
  <si>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</si>
  <si>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</si>
  <si>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</si>
  <si>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</si>
  <si>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</si>
  <si>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</si>
  <si>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</si>
  <si>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</si>
  <si>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</si>
  <si>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</si>
  <si>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</si>
  <si>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</si>
  <si>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</si>
  <si>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</si>
  <si>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</si>
  <si>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</si>
  <si>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</si>
  <si>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</si>
  <si>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</si>
  <si>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</si>
  <si>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</si>
  <si>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</si>
  <si>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</si>
  <si>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</si>
  <si>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</si>
  <si>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</si>
  <si>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</si>
  <si>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</si>
  <si>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</si>
  <si>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</si>
  <si>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</si>
  <si>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</si>
  <si>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</si>
  <si>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</si>
  <si>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</si>
  <si>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</si>
  <si>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</si>
  <si>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</si>
  <si>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</si>
  <si>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</si>
  <si>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</si>
  <si>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</si>
  <si>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</si>
  <si>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</si>
  <si>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</si>
  <si>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</si>
  <si>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</si>
  <si>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</si>
  <si>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</si>
  <si>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</si>
  <si>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</si>
  <si>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</si>
  <si>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</si>
  <si>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</si>
  <si>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</si>
  <si>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</si>
  <si>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</si>
  <si>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</si>
  <si>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</si>
  <si>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</si>
  <si>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</si>
  <si>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</si>
  <si>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</si>
  <si>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</si>
  <si>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</si>
  <si>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</si>
  <si>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</si>
  <si>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</si>
  <si>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</si>
  <si>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</si>
  <si>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</si>
  <si>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</si>
  <si>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</si>
  <si>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</si>
  <si>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</si>
  <si>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</si>
  <si>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</si>
  <si>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</si>
  <si>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</si>
  <si>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</si>
  <si>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</si>
  <si>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</si>
  <si>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</si>
  <si>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</si>
  <si>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</si>
  <si>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</si>
  <si>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</si>
  <si>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</si>
  <si>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</si>
  <si>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</si>
  <si>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</si>
  <si>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</si>
  <si>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</si>
  <si>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</si>
  <si>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</si>
  <si>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</si>
  <si>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</si>
  <si>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</si>
  <si>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</si>
  <si>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</si>
  <si>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</si>
  <si>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</si>
  <si>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</si>
  <si>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</si>
  <si>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</si>
  <si>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</si>
  <si>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</si>
  <si>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</si>
  <si>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</si>
  <si>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</si>
  <si>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</si>
  <si>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</si>
  <si>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</si>
  <si>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</si>
  <si>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</si>
  <si>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</si>
  <si>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</si>
  <si>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</si>
  <si>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</si>
  <si>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</si>
  <si>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</si>
  <si>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</si>
  <si>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</si>
  <si>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</si>
  <si>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</si>
  <si>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</si>
  <si>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</si>
  <si>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</si>
  <si>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</si>
  <si>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</si>
  <si>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</si>
  <si>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</si>
  <si>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</si>
  <si>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</si>
  <si>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</si>
  <si>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</si>
  <si>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</si>
  <si>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</si>
  <si>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</si>
  <si>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</si>
  <si>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</si>
  <si>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</si>
  <si>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</si>
  <si>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</si>
  <si>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</si>
  <si>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</si>
  <si>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</si>
  <si>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</si>
  <si>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</si>
  <si>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</si>
  <si>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</si>
  <si>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</si>
  <si>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</si>
  <si>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</si>
  <si>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</si>
  <si>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</si>
  <si>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</si>
  <si>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</si>
  <si>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</si>
  <si>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</si>
  <si>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</si>
  <si>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</si>
  <si>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</si>
  <si>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</si>
  <si>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</si>
  <si>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</si>
  <si>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</si>
  <si>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</si>
  <si>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</si>
  <si>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</si>
  <si>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</si>
  <si>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</si>
  <si>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</si>
  <si>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</si>
  <si>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</si>
  <si>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</si>
  <si>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</si>
  <si>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</si>
  <si>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</si>
  <si>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</si>
  <si>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</si>
  <si>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</si>
  <si>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</si>
  <si>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</si>
  <si>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</si>
  <si>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</si>
  <si>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</si>
  <si>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</si>
  <si>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</si>
  <si>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</si>
  <si>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</si>
  <si>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</si>
  <si>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</si>
  <si>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</si>
  <si>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</si>
  <si>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</si>
  <si>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</si>
  <si>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</si>
  <si>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</si>
  <si>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</si>
  <si>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</si>
  <si>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</si>
  <si>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</si>
  <si>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</si>
  <si>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</si>
  <si>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</si>
  <si>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</si>
  <si>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</si>
  <si>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</si>
  <si>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</si>
  <si>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</si>
  <si>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</si>
  <si>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</si>
  <si>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</si>
  <si>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</si>
  <si>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</si>
  <si>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</si>
  <si>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</si>
  <si>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</si>
  <si>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</si>
  <si>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</si>
  <si>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</si>
  <si>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</si>
  <si>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</si>
  <si>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</si>
  <si>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</si>
  <si>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</si>
  <si>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</si>
  <si>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</si>
  <si>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</si>
  <si>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</si>
  <si>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</si>
  <si>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</si>
  <si>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</si>
  <si>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</si>
  <si>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</si>
  <si>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</si>
  <si>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</si>
  <si>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</si>
  <si>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</si>
  <si>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</si>
  <si>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</si>
  <si>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</si>
  <si>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</si>
  <si>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</si>
  <si>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</si>
  <si>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</si>
  <si>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</si>
  <si>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</si>
  <si>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</si>
  <si>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</si>
  <si>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</si>
  <si>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</si>
  <si>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</si>
  <si>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</si>
  <si>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</si>
  <si>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</si>
  <si>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</si>
  <si>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</si>
  <si>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</si>
  <si>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</si>
  <si>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</si>
  <si>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</si>
  <si>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</si>
  <si>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</si>
  <si>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</si>
  <si>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</si>
  <si>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</si>
  <si>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</si>
  <si>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</si>
  <si>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</si>
  <si>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</si>
  <si>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</si>
  <si>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</si>
  <si>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</si>
  <si>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</si>
  <si>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</si>
  <si>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</si>
  <si>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</si>
  <si>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</si>
  <si>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</si>
  <si>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</si>
  <si>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</si>
  <si>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</si>
  <si>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</si>
  <si>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</si>
  <si>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</si>
  <si>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</si>
  <si>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</si>
  <si>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</si>
  <si>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</si>
  <si>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</si>
  <si>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</si>
  <si>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</si>
  <si>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</si>
  <si>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</si>
  <si>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</si>
  <si>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</si>
  <si>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</si>
  <si>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</si>
  <si>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</si>
  <si>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</si>
  <si>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</si>
  <si>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</si>
  <si>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</si>
  <si>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</si>
  <si>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</si>
  <si>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</si>
  <si>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</si>
  <si>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</si>
  <si>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</si>
  <si>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</si>
  <si>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</si>
  <si>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</si>
  <si>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</si>
  <si>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</si>
  <si>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</si>
  <si>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</si>
  <si>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</si>
  <si>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</si>
  <si>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</si>
  <si>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</si>
  <si>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</si>
  <si>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</si>
  <si>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</si>
  <si>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</si>
  <si>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</si>
  <si>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</si>
  <si>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</si>
  <si>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</si>
  <si>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</si>
  <si>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</si>
  <si>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</si>
  <si>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</si>
  <si>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</si>
  <si>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</si>
  <si>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</si>
  <si>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</si>
  <si>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</si>
  <si>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</si>
  <si>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</si>
  <si>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</si>
  <si>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</si>
  <si>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</si>
  <si>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</si>
  <si>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</si>
  <si>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</si>
  <si>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</si>
  <si>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</si>
  <si>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</si>
  <si>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</si>
  <si>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</si>
  <si>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</si>
  <si>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</si>
  <si>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</si>
  <si>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</si>
  <si>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</si>
  <si>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</si>
  <si>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</si>
  <si>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</si>
  <si>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</si>
  <si>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</si>
  <si>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</si>
  <si>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</si>
  <si>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</si>
  <si>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</si>
  <si>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</si>
  <si>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</si>
  <si>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</si>
  <si>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</si>
  <si>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</si>
  <si>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</si>
  <si>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</si>
  <si>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</si>
  <si>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</si>
  <si>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</si>
  <si>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</si>
  <si>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</si>
  <si>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</si>
  <si>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</si>
  <si>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</si>
  <si>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</si>
  <si>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</si>
  <si>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</si>
  <si>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</si>
  <si>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</si>
  <si>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</si>
  <si>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</si>
  <si>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</si>
  <si>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</si>
  <si>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</si>
  <si>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</si>
  <si>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</si>
  <si>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</si>
  <si>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</si>
  <si>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</si>
  <si>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</si>
  <si>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</si>
  <si>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</si>
  <si>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</si>
  <si>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</si>
  <si>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</si>
  <si>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</si>
  <si>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</si>
  <si>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</si>
  <si>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</si>
  <si>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</si>
  <si>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</si>
  <si>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</si>
  <si>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</si>
  <si>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</si>
  <si>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</si>
  <si>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</si>
  <si>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</si>
  <si>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</si>
  <si>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</si>
  <si>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</si>
  <si>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</si>
  <si>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</si>
  <si>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</si>
  <si>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</si>
  <si>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</si>
  <si>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</si>
  <si>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</si>
  <si>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</si>
  <si>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</si>
  <si>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</si>
  <si>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</si>
  <si>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</si>
  <si>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</si>
  <si>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</si>
  <si>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</si>
  <si>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</si>
  <si>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</si>
  <si>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</si>
  <si>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</si>
  <si>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</si>
  <si>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</si>
  <si>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</si>
  <si>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</si>
  <si>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</si>
  <si>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</si>
  <si>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</si>
  <si>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</si>
  <si>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</si>
  <si>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</si>
  <si>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</si>
  <si>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</si>
  <si>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</si>
  <si>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</si>
  <si>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</si>
  <si>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</si>
  <si>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</si>
  <si>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</si>
  <si>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</si>
  <si>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</si>
  <si>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</si>
  <si>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</si>
  <si>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</si>
  <si>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</si>
  <si>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</si>
  <si>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</si>
  <si>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</si>
  <si>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</si>
  <si>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</si>
  <si>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</si>
  <si>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</si>
  <si>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</si>
  <si>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</si>
  <si>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</si>
  <si>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</si>
  <si>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</si>
  <si>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</si>
  <si>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</si>
  <si>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</si>
  <si>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</si>
  <si>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</si>
  <si>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</si>
  <si>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</si>
  <si>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</si>
  <si>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</si>
  <si>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</si>
  <si>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</si>
  <si>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</si>
  <si>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</si>
  <si>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</si>
  <si>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</si>
  <si>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</si>
  <si>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</si>
  <si>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</si>
  <si>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</si>
  <si>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</si>
  <si>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</si>
  <si>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</si>
  <si>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</si>
  <si>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</si>
  <si>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</si>
  <si>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</si>
  <si>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</si>
  <si>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</si>
  <si>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</si>
  <si>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</si>
  <si>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</si>
  <si>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</si>
  <si>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</si>
  <si>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</si>
  <si>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</si>
  <si>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</si>
  <si>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</si>
  <si>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</si>
  <si>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</si>
  <si>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</si>
  <si>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</si>
  <si>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</si>
  <si>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</si>
  <si>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</si>
  <si>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</si>
  <si>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</si>
  <si>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</si>
  <si>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</si>
  <si>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</si>
  <si>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</si>
  <si>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</si>
  <si>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</si>
  <si>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</si>
  <si>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</si>
  <si>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</si>
  <si>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</si>
  <si>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</si>
  <si>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</si>
  <si>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</si>
  <si>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</si>
  <si>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</si>
  <si>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</si>
  <si>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</si>
  <si>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</si>
  <si>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</si>
  <si>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</si>
  <si>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</si>
  <si>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</si>
  <si>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</si>
  <si>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</si>
  <si>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</si>
  <si>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</si>
  <si>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</si>
  <si>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</si>
  <si>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</si>
  <si>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</si>
  <si>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</si>
  <si>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</si>
  <si>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</si>
  <si>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</si>
  <si>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</si>
  <si>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</si>
  <si>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</si>
  <si>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</si>
  <si>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</si>
  <si>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</si>
  <si>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</si>
  <si>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</si>
  <si>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</si>
  <si>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</si>
  <si>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</si>
  <si>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</si>
  <si>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</si>
  <si>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</si>
  <si>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</si>
  <si>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</si>
  <si>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</si>
  <si>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</si>
  <si>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</si>
  <si>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</si>
  <si>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</si>
  <si>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</si>
  <si>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</si>
  <si>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</si>
  <si>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</si>
  <si>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</si>
  <si>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</si>
  <si>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</si>
  <si>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</si>
  <si>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</si>
  <si>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</si>
  <si>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</si>
  <si>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</si>
  <si>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</si>
  <si>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</si>
  <si>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</si>
  <si>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</si>
  <si>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</si>
  <si>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</si>
  <si>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</si>
  <si>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</si>
  <si>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</si>
  <si>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</si>
  <si>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</si>
  <si>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</si>
  <si>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</si>
  <si>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</si>
  <si>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</si>
  <si>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</si>
  <si>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</si>
  <si>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</si>
  <si>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</si>
  <si>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</si>
  <si>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</si>
  <si>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</si>
  <si>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</si>
  <si>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</si>
  <si>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</si>
  <si>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</si>
  <si>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</si>
  <si>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</si>
  <si>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</si>
  <si>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</si>
  <si>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</si>
  <si>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</si>
  <si>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</si>
  <si>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</si>
  <si>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</si>
  <si>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</si>
  <si>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</si>
  <si>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</si>
  <si>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</si>
  <si>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</si>
  <si>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</si>
  <si>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</si>
  <si>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</si>
  <si>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</si>
  <si>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</si>
  <si>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</si>
  <si>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</si>
  <si>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</si>
  <si>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</si>
  <si>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</si>
  <si>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</si>
  <si>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</si>
  <si>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</si>
  <si>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</si>
  <si>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</si>
  <si>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</si>
  <si>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</si>
  <si>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</si>
  <si>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</si>
  <si>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</si>
  <si>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</si>
  <si>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</si>
  <si>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</si>
  <si>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</si>
  <si>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</si>
  <si>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</si>
  <si>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</si>
  <si>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</si>
  <si>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</si>
  <si>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</si>
  <si>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</si>
  <si>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</si>
  <si>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</si>
  <si>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</si>
  <si>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</si>
  <si>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</si>
  <si>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</si>
  <si>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</si>
  <si>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</si>
  <si>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</si>
  <si>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</si>
  <si>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</si>
  <si>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</si>
  <si>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</si>
  <si>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</si>
  <si>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</si>
  <si>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</si>
  <si>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</si>
  <si>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</si>
  <si>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</si>
  <si>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</si>
  <si>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</si>
  <si>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</si>
  <si>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</si>
  <si>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</si>
  <si>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</si>
  <si>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</si>
  <si>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</si>
  <si>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</si>
  <si>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</si>
  <si>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</si>
  <si>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</si>
  <si>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</si>
  <si>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</si>
  <si>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</si>
  <si>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</si>
  <si>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</si>
  <si>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</si>
  <si>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</si>
  <si>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</si>
  <si>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</si>
  <si>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</si>
  <si>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</si>
  <si>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</si>
  <si>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</si>
  <si>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</si>
  <si>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</si>
  <si>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</si>
  <si>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</si>
  <si>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</si>
  <si>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</si>
  <si>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</si>
  <si>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</si>
  <si>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</si>
  <si>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</si>
  <si>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</si>
  <si>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</si>
  <si>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</si>
  <si>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</si>
  <si>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</si>
  <si>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</si>
  <si>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</si>
  <si>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</si>
  <si>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</si>
  <si>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</si>
  <si>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</si>
  <si>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</si>
  <si>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</si>
  <si>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</si>
  <si>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</si>
  <si>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</si>
  <si>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</si>
  <si>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</si>
  <si>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</si>
  <si>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</si>
  <si>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</si>
  <si>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</si>
  <si>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</si>
  <si>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</si>
  <si>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</si>
  <si>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</si>
  <si>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</si>
  <si>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</si>
  <si>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</si>
  <si>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</si>
  <si>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</si>
  <si>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</si>
  <si>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</si>
  <si>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</si>
  <si>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</si>
  <si>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</si>
  <si>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</si>
  <si>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</si>
  <si>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</si>
  <si>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</si>
  <si>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</si>
  <si>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</si>
  <si>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</si>
  <si>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</si>
  <si>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</si>
  <si>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</si>
  <si>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</si>
  <si>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</si>
  <si>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</si>
  <si>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</si>
  <si>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</si>
  <si>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</si>
  <si>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</si>
  <si>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</si>
  <si>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</si>
  <si>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</si>
  <si>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</si>
  <si>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</si>
  <si>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</si>
  <si>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</si>
  <si>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</si>
  <si>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</si>
  <si>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</si>
  <si>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</si>
  <si>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</si>
  <si>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</si>
  <si>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</si>
  <si>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</si>
  <si>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</si>
  <si>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</si>
  <si>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</si>
  <si>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</si>
  <si>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</si>
  <si>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</si>
  <si>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</si>
  <si>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</si>
  <si>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</si>
  <si>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</si>
  <si>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</si>
  <si>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</si>
  <si>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</si>
  <si>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</si>
  <si>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</si>
  <si>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</si>
  <si>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</si>
  <si>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</si>
  <si>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</si>
  <si>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</si>
  <si>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</si>
  <si>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</si>
  <si>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</si>
  <si>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</si>
  <si>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</si>
  <si>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</si>
  <si>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</si>
  <si>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</si>
  <si>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</si>
  <si>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</si>
  <si>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</si>
  <si>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</si>
  <si>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</si>
  <si>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</si>
  <si>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</si>
  <si>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</si>
  <si>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</si>
  <si>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</si>
  <si>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</si>
  <si>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</si>
  <si>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</si>
  <si>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</si>
  <si>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</si>
  <si>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</si>
  <si>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</si>
  <si>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</si>
  <si>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</si>
  <si>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</si>
  <si>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</si>
  <si>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</si>
  <si>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</si>
  <si>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</si>
  <si>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</si>
  <si>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</si>
  <si>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</si>
  <si>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</si>
  <si>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</si>
  <si>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</si>
  <si>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</si>
  <si>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</si>
  <si>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</si>
  <si>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</si>
  <si>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</si>
  <si>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</si>
  <si>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</si>
  <si>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</si>
  <si>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</si>
  <si>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</si>
  <si>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</si>
  <si>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</si>
  <si>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</si>
  <si>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</si>
  <si>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</si>
  <si>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</si>
  <si>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</si>
  <si>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</si>
  <si>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</si>
  <si>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</si>
  <si>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</si>
  <si>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</si>
  <si>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</si>
  <si>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</si>
  <si>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</si>
  <si>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</si>
  <si>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</si>
  <si>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</si>
  <si>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</si>
  <si>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</si>
  <si>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</si>
  <si>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</si>
  <si>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</si>
  <si>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</si>
  <si>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</si>
  <si>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</si>
  <si>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</si>
  <si>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</si>
  <si>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</si>
  <si>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</si>
  <si>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</si>
  <si>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</si>
  <si>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</si>
  <si>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</si>
  <si>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</si>
  <si>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</si>
  <si>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</si>
  <si>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</si>
  <si>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</si>
  <si>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</si>
  <si>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</si>
  <si>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</si>
  <si>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</si>
  <si>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</si>
  <si>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</si>
  <si>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</si>
  <si>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</si>
  <si>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</si>
  <si>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</si>
  <si>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</si>
  <si>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</si>
  <si>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</si>
  <si>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</si>
  <si>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</si>
  <si>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</si>
  <si>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</si>
  <si>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</si>
  <si>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</si>
  <si>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</si>
  <si>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</si>
  <si>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</si>
  <si>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</si>
  <si>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</si>
  <si>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</si>
  <si>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</si>
  <si>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</si>
  <si>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</si>
  <si>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</si>
  <si>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</si>
  <si>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</si>
  <si>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</si>
  <si>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</si>
  <si>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</si>
  <si>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</si>
  <si>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</si>
  <si>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</si>
  <si>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</si>
  <si>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</si>
  <si>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</si>
  <si>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</si>
  <si>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</si>
  <si>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</si>
  <si>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</si>
  <si>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</si>
  <si>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</si>
  <si>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</si>
  <si>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</si>
  <si>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</si>
  <si>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</si>
  <si>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</si>
  <si>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</si>
  <si>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</si>
  <si>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</si>
  <si>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</si>
  <si>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</si>
  <si>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</si>
  <si>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</si>
  <si>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</si>
  <si>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</si>
  <si>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</si>
  <si>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</si>
  <si>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</si>
  <si>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</si>
  <si>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</si>
  <si>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</si>
  <si>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</si>
  <si>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</si>
  <si>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</si>
  <si>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</si>
  <si>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</si>
  <si>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</si>
  <si>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</si>
  <si>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</si>
  <si>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</si>
  <si>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</si>
  <si>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</si>
  <si>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</si>
  <si>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</si>
  <si>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</si>
  <si>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</si>
  <si>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</si>
  <si>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</si>
  <si>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</si>
  <si>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</si>
  <si>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</si>
  <si>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</si>
  <si>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</si>
  <si>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</si>
  <si>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</si>
  <si>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</si>
  <si>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</si>
  <si>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</si>
  <si>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</si>
  <si>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</si>
  <si>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</si>
  <si>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</si>
  <si>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</si>
  <si>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</si>
  <si>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</si>
  <si>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</si>
  <si>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</si>
  <si>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</si>
  <si>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</si>
  <si>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</si>
  <si>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</si>
  <si>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</si>
  <si>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</si>
  <si>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</si>
  <si>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</si>
  <si>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</si>
  <si>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</si>
  <si>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</si>
  <si>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</si>
  <si>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</si>
  <si>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</si>
  <si>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</si>
  <si>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</si>
  <si>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</si>
  <si>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</si>
  <si>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</si>
  <si>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</si>
  <si>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</si>
  <si>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</si>
  <si>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</si>
  <si>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</si>
  <si>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</si>
  <si>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</si>
  <si>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</si>
  <si>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</si>
  <si>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</si>
  <si>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</si>
  <si>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</si>
  <si>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</si>
  <si>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</si>
  <si>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</si>
  <si>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</si>
  <si>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</si>
  <si>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</si>
  <si>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</si>
  <si>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</si>
  <si>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</si>
  <si>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</si>
  <si>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</si>
  <si>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</si>
  <si>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</si>
  <si>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</si>
  <si>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</si>
  <si>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</si>
  <si>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</si>
  <si>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</si>
  <si>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</si>
  <si>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</si>
  <si>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</si>
  <si>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</si>
  <si>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</si>
  <si>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</si>
  <si>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</si>
  <si>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</si>
  <si>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</si>
  <si>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</si>
  <si>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</si>
  <si>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</si>
  <si>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</si>
  <si>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</si>
  <si>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</si>
  <si>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</si>
  <si>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</si>
  <si>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</si>
  <si>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</si>
  <si>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</si>
  <si>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</si>
  <si>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</si>
  <si>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</si>
  <si>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</si>
  <si>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</si>
  <si>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</si>
  <si>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</si>
  <si>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</si>
  <si>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</si>
  <si>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</si>
  <si>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</si>
  <si>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</si>
  <si>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</si>
  <si>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</si>
  <si>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</si>
  <si>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</si>
  <si>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</si>
  <si>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</si>
  <si>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</si>
  <si>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</si>
  <si>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</si>
  <si>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</si>
  <si>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</si>
  <si>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</si>
  <si>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</si>
  <si>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</si>
  <si>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</si>
  <si>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</si>
  <si>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</si>
  <si>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</si>
  <si>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</si>
  <si>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</si>
  <si>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</si>
  <si>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</si>
  <si>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</si>
  <si>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</si>
  <si>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</si>
  <si>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</si>
  <si>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</si>
  <si>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</si>
  <si>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</si>
  <si>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</si>
  <si>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</si>
  <si>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</si>
  <si>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</si>
  <si>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</si>
  <si>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</si>
  <si>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</si>
  <si>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</si>
  <si>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</si>
  <si>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</si>
  <si>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</si>
  <si>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</si>
  <si>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</si>
  <si>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</si>
  <si>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</si>
  <si>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</si>
  <si>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</si>
  <si>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</si>
  <si>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</si>
  <si>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</si>
  <si>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</si>
  <si>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</si>
  <si>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</si>
  <si>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</si>
  <si>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</si>
  <si>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</si>
  <si>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</si>
  <si>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</si>
  <si>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</si>
  <si>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</si>
  <si>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</si>
  <si>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</si>
  <si>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</si>
  <si>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</si>
  <si>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</si>
  <si>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</si>
  <si>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</si>
  <si>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</si>
  <si>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</si>
  <si>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</si>
  <si>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</si>
  <si>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</si>
  <si>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</si>
  <si>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</si>
  <si>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</si>
  <si>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</si>
  <si>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</si>
  <si>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</si>
  <si>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</si>
  <si>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</si>
  <si>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</si>
  <si>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</si>
  <si>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</si>
  <si>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</si>
  <si>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</si>
  <si>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</si>
  <si>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</si>
  <si>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</si>
  <si>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</si>
  <si>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</si>
  <si>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</si>
  <si>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</si>
  <si>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</si>
  <si>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</si>
  <si>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</si>
  <si>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</si>
  <si>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</si>
  <si>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</si>
  <si>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</si>
  <si>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</si>
  <si>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</si>
  <si>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</si>
  <si>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</si>
  <si>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</si>
  <si>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</si>
  <si>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</si>
  <si>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</si>
  <si>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</si>
  <si>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</si>
  <si>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</si>
  <si>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</si>
  <si>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</si>
  <si>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</si>
  <si>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</si>
  <si>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</si>
  <si>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</si>
  <si>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</si>
  <si>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</si>
  <si>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</si>
  <si>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</si>
  <si>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</si>
  <si>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</si>
  <si>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</si>
  <si>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</si>
  <si>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</si>
  <si>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</si>
  <si>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</si>
  <si>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</si>
  <si>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</si>
  <si>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</si>
  <si>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</si>
  <si>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</si>
  <si>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</si>
  <si>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</si>
  <si>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</si>
  <si>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</si>
  <si>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</si>
  <si>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</si>
  <si>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</si>
  <si>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</si>
  <si>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</si>
  <si>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</si>
  <si>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</si>
  <si>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</si>
  <si>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</si>
  <si>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</si>
  <si>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</si>
  <si>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</si>
  <si>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</si>
  <si>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</si>
  <si>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</si>
  <si>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</si>
  <si>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</si>
  <si>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</si>
  <si>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</si>
  <si>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</si>
  <si>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</si>
  <si>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</si>
  <si>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</si>
  <si>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</si>
  <si>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</si>
  <si>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</si>
  <si>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</si>
  <si>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</si>
  <si>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</si>
  <si>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</si>
  <si>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</si>
  <si>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</si>
  <si>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</si>
  <si>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</si>
  <si>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</si>
  <si>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</si>
  <si>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</si>
  <si>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</si>
  <si>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</si>
  <si>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</si>
  <si>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</si>
  <si>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</si>
  <si>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</si>
  <si>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</si>
  <si>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</si>
  <si>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</si>
  <si>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</si>
  <si>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</si>
  <si>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</si>
  <si>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</si>
  <si>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</si>
  <si>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</si>
  <si>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</si>
  <si>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</si>
  <si>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</si>
  <si>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</si>
  <si>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</si>
  <si>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</si>
  <si>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</si>
  <si>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</si>
  <si>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</si>
  <si>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</si>
  <si>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</si>
  <si>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</si>
  <si>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</si>
  <si>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</si>
  <si>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</si>
  <si>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</si>
  <si>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</si>
  <si>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</si>
  <si>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</si>
  <si>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</si>
  <si>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</si>
  <si>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</si>
  <si>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</si>
  <si>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</si>
  <si>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</si>
  <si>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</si>
  <si>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</si>
  <si>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</si>
  <si>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</si>
  <si>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</si>
  <si>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</si>
  <si>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</si>
  <si>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</si>
  <si>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</si>
  <si>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</si>
  <si>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</si>
  <si>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</si>
  <si>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</si>
  <si>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</si>
  <si>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</si>
  <si>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</si>
  <si>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</si>
  <si>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</si>
  <si>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</si>
  <si>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</si>
  <si>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</si>
  <si>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</si>
  <si>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</si>
  <si>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</si>
  <si>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</si>
  <si>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</si>
  <si>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</si>
  <si>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</si>
  <si>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</si>
  <si>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</si>
  <si>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</si>
  <si>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</si>
  <si>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</si>
  <si>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</si>
  <si>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</si>
  <si>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</si>
  <si>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</si>
  <si>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</si>
  <si>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</si>
  <si>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</si>
  <si>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</si>
  <si>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</si>
  <si>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</si>
  <si>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</si>
  <si>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</si>
  <si>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</si>
  <si>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</si>
  <si>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</si>
  <si>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</si>
  <si>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</si>
  <si>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</si>
  <si>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</si>
  <si>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</si>
  <si>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</si>
  <si>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</si>
  <si>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</si>
  <si>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</si>
  <si>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</si>
  <si>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</si>
  <si>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</si>
  <si>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</si>
  <si>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</si>
  <si>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</si>
  <si>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</si>
  <si>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</si>
  <si>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</si>
  <si>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</si>
  <si>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</si>
  <si>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</si>
  <si>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</si>
  <si>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</si>
  <si>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</si>
  <si>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</si>
  <si>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</si>
  <si>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</si>
  <si>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</si>
  <si>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</si>
  <si>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</si>
  <si>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</si>
  <si>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</si>
  <si>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</si>
  <si>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</si>
  <si>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</si>
  <si>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</si>
  <si>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</si>
  <si>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</si>
  <si>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</si>
  <si>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</si>
  <si>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</si>
  <si>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</si>
  <si>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</si>
  <si>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</si>
  <si>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</si>
  <si>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</si>
  <si>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</si>
  <si>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</si>
  <si>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</si>
  <si>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</si>
  <si>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</si>
  <si>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</si>
  <si>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</si>
  <si>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</si>
  <si>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</si>
  <si>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</si>
  <si>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</si>
  <si>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</si>
  <si>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</si>
  <si>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</si>
  <si>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</si>
  <si>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</si>
  <si>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</si>
  <si>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</si>
  <si>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</si>
  <si>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</si>
  <si>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</si>
  <si>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</si>
  <si>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</si>
  <si>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</si>
  <si>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</si>
  <si>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</si>
  <si>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</si>
  <si>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</si>
  <si>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</si>
  <si>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</si>
  <si>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</si>
  <si>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</si>
  <si>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</si>
  <si>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</si>
  <si>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</si>
  <si>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</si>
  <si>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</si>
  <si>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</si>
  <si>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</si>
  <si>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</si>
  <si>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</si>
  <si>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</si>
  <si>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</si>
  <si>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</si>
  <si>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</si>
  <si>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</si>
  <si>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</si>
  <si>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</si>
  <si>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</si>
  <si>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</si>
  <si>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</si>
  <si>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</si>
  <si>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</si>
  <si>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</si>
  <si>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</si>
  <si>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</si>
  <si>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</si>
  <si>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</si>
  <si>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</si>
  <si>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</si>
  <si>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</si>
  <si>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</si>
  <si>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</si>
  <si>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</si>
  <si>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</si>
  <si>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</si>
  <si>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</si>
  <si>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</si>
  <si>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</si>
  <si>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</si>
  <si>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</si>
  <si>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</si>
  <si>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</si>
  <si>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</si>
  <si>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</si>
  <si>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</si>
  <si>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</si>
  <si>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</si>
  <si>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</si>
  <si>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</si>
  <si>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</si>
  <si>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</si>
  <si>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</si>
  <si>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</si>
  <si>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</si>
  <si>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</si>
  <si>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</si>
  <si>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</si>
  <si>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</si>
  <si>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</si>
  <si>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</si>
  <si>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</si>
  <si>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</si>
  <si>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</si>
  <si>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</si>
  <si>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</si>
  <si>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</si>
  <si>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</si>
  <si>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</si>
  <si>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</si>
  <si>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</si>
  <si>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</si>
  <si>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</si>
  <si>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</si>
  <si>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</si>
  <si>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</si>
  <si>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</si>
  <si>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</si>
  <si>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</si>
  <si>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</si>
  <si>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</si>
  <si>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</si>
  <si>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</si>
  <si>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</si>
  <si>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</si>
  <si>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</si>
  <si>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</si>
  <si>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</si>
  <si>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</si>
  <si>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</si>
  <si>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</si>
  <si>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</si>
  <si>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</si>
  <si>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</si>
  <si>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</si>
  <si>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</si>
  <si>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</si>
  <si>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</si>
  <si>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</si>
  <si>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</si>
  <si>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</si>
  <si>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</si>
  <si>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</si>
  <si>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</si>
  <si>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</si>
  <si>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</si>
  <si>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</si>
  <si>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</si>
  <si>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</si>
  <si>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</si>
  <si>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</si>
  <si>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</si>
  <si>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</si>
  <si>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</si>
  <si>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</si>
  <si>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</si>
  <si>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</si>
  <si>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</si>
  <si>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</si>
  <si>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</si>
  <si>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</si>
  <si>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</si>
  <si>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</si>
  <si>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</si>
  <si>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</si>
  <si>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</si>
  <si>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</si>
  <si>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</si>
  <si>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</si>
  <si>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</si>
  <si>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</si>
  <si>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</si>
  <si>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</si>
  <si>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</si>
  <si>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</si>
  <si>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</si>
  <si>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</si>
  <si>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</si>
  <si>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</si>
  <si>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</si>
  <si>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</si>
  <si>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</si>
  <si>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</si>
  <si>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</si>
  <si>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</si>
  <si>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</si>
  <si>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</si>
  <si>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</si>
  <si>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</si>
  <si>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</si>
  <si>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</si>
  <si>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</si>
  <si>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</si>
  <si>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</si>
  <si>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</si>
  <si>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</si>
  <si>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</si>
  <si>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</si>
  <si>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</si>
  <si>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</si>
  <si>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</si>
  <si>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</si>
  <si>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</si>
  <si>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</si>
  <si>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</si>
  <si>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</si>
  <si>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</si>
  <si>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</si>
  <si>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</si>
  <si>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</si>
  <si>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</si>
  <si>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</si>
  <si>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</si>
  <si>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</si>
  <si>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</si>
  <si>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</si>
  <si>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</si>
  <si>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</si>
  <si>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</si>
  <si>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</si>
  <si>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</si>
  <si>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</si>
  <si>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</si>
  <si>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</si>
  <si>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</si>
  <si>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</si>
  <si>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</si>
  <si>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</si>
  <si>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</si>
  <si>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</si>
  <si>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</si>
  <si>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</si>
  <si>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</si>
  <si>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</si>
  <si>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</si>
  <si>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</si>
  <si>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</si>
  <si>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</si>
  <si>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</si>
  <si>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</si>
  <si>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</si>
  <si>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</si>
  <si>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</si>
  <si>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</si>
  <si>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</si>
  <si>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</si>
  <si>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</si>
  <si>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</si>
  <si>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</si>
  <si>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</si>
  <si>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</si>
  <si>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</si>
  <si>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</si>
  <si>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</si>
  <si>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</si>
  <si>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</si>
  <si>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</si>
  <si>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</si>
  <si>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</si>
  <si>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</si>
  <si>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</si>
  <si>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</si>
  <si>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</si>
  <si>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</si>
  <si>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</si>
  <si>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</si>
  <si>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</si>
  <si>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</si>
  <si>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</si>
  <si>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</si>
  <si>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</si>
  <si>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</si>
  <si>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</si>
  <si>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</si>
  <si>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</si>
  <si>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</si>
  <si>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</si>
  <si>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</si>
  <si>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</si>
  <si>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</si>
  <si>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</si>
  <si>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</si>
  <si>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</si>
  <si>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</si>
  <si>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</si>
  <si>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</si>
  <si>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</si>
  <si>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</si>
  <si>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</si>
  <si>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</si>
  <si>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</si>
  <si>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</si>
  <si>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</si>
  <si>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</si>
  <si>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</si>
  <si>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</si>
  <si>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</si>
  <si>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</si>
  <si>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</si>
  <si>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</si>
  <si>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</si>
  <si>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</si>
  <si>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</si>
  <si>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</si>
  <si>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</si>
  <si>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</si>
  <si>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</si>
  <si>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</si>
  <si>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</si>
  <si>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</si>
  <si>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</si>
  <si>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</si>
  <si>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</si>
  <si>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</si>
  <si>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</si>
  <si>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</si>
  <si>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</si>
  <si>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</si>
  <si>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</si>
  <si>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</si>
  <si>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</si>
  <si>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</si>
  <si>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</si>
  <si>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</si>
  <si>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</si>
  <si>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</si>
  <si>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</si>
  <si>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</si>
  <si>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</si>
  <si>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</si>
  <si>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</si>
  <si>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</si>
  <si>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</si>
  <si>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</si>
  <si>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</si>
  <si>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</si>
  <si>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</si>
  <si>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</si>
  <si>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</si>
  <si>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</si>
  <si>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</si>
  <si>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</si>
  <si>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</si>
  <si>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</si>
  <si>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</si>
  <si>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</si>
  <si>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</si>
  <si>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</si>
  <si>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</si>
  <si>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</si>
  <si>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</si>
  <si>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</si>
  <si>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</si>
  <si>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</si>
  <si>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</si>
  <si>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</si>
  <si>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</si>
  <si>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</si>
  <si>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</si>
  <si>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</si>
  <si>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</si>
  <si>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</si>
  <si>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</si>
  <si>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</si>
  <si>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</si>
  <si>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</si>
  <si>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</si>
  <si>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</si>
  <si>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</si>
  <si>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</si>
  <si>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</si>
  <si>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</si>
  <si>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</si>
  <si>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</si>
  <si>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</si>
  <si>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</si>
  <si>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</si>
  <si>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</si>
  <si>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</si>
  <si>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</si>
  <si>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</si>
  <si>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</si>
  <si>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</si>
  <si>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</si>
  <si>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</si>
  <si>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</si>
  <si>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</si>
  <si>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</si>
  <si>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</si>
  <si>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</si>
  <si>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</si>
  <si>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</si>
  <si>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</si>
  <si>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</si>
  <si>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</si>
  <si>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</si>
  <si>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</si>
  <si>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</si>
  <si>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</si>
  <si>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</si>
  <si>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</si>
  <si>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</si>
  <si>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</si>
  <si>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</si>
  <si>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</si>
  <si>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</si>
  <si>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</si>
  <si>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</si>
  <si>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</si>
  <si>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</si>
  <si>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</si>
  <si>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</si>
  <si>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</si>
  <si>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</si>
  <si>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</si>
  <si>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</si>
  <si>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</si>
  <si>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</si>
  <si>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</si>
  <si>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</si>
  <si>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</si>
  <si>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</si>
  <si>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</si>
  <si>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</si>
  <si>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</si>
  <si>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</si>
  <si>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</si>
  <si>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</si>
  <si>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</si>
  <si>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</si>
  <si>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</si>
  <si>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</si>
  <si>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</si>
  <si>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</si>
  <si>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</si>
  <si>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</si>
  <si>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</si>
  <si>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</si>
  <si>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</si>
  <si>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</si>
  <si>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</si>
  <si>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</si>
  <si>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</si>
  <si>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</si>
  <si>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</si>
  <si>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</si>
  <si>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</si>
  <si>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</si>
  <si>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</si>
  <si>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</si>
  <si>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</si>
  <si>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</si>
  <si>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</si>
  <si>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</si>
  <si>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</si>
  <si>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</si>
  <si>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</si>
  <si>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</si>
  <si>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</si>
  <si>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</si>
  <si>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</si>
  <si>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</si>
  <si>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</si>
  <si>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</si>
  <si>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</si>
  <si>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</si>
  <si>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</si>
  <si>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</si>
  <si>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</si>
  <si>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</si>
  <si>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</si>
  <si>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</si>
  <si>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</si>
  <si>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</si>
  <si>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</si>
  <si>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</si>
  <si>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</si>
  <si>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</si>
  <si>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</si>
  <si>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</si>
  <si>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</si>
  <si>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</si>
  <si>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</si>
  <si>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</si>
  <si>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</si>
  <si>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</si>
  <si>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</si>
  <si>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</si>
  <si>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</si>
  <si>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</si>
  <si>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</si>
  <si>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</si>
  <si>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</si>
  <si>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</si>
  <si>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</si>
  <si>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</si>
  <si>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</si>
  <si>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</si>
  <si>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</si>
  <si>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</si>
  <si>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</si>
  <si>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</si>
  <si>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</si>
  <si>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</si>
  <si>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</si>
  <si>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</si>
  <si>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</si>
  <si>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</si>
  <si>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</si>
  <si>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</si>
  <si>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</si>
  <si>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</si>
  <si>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</si>
  <si>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</si>
  <si>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</si>
  <si>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</si>
  <si>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</si>
  <si>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</si>
  <si>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</si>
  <si>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</si>
  <si>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</si>
  <si>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</si>
  <si>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</si>
  <si>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</si>
  <si>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</si>
  <si>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</si>
  <si>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</si>
  <si>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</si>
  <si>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</si>
  <si>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</si>
  <si>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</si>
  <si>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</si>
  <si>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</si>
  <si>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</si>
  <si>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</si>
  <si>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</si>
  <si>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</si>
  <si>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</si>
  <si>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</si>
  <si>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</si>
  <si>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</si>
  <si>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</si>
  <si>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</si>
  <si>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</si>
  <si>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</si>
  <si>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</si>
  <si>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</si>
  <si>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</si>
  <si>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</si>
  <si>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</si>
  <si>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</si>
  <si>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</si>
  <si>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</si>
  <si>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</si>
  <si>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</si>
  <si>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</si>
  <si>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</si>
  <si>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</si>
  <si>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</si>
  <si>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</si>
  <si>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</si>
  <si>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</si>
  <si>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</si>
  <si>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</si>
  <si>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</si>
  <si>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</si>
  <si>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</si>
  <si>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</si>
  <si>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</si>
  <si>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</si>
  <si>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</si>
  <si>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</si>
  <si>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</si>
  <si>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</si>
  <si>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</si>
  <si>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</si>
  <si>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</si>
  <si>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</si>
  <si>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</si>
  <si>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</si>
  <si>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</si>
  <si>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</si>
  <si>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</si>
  <si>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</si>
  <si>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</si>
  <si>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</si>
  <si>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</si>
  <si>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简单装修</t>
  </si>
  <si>
    <t>毛坯</t>
  </si>
  <si>
    <t>毛坯</t>
    <phoneticPr fontId="21" type="noConversion"/>
  </si>
  <si>
    <t>较好</t>
  </si>
  <si>
    <t>一般</t>
  </si>
  <si>
    <t>60-70（含）</t>
  </si>
  <si>
    <t>小高层、洋房</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</si>
  <si>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</si>
  <si>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</si>
  <si>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</si>
  <si>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</si>
  <si>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</si>
  <si>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</si>
  <si>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</si>
  <si>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</si>
  <si>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</si>
  <si>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</si>
  <si>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</si>
  <si>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</si>
  <si>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</si>
  <si>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</si>
  <si>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</si>
  <si>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</si>
  <si>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</si>
  <si>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</si>
  <si>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</si>
  <si>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</si>
  <si>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</si>
  <si>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北京市大兴区西红门镇DX04-0102-6011、6014地块R2二类居住用地(配建“保障性租赁住房”)    </t>
  </si>
  <si>
    <t>京土整储挂(兴)[2021]061号</t>
  </si>
  <si>
    <t xml:space="preserve">北京市大兴区榆垡镇中心区DX09-0102-0027、0044地块R2二类居住用地    </t>
  </si>
  <si>
    <t>京土整储挂(兴)[2021]018号</t>
  </si>
  <si>
    <t xml:space="preserve">北京市大兴区旧宫镇南郊农场棚户区改造项目DX05-0200-0037、0038、6002等地块R2二类居住用地    </t>
  </si>
  <si>
    <t>京土整储挂(开)【2020】056号</t>
  </si>
  <si>
    <t xml:space="preserve">北京市大兴区西红门镇B1-05-(3)地块R2二类居住用地    </t>
  </si>
  <si>
    <t>京土整储挂(兴)[2020]011号</t>
  </si>
  <si>
    <t xml:space="preserve">北京市大兴区采育镇DX10-0001-6004地块R2二类居住用地    </t>
  </si>
  <si>
    <t>京土整储挂(兴)[2019]054号</t>
  </si>
  <si>
    <t xml:space="preserve">北京市大兴区采育镇01-0042地块R2二类居住用地    </t>
  </si>
  <si>
    <t>京土整储挂(兴)[2019]052号</t>
  </si>
  <si>
    <t xml:space="preserve">北京经济技术开发区路东区E9R3、E9R4地块R2二类居住用地    </t>
  </si>
  <si>
    <t>京土整储挂(开)[2019]031号</t>
  </si>
  <si>
    <t xml:space="preserve">北京市大兴区瀛海镇YZ00-0803-0802、6021地块R2二类居住用地    </t>
  </si>
  <si>
    <t>京土整储挂(兴)[2019]022号</t>
  </si>
  <si>
    <t xml:space="preserve">北京经济技术开发区河西区X92R1地块R2二类居住用地    </t>
  </si>
  <si>
    <t>京土整储挂(开)[2019]010号</t>
  </si>
  <si>
    <t xml:space="preserve">北京经济技术开发区河西区X92R2地块R2二类居住用地    </t>
  </si>
  <si>
    <t>京土整储挂(开)[2019]011号</t>
  </si>
  <si>
    <t xml:space="preserve">北京市大兴区采育镇区01-0119地块R2二类居住用地    </t>
  </si>
  <si>
    <t>京土整储挂(兴)[2018]035号</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</si>
  <si>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</si>
  <si>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</si>
  <si>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</si>
  <si>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</si>
  <si>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</si>
  <si>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</si>
  <si>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</si>
  <si>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</si>
  <si>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</si>
  <si>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</si>
  <si>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</si>
  <si>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</si>
  <si>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较规则</t>
  </si>
  <si>
    <t>较规则</t>
    <phoneticPr fontId="26" type="noConversion"/>
  </si>
  <si>
    <t>较好</t>
    <phoneticPr fontId="26" type="noConversion"/>
  </si>
  <si>
    <t>限价</t>
    <phoneticPr fontId="26" type="noConversion"/>
  </si>
  <si>
    <t>无限价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</si>
  <si>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</si>
  <si>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</si>
  <si>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</si>
  <si>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</si>
  <si>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</si>
  <si>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</si>
  <si>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</si>
  <si>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</si>
  <si>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</si>
  <si>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</si>
  <si>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</si>
  <si>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</si>
  <si>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</si>
  <si>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</si>
  <si>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</si>
  <si>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</si>
  <si>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</si>
  <si>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</si>
  <si>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</si>
  <si>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</si>
  <si>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</si>
  <si>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</si>
  <si>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</si>
  <si>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</si>
  <si>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</si>
  <si>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</si>
  <si>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</si>
  <si>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</si>
  <si>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</si>
  <si>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</si>
  <si>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</si>
  <si>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</si>
  <si>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</si>
  <si>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</si>
  <si>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</si>
  <si>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</si>
  <si>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</si>
  <si>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</si>
  <si>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</si>
  <si>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</si>
  <si>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</si>
  <si>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S1配套</t>
    <phoneticPr fontId="3" type="noConversion"/>
  </si>
  <si>
    <t>S2配套</t>
  </si>
  <si>
    <t>S3配套</t>
  </si>
  <si>
    <t>S4配套</t>
  </si>
  <si>
    <t>地下车库</t>
    <phoneticPr fontId="3" type="noConversion"/>
  </si>
  <si>
    <t>18班幼儿园</t>
    <phoneticPr fontId="3" type="noConversion"/>
  </si>
  <si>
    <t>门卫室</t>
    <phoneticPr fontId="3" type="noConversion"/>
  </si>
  <si>
    <t>合计</t>
    <phoneticPr fontId="3" type="noConversion"/>
  </si>
  <si>
    <t>地下</t>
  </si>
  <si>
    <t>戊类库房</t>
  </si>
  <si>
    <t>不含幼儿园地块</t>
    <phoneticPr fontId="225" type="noConversion"/>
  </si>
  <si>
    <t>社区管理用房</t>
    <phoneticPr fontId="225" type="noConversion"/>
  </si>
  <si>
    <t>托老所</t>
    <phoneticPr fontId="225" type="noConversion"/>
  </si>
  <si>
    <t>老年活动站</t>
    <phoneticPr fontId="225" type="noConversion"/>
  </si>
  <si>
    <t>社区助残服务中心</t>
    <phoneticPr fontId="225" type="noConversion"/>
  </si>
  <si>
    <t>室内体育设施</t>
    <phoneticPr fontId="225" type="noConversion"/>
  </si>
  <si>
    <t>社区文化设施</t>
    <phoneticPr fontId="225" type="noConversion"/>
  </si>
  <si>
    <t>社区卫生服务站</t>
    <phoneticPr fontId="225" type="noConversion"/>
  </si>
  <si>
    <t>社区卫生监督站</t>
    <phoneticPr fontId="225" type="noConversion"/>
  </si>
  <si>
    <t>仓储</t>
    <phoneticPr fontId="7" type="noConversion"/>
  </si>
  <si>
    <t>车库</t>
    <phoneticPr fontId="7" type="noConversion"/>
  </si>
  <si>
    <t xml:space="preserve">北京市大兴区瀛海镇集体经营性建设用地入市试点(一期) YZ00-0803-0012 地块    </t>
  </si>
  <si>
    <t>YZ00-0803-0012</t>
  </si>
  <si>
    <t xml:space="preserve">       综合用地(含住宅)</t>
  </si>
  <si>
    <t xml:space="preserve">       挂牌</t>
  </si>
  <si>
    <t xml:space="preserve">       F81绿隔产业用地(建设人才公寓)</t>
  </si>
  <si>
    <t xml:space="preserve">--       </t>
  </si>
  <si>
    <t xml:space="preserve">       已成交</t>
  </si>
  <si>
    <t xml:space="preserve">  北京博大新元房地产开发有限公司      </t>
  </si>
  <si>
    <t xml:space="preserve">       --</t>
  </si>
  <si>
    <t xml:space="preserve">北京市大兴区黄村镇DX00-0102-0208-6026、6020地块R2二类居住用地、A334托幼用地    </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</si>
  <si>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</si>
  <si>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</si>
  <si>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</si>
  <si>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</si>
  <si>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、北京兴创置地房地产开发有限公司联合体      </t>
  </si>
  <si>
    <t xml:space="preserve">       2021-10-11 15:00</t>
  </si>
  <si>
    <t xml:space="preserve">       住宅用地</t>
  </si>
  <si>
    <t xml:space="preserve">       &lt;2.5</t>
  </si>
  <si>
    <t xml:space="preserve">       R2二类居住用地</t>
  </si>
  <si>
    <t xml:space="preserve">  华润置地开发(北京)有限公司 、中铁置业集团北京有限公司      </t>
  </si>
  <si>
    <t xml:space="preserve">北京市大兴区大兴新城核心区H组团DX00-0106-001a、001b地块R2二类居住用地、A334基础教育用地    </t>
  </si>
  <si>
    <t>京土整储挂(兴)[2021]030号</t>
  </si>
  <si>
    <t xml:space="preserve">       ≤2.0</t>
  </si>
  <si>
    <t xml:space="preserve">       R2二类居住用地、A334基础教育用地</t>
  </si>
  <si>
    <t xml:space="preserve">2021年第1批次       </t>
  </si>
  <si>
    <t xml:space="preserve">  中冶置业集团有限公司 、宁波雨航企业管理合伙企业(有限合伙)      </t>
  </si>
  <si>
    <t xml:space="preserve">       2021-05-07 15:00</t>
  </si>
  <si>
    <t xml:space="preserve">北京市大兴区旧宫镇DX05-0102-6101、6102、YZ00-0801-0015、0016地块B4综合性商业金融服务业用地、U17邮政设施用地、R2二类居住用地(配建“公共租赁住房”)国有建设用地使用权出让    </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</si>
  <si>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</si>
  <si>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</si>
  <si>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</si>
  <si>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</si>
  <si>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 xml:space="preserve">北京市大兴区大兴新城核心区D、K组团土地一级开发DX00-0102-6006、6010、6018、6024、6026地块R2二类居住用地等    </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</si>
  <si>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</si>
  <si>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</si>
  <si>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</si>
  <si>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</si>
  <si>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 xml:space="preserve">  保利(北京)房地产开发有限公司 、北京新航城建设实业发展有限公司 、北京首都开发股份有限公司      </t>
  </si>
  <si>
    <t xml:space="preserve">集体建设用地区级统筹大兴区瀛海镇YZ00-0803-2009、2012A、2012B、2015地块    </t>
  </si>
  <si>
    <t>京土集使挂(兴)[2019]001号</t>
  </si>
  <si>
    <t xml:space="preserve">       f81≤2.5</t>
  </si>
  <si>
    <t xml:space="preserve">       F81绿隔产业用地</t>
  </si>
  <si>
    <t xml:space="preserve">  中建三局房地产开发有限公司 、湖北省鄂旅投置业集团有限公司      </t>
  </si>
  <si>
    <t xml:space="preserve">       ≤2.3</t>
  </si>
  <si>
    <t xml:space="preserve">  北京盛宏辰悦房地产开发有限公司      </t>
  </si>
  <si>
    <t xml:space="preserve">       2021-01-25 15:00</t>
  </si>
  <si>
    <t xml:space="preserve">集体建设用地区级统筹大兴区瀛海镇YZ00-0803-2003、2004、2005A、2005B、2008地块    </t>
  </si>
  <si>
    <t>京土集使挂(兴)[2019]003号</t>
  </si>
  <si>
    <t xml:space="preserve">       F81绿隔产业用地(建设共有产权房)</t>
  </si>
  <si>
    <t xml:space="preserve">  北京北投如郡房地产开发有限公司      </t>
  </si>
  <si>
    <t xml:space="preserve">       2020-12-24 17:00</t>
  </si>
  <si>
    <t xml:space="preserve">北京市大兴区黄村镇狼垡地区集体产业用地2号地DX00-1002-L06地块    </t>
  </si>
  <si>
    <t>京土集使挂(兴)[2020]001号</t>
  </si>
  <si>
    <t xml:space="preserve">       ≤2.5</t>
  </si>
  <si>
    <t xml:space="preserve">  北京兴业恒盛置业有限公司      </t>
  </si>
  <si>
    <t xml:space="preserve">       2020-12-17 17:00</t>
  </si>
  <si>
    <t xml:space="preserve">北京经济技术开发区河西区X46R1、X46R2地块R2二类居住用地、A334托幼用地国有建设用地    </t>
  </si>
  <si>
    <t>京土整储挂(开)[2020]028号</t>
  </si>
  <si>
    <t xml:space="preserve">       r2≤2.5,a33≤0.8</t>
  </si>
  <si>
    <t xml:space="preserve">       R2二类居住用地、A334托幼用地</t>
  </si>
  <si>
    <t xml:space="preserve">  北京中海地产有限公司      </t>
  </si>
  <si>
    <t xml:space="preserve">       2020-07-31 15:00</t>
  </si>
  <si>
    <t xml:space="preserve">北京市大兴区采育镇01-0129地块R2二类居住用地、01-0115地块R53托幼用地    </t>
  </si>
  <si>
    <t>京土整储挂(兴)[2020]017号</t>
  </si>
  <si>
    <t xml:space="preserve">       r2≤1.05,a53≤0.8</t>
  </si>
  <si>
    <t xml:space="preserve">       R2二类居住用地、R53托幼用地</t>
  </si>
  <si>
    <t xml:space="preserve">  北京路劲隽御房地产开发有限公司 、北京首都开发股份有限公司联合体      </t>
  </si>
  <si>
    <t xml:space="preserve">       2020-05-14 15:00</t>
  </si>
  <si>
    <t xml:space="preserve">       ≤2.1</t>
  </si>
  <si>
    <t xml:space="preserve">  北京尚恒龙端商业运营管理有限公司 、北京首都开发股份有限公司联合体      </t>
  </si>
  <si>
    <t xml:space="preserve">       2020-04-28 15:00</t>
  </si>
  <si>
    <t xml:space="preserve">北京市大兴区西红门镇B1-05-(2)地块R2二类居住用地、B2-02地块S4社会停车场用地    </t>
  </si>
  <si>
    <t>京土整储挂(兴)[2020]010号</t>
  </si>
  <si>
    <t xml:space="preserve">       r2≤2.1</t>
  </si>
  <si>
    <t xml:space="preserve">       R2二类居住用地、S4社会停车场用地</t>
  </si>
  <si>
    <t xml:space="preserve">  北京新城万隆房地产开发有限公司      </t>
  </si>
  <si>
    <t xml:space="preserve">  北京住总房地产开发有限责任公司 、北京兴创置地房地产开发有限公司联合体      </t>
  </si>
  <si>
    <t xml:space="preserve">       2020-02-17 15:00</t>
  </si>
  <si>
    <t xml:space="preserve">北京市大兴区旧宫镇YZ00-0801-0018、0019、0024、0025、0026地块二类居住用地、基础教育用地    </t>
  </si>
  <si>
    <t>京土整储挂(兴)[2019]055号</t>
  </si>
  <si>
    <t xml:space="preserve">       基础教育≤0.8,二类居住≤2.5</t>
  </si>
  <si>
    <t xml:space="preserve">       二类居住用地、基础教育用地</t>
  </si>
  <si>
    <t xml:space="preserve">  北京昱意房地产开发有限公司      </t>
  </si>
  <si>
    <t xml:space="preserve">       ≤1.05</t>
  </si>
  <si>
    <t xml:space="preserve">  京能置业股份有限公司      </t>
  </si>
  <si>
    <t xml:space="preserve">       2020-02-10 15:00</t>
  </si>
  <si>
    <t xml:space="preserve">北京经济技术开发区路东区E9R2、E9A2地块R2二类居住用地、A33基础教育用地    </t>
  </si>
  <si>
    <t>京土整储挂(开)[2019]030号</t>
  </si>
  <si>
    <t xml:space="preserve">       r2≤2.8,a33≤0.8</t>
  </si>
  <si>
    <t xml:space="preserve">       R2二类居住用地、A33基础教育用地</t>
  </si>
  <si>
    <t xml:space="preserve">  山西通建房地产开发有限公司      </t>
  </si>
  <si>
    <t xml:space="preserve">       2019-11-12 15:00</t>
  </si>
  <si>
    <t xml:space="preserve">       ≤2.8</t>
  </si>
  <si>
    <t xml:space="preserve">  招商局地产(北京)有限公司      </t>
  </si>
  <si>
    <t xml:space="preserve">北京市大兴区黄村镇孙村组团DX00-0009-6010地块R2二类居住用地、DX00-0009-6009地块A33基础教育用地    </t>
  </si>
  <si>
    <t>京土整储挂(兴)[2019]025号</t>
  </si>
  <si>
    <t xml:space="preserve">       r2≤1.8,a33≤0.8</t>
  </si>
  <si>
    <t xml:space="preserve">  北京融创恒基地产有限公司 、北京昌政大道实业有限公司联合体      </t>
  </si>
  <si>
    <t xml:space="preserve">       2019-10-14 15:00</t>
  </si>
  <si>
    <t xml:space="preserve">北京市大兴区地铁亦庄线旧宫东站2号地项目DX05-0102-6003、6004、6005地块R2居住用地、A334基础教育用地及S1城市道路用地    </t>
  </si>
  <si>
    <t>京土整储挂(兴)[2019]026号</t>
  </si>
  <si>
    <t xml:space="preserve">       r2≤2.5,幼儿园≤0.8,a33≤0.8</t>
  </si>
  <si>
    <t xml:space="preserve">       R2居住用地及A334基础教育用地及S1城市道路用地</t>
  </si>
  <si>
    <t xml:space="preserve">  中国电建地产集团有限公司 、京能置业股份有限公司联合体      </t>
  </si>
  <si>
    <t xml:space="preserve">北京市大兴区庞各庄镇DX06-0103-6001、6002、6003地块R2二类居住用地、A33基础教育用地    </t>
  </si>
  <si>
    <t>京土整储挂(兴)[2019]023号</t>
  </si>
  <si>
    <t xml:space="preserve">       r2≤2,a33≤0.8</t>
  </si>
  <si>
    <t xml:space="preserve">  保利(北京)房地产开发有限公司      </t>
  </si>
  <si>
    <t xml:space="preserve">       2019-09-24 15:00</t>
  </si>
  <si>
    <t xml:space="preserve">       ≤2.2</t>
  </si>
  <si>
    <t xml:space="preserve">集体建设用地区级统筹大兴区瀛海镇YZ00-0803-2010、2013A、2013B、2014、2016地块    </t>
  </si>
  <si>
    <t>京土集使挂(兴)[2019]002号</t>
  </si>
  <si>
    <t xml:space="preserve">  北京上瑞置业有限公司      </t>
  </si>
  <si>
    <t xml:space="preserve">  北京雅信房地产开发有限公司      </t>
  </si>
  <si>
    <t xml:space="preserve">  港中旅房地产开发有限公司      </t>
  </si>
  <si>
    <t xml:space="preserve">北京市大兴区瀛海镇YZ00-0803-6024、6025、6032、6035、6038地块F1住宅混合公建用地、A33基础教育用地、S32公交场站设施用地    </t>
  </si>
  <si>
    <t>京土整储挂(兴)[2019]001号</t>
  </si>
  <si>
    <t xml:space="preserve">       f1=2.5,a33=0.8</t>
  </si>
  <si>
    <t xml:space="preserve">       F1住宅混合公建用地、A33基础教育用地、S32公交场站设施用地</t>
  </si>
  <si>
    <t>京土整储挂(兴)[2019]002号</t>
  </si>
  <si>
    <t xml:space="preserve">       F1住宅混合公建用地</t>
  </si>
  <si>
    <t xml:space="preserve">  北京金地达远企业管理咨询有限公司      </t>
  </si>
  <si>
    <t xml:space="preserve">  北京城建新城投资开发有限公司      </t>
  </si>
  <si>
    <t xml:space="preserve">北京市大兴区黄村镇三合庄村DX00-0202-6009地块F1住宅混合公建用地    </t>
    <phoneticPr fontId="225" type="noConversion"/>
  </si>
  <si>
    <r>
      <t>F1</t>
    </r>
    <r>
      <rPr>
        <sz val="11"/>
        <rFont val="宋体"/>
        <family val="3"/>
        <charset val="134"/>
      </rPr>
      <t>住宅混合公建用地</t>
    </r>
    <r>
      <rPr>
        <sz val="11"/>
        <rFont val="Arial"/>
        <family val="2"/>
      </rPr>
      <t xml:space="preserve">    </t>
    </r>
    <phoneticPr fontId="26" type="noConversion"/>
  </si>
  <si>
    <t>21%自持</t>
    <phoneticPr fontId="26" type="noConversion"/>
  </si>
  <si>
    <t>无限价</t>
    <phoneticPr fontId="26" type="noConversion"/>
  </si>
  <si>
    <t>无配建</t>
    <phoneticPr fontId="26" type="noConversion"/>
  </si>
  <si>
    <t>无配建</t>
    <phoneticPr fontId="26" type="noConversion"/>
  </si>
  <si>
    <t>是否自持</t>
    <phoneticPr fontId="26" type="noConversion"/>
  </si>
  <si>
    <t>无自持</t>
    <phoneticPr fontId="26" type="noConversion"/>
  </si>
  <si>
    <t>无自持</t>
    <phoneticPr fontId="26" type="noConversion"/>
  </si>
  <si>
    <t>配建公共租赁住房</t>
    <phoneticPr fontId="26" type="noConversion"/>
  </si>
  <si>
    <t>配建公共租赁住房</t>
    <phoneticPr fontId="26" type="noConversion"/>
  </si>
  <si>
    <r>
      <t>21%</t>
    </r>
    <r>
      <rPr>
        <sz val="11"/>
        <color indexed="8"/>
        <rFont val="宋体"/>
        <family val="3"/>
        <charset val="134"/>
      </rPr>
      <t>自持</t>
    </r>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</si>
  <si>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</si>
  <si>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</si>
  <si>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首开龙湖熙悦宸著</t>
    <phoneticPr fontId="3" type="noConversion"/>
  </si>
  <si>
    <t>新城熙红印</t>
    <phoneticPr fontId="3" type="noConversion"/>
  </si>
  <si>
    <t>保利绿城和锦城园</t>
    <phoneticPr fontId="3" type="noConversion"/>
  </si>
  <si>
    <t>不动产收益法</t>
  </si>
  <si>
    <t>按租金收入计税</t>
  </si>
  <si>
    <t>土地（套用方法）</t>
  </si>
  <si>
    <t>不动产收益法-车库</t>
  </si>
  <si>
    <t>不动产收益法-车库</t>
    <phoneticPr fontId="14" type="noConversion"/>
  </si>
  <si>
    <t>自定义</t>
  </si>
  <si>
    <t>北京城建·宽院·国誉府</t>
    <phoneticPr fontId="3" type="noConversion"/>
  </si>
  <si>
    <t>较差</t>
  </si>
  <si>
    <t>亦庄金茂悦</t>
    <phoneticPr fontId="3" type="noConversion"/>
  </si>
  <si>
    <t>颐璟万和</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</si>
</sst>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0" fillId="0" borderId="2" xfId="0" applyBorder="1" applyAlignment="1">
      <alignment horizontal="center"/>
    </xf>
    <xf numFmtId="0" fontId="0" fillId="8" borderId="2" xfId="0" applyFill="1" applyBorder="1" applyAlignment="1">
      <alignment horizontal="center"/>
    </xf>
    <xf numFmtId="0" fontId="0" fillId="0" borderId="2" xfId="0" applyFont="1" applyFill="1" applyBorder="1" applyAlignment="1">
      <alignment horizontal="center"/>
    </xf>
    <xf numFmtId="0" fontId="0" fillId="0" borderId="2" xfId="0" applyBorder="1">
      <alignment vertical="center"/>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185" fontId="155" fillId="6" borderId="2"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0" fontId="281" fillId="6" borderId="0" xfId="16" applyNumberFormat="1" applyFill="1"/>
    <xf numFmtId="14" fontId="281" fillId="0" borderId="0" xfId="16" applyNumberFormat="1"/>
    <xf numFmtId="14" fontId="281" fillId="6" borderId="0" xfId="16" applyNumberFormat="1" applyFill="1"/>
    <xf numFmtId="0" fontId="81" fillId="5" borderId="0" xfId="0" applyNumberFormat="1" applyFont="1" applyFill="1" applyBorder="1" applyAlignment="1" applyProtection="1">
      <alignmen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59120</xdr:colOff>
      <xdr:row>21</xdr:row>
      <xdr:rowOff>157655</xdr:rowOff>
    </xdr:from>
    <xdr:to>
      <xdr:col>22</xdr:col>
      <xdr:colOff>266186</xdr:colOff>
      <xdr:row>31</xdr:row>
      <xdr:rowOff>44426</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57189" y="3744310"/>
          <a:ext cx="7038790" cy="1594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36</xdr:row>
      <xdr:rowOff>76200</xdr:rowOff>
    </xdr:from>
    <xdr:to>
      <xdr:col>4</xdr:col>
      <xdr:colOff>189288</xdr:colOff>
      <xdr:row>65</xdr:row>
      <xdr:rowOff>123198</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6543675"/>
          <a:ext cx="9704763" cy="5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56322</xdr:colOff>
      <xdr:row>28</xdr:row>
      <xdr:rowOff>33544</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856922" cy="4834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2022年1月19日（评估专业人员勘察现场之日）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根据《国有土地使用证》[]，估价对象（分摊）出让国有建设用地使用权面积为42450.9平方米。根据《建设工程规划许可证》[]、《出让合同》[]，估价对象规划建筑面积为173860.48平方米。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估价期日：2022年1月19日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42450.9</v>
      </c>
    </row>
    <row r="44" spans="1:2">
      <c r="A44" s="2531" t="s">
        <v>2639</v>
      </c>
      <c r="B44" s="2532" t="str">
        <f>'预评函-2'!O3</f>
        <v>规划建筑面积/㎡</v>
      </c>
    </row>
    <row r="45" spans="1:2">
      <c r="A45" s="2531" t="s">
        <v>2621</v>
      </c>
      <c r="B45" s="2532">
        <f>'预评函-2'!O5</f>
        <v>173860.47999999998</v>
      </c>
    </row>
    <row r="46" spans="1:2">
      <c r="A46" s="2531" t="s">
        <v>2622</v>
      </c>
      <c r="B46" s="2532">
        <f ca="1">'预评函-2'!P5</f>
        <v>86646</v>
      </c>
    </row>
    <row r="47" spans="1:2">
      <c r="A47" s="2531" t="s">
        <v>2623</v>
      </c>
      <c r="B47" s="2532">
        <f ca="1">'预评函-2'!Q5</f>
        <v>21156</v>
      </c>
    </row>
    <row r="48" spans="1:2">
      <c r="A48" s="2531" t="s">
        <v>2624</v>
      </c>
      <c r="B48" s="2532">
        <f ca="1">'预评函-2'!R5</f>
        <v>367820</v>
      </c>
    </row>
    <row r="49" spans="1:2">
      <c r="A49" s="2531" t="s">
        <v>2640</v>
      </c>
      <c r="B49" s="2532" t="str">
        <f>'预评函-2'!A6</f>
        <v>抵押价格</v>
      </c>
    </row>
    <row r="50" spans="1:2">
      <c r="A50" s="2531" t="s">
        <v>2625</v>
      </c>
      <c r="B50" s="2532">
        <f ca="1">'预评函-2'!R6</f>
        <v>362580</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综上，本次评估估价师知悉的法定优先受偿款为人民币5240万元整。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26" sqref="E2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503" t="str">
        <f>IF(B10="北京市","北京市",C10)&amp;F10&amp;B16&amp;"国有建设用地使用权"&amp;B9&amp;"预评估"</f>
        <v>北京市出让国有建设用地使用权预评估</v>
      </c>
      <c r="C1" s="3504"/>
      <c r="D1" s="3504"/>
      <c r="E1" s="3504"/>
      <c r="F1" s="3504"/>
      <c r="G1" s="3504"/>
      <c r="H1" s="3504"/>
      <c r="I1" s="3505"/>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44580</v>
      </c>
      <c r="C3" s="3431" t="s">
        <v>1969</v>
      </c>
      <c r="D3" s="3430">
        <f>B3</f>
        <v>44580</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509"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510"/>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506"/>
      <c r="C12" s="3507"/>
      <c r="D12" s="3508"/>
      <c r="E12" s="1590" t="s">
        <v>2035</v>
      </c>
      <c r="F12" s="3524" t="s">
        <v>2784</v>
      </c>
      <c r="G12" s="3525"/>
      <c r="H12" s="3525"/>
      <c r="I12" s="3526"/>
      <c r="J12" s="3005"/>
      <c r="K12" s="2988"/>
      <c r="L12" s="2984"/>
      <c r="M12" s="2984"/>
      <c r="N12" s="2985"/>
      <c r="O12" s="2986"/>
      <c r="P12" s="2985"/>
      <c r="Q12" s="2985"/>
      <c r="R12" s="2985"/>
      <c r="S12" s="2985"/>
      <c r="T12" s="2985"/>
      <c r="U12" s="2985"/>
    </row>
    <row r="13" spans="1:21">
      <c r="A13" s="1581" t="s">
        <v>2033</v>
      </c>
      <c r="B13" s="3506"/>
      <c r="C13" s="3507"/>
      <c r="D13" s="3508"/>
      <c r="E13" s="1590" t="s">
        <v>2035</v>
      </c>
      <c r="F13" s="3524" t="s">
        <v>2785</v>
      </c>
      <c r="G13" s="3525"/>
      <c r="H13" s="3525"/>
      <c r="I13" s="3526"/>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住宅2091年10月14日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车库2071年10月14日</v>
      </c>
      <c r="R16" s="1590" t="str">
        <f>IF(OR(Q16="",S16=""),"","、")</f>
        <v>、</v>
      </c>
      <c r="S16" s="2279" t="str">
        <f>IF(H17="","",H16&amp;TEXT(H17,"yyyy年m月d日;;"))</f>
        <v>仓储2071年10月14日</v>
      </c>
      <c r="T16" s="1590" t="str">
        <f>IF(OR(S16="",U16=""),"","、")</f>
        <v/>
      </c>
      <c r="U16" s="2279" t="str">
        <f>IF(I17="","",I16&amp;TEXT(I17,"yyyy年m月d日;;"))</f>
        <v/>
      </c>
    </row>
    <row r="17" spans="1:21">
      <c r="A17" s="1650"/>
      <c r="B17" s="1577"/>
      <c r="C17" s="2934" t="s">
        <v>1929</v>
      </c>
      <c r="D17" s="3432">
        <v>70050</v>
      </c>
      <c r="E17" s="1591"/>
      <c r="F17" s="1591"/>
      <c r="G17" s="1591">
        <v>62745</v>
      </c>
      <c r="H17" s="1591">
        <v>62745</v>
      </c>
      <c r="I17" s="1591"/>
      <c r="J17" s="3005"/>
      <c r="K17" s="2983" t="str">
        <f>CONCATENATE(K16,L16,M16,N16,O16,P16,Q16,R16,S16,T16,,U16)</f>
        <v>住宅2091年10月14日车库2071年10月14日、仓储2071年10月14日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69.78</v>
      </c>
      <c r="E19" s="1579" t="str">
        <f>IF(B16="出让",IF(E17="","",ROUNDDOWN(MIN((E17-$D$3)/365,E18),2)),E18)</f>
        <v/>
      </c>
      <c r="F19" s="1579" t="str">
        <f>IF(B16="出让",IF(F17="","",ROUNDDOWN(MIN((F17-$D$3)/365,F18),2)),F18)</f>
        <v/>
      </c>
      <c r="G19" s="1579">
        <f>IF(B16="出让",IF(G17="","",ROUNDDOWN(MIN((G17-$D$3)/365,G18),2)),G18)</f>
        <v>49.76</v>
      </c>
      <c r="H19" s="1579">
        <f>IF(B16="出让",IF(H17="","",ROUNDDOWN(MIN((H17-$D$3)/365,H18),2)),H18)</f>
        <v>49.76</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21"/>
      <c r="E20" s="3522"/>
      <c r="F20" s="3522"/>
      <c r="G20" s="3522"/>
      <c r="H20" s="3522"/>
      <c r="I20" s="3523"/>
      <c r="J20" s="3005"/>
      <c r="K20" s="2988"/>
      <c r="L20" s="2984"/>
      <c r="M20" s="2984"/>
      <c r="N20" s="2985"/>
      <c r="O20" s="2986"/>
      <c r="P20" s="2985"/>
      <c r="Q20" s="2985"/>
      <c r="R20" s="2985"/>
      <c r="S20" s="2985"/>
      <c r="T20" s="2985"/>
      <c r="U20" s="2985"/>
    </row>
    <row r="21" spans="1:21">
      <c r="A21" s="1650" t="s">
        <v>1932</v>
      </c>
      <c r="B21" s="1651" t="s">
        <v>1933</v>
      </c>
      <c r="C21" s="1646">
        <f>'数据-汇总表'!E3</f>
        <v>173860.47999999998</v>
      </c>
      <c r="D21" s="1647" t="s">
        <v>1934</v>
      </c>
      <c r="E21" s="3511" t="s">
        <v>1972</v>
      </c>
      <c r="F21" s="3512"/>
      <c r="G21" s="3512"/>
      <c r="H21" s="3512"/>
      <c r="I21" s="3513"/>
      <c r="J21" s="3005"/>
      <c r="K21" s="2988"/>
      <c r="L21" s="2984"/>
      <c r="M21" s="2984"/>
      <c r="N21" s="2985"/>
      <c r="O21" s="2986"/>
      <c r="P21" s="2985"/>
      <c r="Q21" s="2985"/>
      <c r="R21" s="2985"/>
      <c r="S21" s="2985"/>
      <c r="T21" s="2985"/>
      <c r="U21" s="2985"/>
    </row>
    <row r="22" spans="1:21">
      <c r="A22" s="2734" t="s">
        <v>932</v>
      </c>
      <c r="B22" s="1559" t="s">
        <v>1935</v>
      </c>
      <c r="C22" s="1580">
        <f>'数据-汇总表'!D3</f>
        <v>42450.9</v>
      </c>
      <c r="D22" s="1581" t="s">
        <v>1934</v>
      </c>
      <c r="E22" s="3511" t="s">
        <v>2786</v>
      </c>
      <c r="F22" s="3512"/>
      <c r="G22" s="3512"/>
      <c r="H22" s="3512"/>
      <c r="I22" s="3513"/>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514" t="s">
        <v>1940</v>
      </c>
      <c r="C24" s="3515"/>
      <c r="D24" s="3516" t="s">
        <v>1941</v>
      </c>
      <c r="E24" s="3517"/>
      <c r="F24" s="1599" t="s">
        <v>1942</v>
      </c>
      <c r="G24" s="3005"/>
      <c r="H24" s="3005"/>
      <c r="I24" s="3009"/>
      <c r="J24" s="3005"/>
      <c r="K24" s="3502"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502"/>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502"/>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488" t="s">
        <v>1975</v>
      </c>
      <c r="B31" s="1651" t="s">
        <v>1976</v>
      </c>
      <c r="C31" s="3527"/>
      <c r="D31" s="3528"/>
      <c r="E31" s="3005"/>
      <c r="F31" s="3005"/>
      <c r="G31" s="3005"/>
      <c r="H31" s="3005"/>
      <c r="I31" s="3009"/>
      <c r="J31" s="3005"/>
      <c r="K31" s="2991"/>
      <c r="L31" s="2985"/>
      <c r="M31" s="2985"/>
      <c r="N31" s="2985"/>
      <c r="O31" s="2985"/>
      <c r="P31" s="2985"/>
      <c r="Q31" s="2985"/>
      <c r="R31" s="2985"/>
      <c r="S31" s="2985"/>
      <c r="T31" s="2985"/>
      <c r="U31" s="2985"/>
    </row>
    <row r="32" spans="1:21">
      <c r="A32" s="3488"/>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488"/>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489"/>
      <c r="B34" s="1559" t="s">
        <v>1979</v>
      </c>
      <c r="C34" s="3490"/>
      <c r="D34" s="3491"/>
      <c r="E34" s="3005"/>
      <c r="F34" s="3005"/>
      <c r="G34" s="3005"/>
      <c r="H34" s="3005"/>
      <c r="I34" s="3009"/>
      <c r="J34" s="3005"/>
      <c r="K34" s="2991"/>
      <c r="L34" s="2985"/>
      <c r="M34" s="2985"/>
      <c r="N34" s="2985"/>
      <c r="O34" s="2985"/>
      <c r="P34" s="2985"/>
      <c r="Q34" s="2985"/>
      <c r="R34" s="2985"/>
      <c r="S34" s="2985"/>
      <c r="T34" s="2985"/>
      <c r="U34" s="2985"/>
    </row>
    <row r="35" spans="1:28">
      <c r="A35" s="3492" t="s">
        <v>828</v>
      </c>
      <c r="B35" s="1613"/>
      <c r="C35" s="1660" t="str">
        <f>IF(B35="场地平整","——","具体情况：")</f>
        <v>具体情况：</v>
      </c>
      <c r="D35" s="3494"/>
      <c r="E35" s="3495"/>
      <c r="F35" s="3495"/>
      <c r="G35" s="3495"/>
      <c r="H35" s="3495"/>
      <c r="I35" s="3496"/>
      <c r="J35" s="3005"/>
      <c r="K35" s="2992"/>
      <c r="L35" s="2984"/>
      <c r="M35" s="2984"/>
      <c r="N35" s="2985"/>
      <c r="O35" s="2986"/>
      <c r="P35" s="2985"/>
      <c r="Q35" s="2985"/>
      <c r="R35" s="2985"/>
      <c r="S35" s="2985"/>
      <c r="T35" s="2985"/>
      <c r="U35" s="2985"/>
    </row>
    <row r="36" spans="1:28">
      <c r="A36" s="3488"/>
      <c r="B36" s="3497" t="s">
        <v>2028</v>
      </c>
      <c r="C36" s="3498"/>
      <c r="D36" s="1676"/>
      <c r="E36" s="3499"/>
      <c r="F36" s="3499"/>
      <c r="G36" s="1581" t="str">
        <f>IF(B35="场地未平整","估价结果处理","")</f>
        <v/>
      </c>
      <c r="H36" s="3500"/>
      <c r="I36" s="3500"/>
      <c r="J36" s="3005"/>
      <c r="K36" s="2992"/>
      <c r="L36" s="2984"/>
      <c r="M36" s="2984"/>
      <c r="N36" s="2985"/>
      <c r="O36" s="2986"/>
      <c r="P36" s="2985"/>
      <c r="Q36" s="2985"/>
      <c r="R36" s="2985"/>
      <c r="S36" s="2985"/>
      <c r="T36" s="2985"/>
      <c r="U36" s="2985"/>
    </row>
    <row r="37" spans="1:28" ht="28.5">
      <c r="A37" s="3488"/>
      <c r="B37" s="3518"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488"/>
      <c r="B38" s="3519"/>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489"/>
      <c r="B39" s="3520"/>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501" t="s">
        <v>1959</v>
      </c>
      <c r="T40" s="1622" t="str">
        <f>NUMBERSTRING(7-K40,1)&amp;"通"</f>
        <v>七通</v>
      </c>
      <c r="U40" s="2985"/>
    </row>
    <row r="41" spans="1:28">
      <c r="A41" s="1560"/>
      <c r="B41" s="3493" t="s">
        <v>1701</v>
      </c>
      <c r="C41" s="3493"/>
      <c r="D41" s="3493"/>
      <c r="E41" s="3493"/>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501"/>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1393</v>
      </c>
      <c r="C43" s="1628" t="s">
        <v>1393</v>
      </c>
      <c r="D43" s="1628" t="s">
        <v>1393</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0"/>
  <sheetViews>
    <sheetView workbookViewId="0">
      <selection activeCell="I37" sqref="I37"/>
    </sheetView>
  </sheetViews>
  <sheetFormatPr defaultRowHeight="13.5"/>
  <cols>
    <col min="3" max="3" width="11.625" customWidth="1"/>
  </cols>
  <sheetData>
    <row r="1" spans="1:17">
      <c r="B1" s="3529" t="s">
        <v>3171</v>
      </c>
      <c r="C1" s="3529" t="s">
        <v>3172</v>
      </c>
      <c r="D1" s="3529" t="s">
        <v>3173</v>
      </c>
      <c r="E1" s="3529"/>
      <c r="F1" s="3529"/>
      <c r="G1" s="3529"/>
      <c r="H1" s="3529"/>
      <c r="I1" s="3529"/>
      <c r="J1" s="3529"/>
      <c r="K1" s="3529" t="s">
        <v>3174</v>
      </c>
      <c r="L1" s="3529"/>
      <c r="M1" s="3529"/>
      <c r="N1" s="3529"/>
      <c r="O1" s="3529"/>
      <c r="P1" s="3529"/>
      <c r="Q1" s="3529"/>
    </row>
    <row r="2" spans="1:17">
      <c r="B2" s="3529"/>
      <c r="C2" s="3529"/>
      <c r="D2" s="3442" t="s">
        <v>3175</v>
      </c>
      <c r="E2" s="3442" t="s">
        <v>3176</v>
      </c>
      <c r="F2" s="3442" t="s">
        <v>3177</v>
      </c>
      <c r="G2" s="3442" t="s">
        <v>3178</v>
      </c>
      <c r="H2" s="3442" t="s">
        <v>3179</v>
      </c>
      <c r="I2" s="3442" t="s">
        <v>3180</v>
      </c>
      <c r="J2" s="3442" t="s">
        <v>3181</v>
      </c>
      <c r="K2" s="3442" t="s">
        <v>3175</v>
      </c>
      <c r="L2" s="3442" t="s">
        <v>3182</v>
      </c>
      <c r="M2" s="3442" t="s">
        <v>3183</v>
      </c>
      <c r="N2" s="3442" t="s">
        <v>3178</v>
      </c>
      <c r="O2" s="3442" t="s">
        <v>3179</v>
      </c>
      <c r="P2" s="3442" t="s">
        <v>3180</v>
      </c>
      <c r="Q2" s="3442" t="s">
        <v>3181</v>
      </c>
    </row>
    <row r="3" spans="1:17">
      <c r="A3">
        <v>18</v>
      </c>
      <c r="B3" s="3442" t="s">
        <v>3184</v>
      </c>
      <c r="C3" s="3442">
        <f t="shared" ref="C3:C30" si="0">D3+K3</f>
        <v>12448.75</v>
      </c>
      <c r="D3" s="3442">
        <f t="shared" ref="D3:D30" si="1">SUM(E3:J3)</f>
        <v>10719.21</v>
      </c>
      <c r="E3" s="3442">
        <v>10609.15</v>
      </c>
      <c r="F3" s="3442"/>
      <c r="G3" s="3442">
        <v>60</v>
      </c>
      <c r="H3" s="3442">
        <v>50.06</v>
      </c>
      <c r="I3" s="3442"/>
      <c r="J3" s="3442"/>
      <c r="K3" s="3442">
        <f>SUM(L3:Q3)</f>
        <v>1729.54</v>
      </c>
      <c r="L3" s="3442"/>
      <c r="M3" s="3442">
        <v>516.91</v>
      </c>
      <c r="N3" s="3442">
        <f>325.88+14.01+170.93+651.75</f>
        <v>1162.57</v>
      </c>
      <c r="O3" s="3442">
        <v>50.06</v>
      </c>
      <c r="P3" s="3442"/>
      <c r="Q3" s="3442"/>
    </row>
    <row r="4" spans="1:17">
      <c r="A4">
        <v>18</v>
      </c>
      <c r="B4" s="3442" t="s">
        <v>3185</v>
      </c>
      <c r="C4" s="3442">
        <f t="shared" si="0"/>
        <v>12270.64</v>
      </c>
      <c r="D4" s="3442">
        <f t="shared" si="1"/>
        <v>10656.42</v>
      </c>
      <c r="E4" s="3442">
        <v>10656.42</v>
      </c>
      <c r="F4" s="3442"/>
      <c r="G4" s="3442"/>
      <c r="H4" s="3442"/>
      <c r="I4" s="3442"/>
      <c r="J4" s="3442"/>
      <c r="K4" s="3442">
        <f t="shared" ref="K4:K28" si="2">SUM(L4:Q4)</f>
        <v>1614.22</v>
      </c>
      <c r="L4" s="3442"/>
      <c r="M4" s="3442">
        <v>510</v>
      </c>
      <c r="N4" s="3442">
        <f>312.94+165.4+625.88</f>
        <v>1104.22</v>
      </c>
      <c r="O4" s="3442"/>
      <c r="P4" s="3442"/>
      <c r="Q4" s="3442"/>
    </row>
    <row r="5" spans="1:17">
      <c r="A5">
        <v>18</v>
      </c>
      <c r="B5" s="3442" t="s">
        <v>3186</v>
      </c>
      <c r="C5" s="3442">
        <f t="shared" si="0"/>
        <v>12304.02</v>
      </c>
      <c r="D5" s="3442">
        <f t="shared" si="1"/>
        <v>10656.06</v>
      </c>
      <c r="E5" s="3442">
        <v>10606</v>
      </c>
      <c r="F5" s="3442"/>
      <c r="G5" s="3442"/>
      <c r="H5" s="3442">
        <v>50.06</v>
      </c>
      <c r="I5" s="3442"/>
      <c r="J5" s="3442"/>
      <c r="K5" s="3442">
        <f t="shared" si="2"/>
        <v>1647.96</v>
      </c>
      <c r="L5" s="3442"/>
      <c r="M5" s="3442">
        <v>508.42</v>
      </c>
      <c r="N5" s="3442">
        <f>325.04+164.42+650.08</f>
        <v>1139.54</v>
      </c>
      <c r="O5" s="3442"/>
      <c r="P5" s="3442"/>
      <c r="Q5" s="3442"/>
    </row>
    <row r="6" spans="1:17">
      <c r="A6">
        <v>11</v>
      </c>
      <c r="B6" s="3442" t="s">
        <v>3187</v>
      </c>
      <c r="C6" s="3442">
        <f t="shared" si="0"/>
        <v>7925.24</v>
      </c>
      <c r="D6" s="3442">
        <f t="shared" si="1"/>
        <v>5896.64</v>
      </c>
      <c r="E6" s="3442">
        <v>5896.64</v>
      </c>
      <c r="F6" s="3442"/>
      <c r="G6" s="3442"/>
      <c r="H6" s="3442"/>
      <c r="I6" s="3442"/>
      <c r="J6" s="3442"/>
      <c r="K6" s="3442">
        <f t="shared" si="2"/>
        <v>2028.6</v>
      </c>
      <c r="L6" s="3442"/>
      <c r="M6" s="3442">
        <v>520.41999999999996</v>
      </c>
      <c r="N6" s="3442">
        <f>187.05+652.01</f>
        <v>839.06</v>
      </c>
      <c r="O6" s="3442"/>
      <c r="P6" s="3442">
        <v>669.12</v>
      </c>
      <c r="Q6" s="3442"/>
    </row>
    <row r="7" spans="1:17">
      <c r="A7">
        <v>10</v>
      </c>
      <c r="B7" s="3442" t="s">
        <v>3188</v>
      </c>
      <c r="C7" s="3442">
        <f t="shared" si="0"/>
        <v>6606.59</v>
      </c>
      <c r="D7" s="3442">
        <f t="shared" si="1"/>
        <v>5165.93</v>
      </c>
      <c r="E7" s="3442">
        <v>5165.93</v>
      </c>
      <c r="F7" s="3442"/>
      <c r="G7" s="3442"/>
      <c r="H7" s="3442"/>
      <c r="I7" s="3442"/>
      <c r="J7" s="3442"/>
      <c r="K7" s="3442">
        <f t="shared" si="2"/>
        <v>1440.66</v>
      </c>
      <c r="L7" s="3442"/>
      <c r="M7" s="3442">
        <v>498.27</v>
      </c>
      <c r="N7" s="3442">
        <f>276.6+112.59+553.2</f>
        <v>942.3900000000001</v>
      </c>
      <c r="O7" s="3442"/>
      <c r="P7" s="3442"/>
      <c r="Q7" s="3442"/>
    </row>
    <row r="8" spans="1:17">
      <c r="A8">
        <v>17</v>
      </c>
      <c r="B8" s="3442" t="s">
        <v>3189</v>
      </c>
      <c r="C8" s="3442">
        <f t="shared" si="0"/>
        <v>8053.92</v>
      </c>
      <c r="D8" s="3442">
        <f t="shared" si="1"/>
        <v>6936.23</v>
      </c>
      <c r="E8" s="3442">
        <v>6936.23</v>
      </c>
      <c r="F8" s="3442"/>
      <c r="G8" s="3442"/>
      <c r="H8" s="3442"/>
      <c r="I8" s="3442"/>
      <c r="J8" s="3442"/>
      <c r="K8" s="3442">
        <f t="shared" si="2"/>
        <v>1117.69</v>
      </c>
      <c r="L8" s="3442"/>
      <c r="M8" s="3442">
        <f>333.88</f>
        <v>333.88</v>
      </c>
      <c r="N8" s="3442">
        <f>222.63+115.93+445.25</f>
        <v>783.81</v>
      </c>
      <c r="O8" s="3442"/>
      <c r="P8" s="3442"/>
      <c r="Q8" s="3442"/>
    </row>
    <row r="9" spans="1:17">
      <c r="A9">
        <v>16</v>
      </c>
      <c r="B9" s="3442" t="s">
        <v>3190</v>
      </c>
      <c r="C9" s="3442">
        <f t="shared" si="0"/>
        <v>7593.68</v>
      </c>
      <c r="D9" s="3442">
        <f t="shared" si="1"/>
        <v>6533.03</v>
      </c>
      <c r="E9" s="3442">
        <v>6533.03</v>
      </c>
      <c r="F9" s="3442"/>
      <c r="G9" s="3442"/>
      <c r="H9" s="3442"/>
      <c r="I9" s="3442"/>
      <c r="J9" s="3442"/>
      <c r="K9" s="3442">
        <f t="shared" si="2"/>
        <v>1060.6500000000001</v>
      </c>
      <c r="L9" s="3442"/>
      <c r="M9" s="3442">
        <v>333.87</v>
      </c>
      <c r="N9" s="3442">
        <f>220.52+115.93+390.33</f>
        <v>726.78</v>
      </c>
      <c r="O9" s="3442"/>
      <c r="P9" s="3442"/>
      <c r="Q9" s="3442"/>
    </row>
    <row r="10" spans="1:17">
      <c r="A10">
        <v>18</v>
      </c>
      <c r="B10" s="3442" t="s">
        <v>3191</v>
      </c>
      <c r="C10" s="3442">
        <f t="shared" si="0"/>
        <v>8758.5300000000007</v>
      </c>
      <c r="D10" s="3442">
        <f t="shared" si="1"/>
        <v>7651.62</v>
      </c>
      <c r="E10" s="3442">
        <v>7651.62</v>
      </c>
      <c r="F10" s="3442"/>
      <c r="G10" s="3442"/>
      <c r="H10" s="3442"/>
      <c r="I10" s="3442"/>
      <c r="J10" s="3442"/>
      <c r="K10" s="3442">
        <f t="shared" si="2"/>
        <v>1106.9100000000001</v>
      </c>
      <c r="L10" s="3442"/>
      <c r="M10" s="3442">
        <v>324.83</v>
      </c>
      <c r="N10" s="3442">
        <f>213.24+142.36+426.48</f>
        <v>782.08</v>
      </c>
      <c r="O10" s="3442"/>
      <c r="P10" s="3442"/>
      <c r="Q10" s="3442"/>
    </row>
    <row r="11" spans="1:17">
      <c r="A11">
        <v>9</v>
      </c>
      <c r="B11" s="3442" t="s">
        <v>3192</v>
      </c>
      <c r="C11" s="3442">
        <f t="shared" si="0"/>
        <v>5961.94</v>
      </c>
      <c r="D11" s="3442">
        <f t="shared" si="1"/>
        <v>4657.07</v>
      </c>
      <c r="E11" s="3442">
        <v>4657.07</v>
      </c>
      <c r="F11" s="3442"/>
      <c r="G11" s="3442"/>
      <c r="H11" s="3442"/>
      <c r="I11" s="3442"/>
      <c r="J11" s="3442"/>
      <c r="K11" s="3442">
        <f t="shared" si="2"/>
        <v>1304.8699999999999</v>
      </c>
      <c r="L11" s="3442"/>
      <c r="M11" s="3442">
        <v>479.99</v>
      </c>
      <c r="N11" s="3442">
        <f>283.11+149.06+392.71</f>
        <v>824.88</v>
      </c>
      <c r="O11" s="3442"/>
      <c r="P11" s="3442"/>
      <c r="Q11" s="3442"/>
    </row>
    <row r="12" spans="1:17">
      <c r="A12">
        <v>17</v>
      </c>
      <c r="B12" s="3442" t="s">
        <v>3193</v>
      </c>
      <c r="C12" s="3442">
        <f t="shared" si="0"/>
        <v>7343.8</v>
      </c>
      <c r="D12" s="3442">
        <f t="shared" si="1"/>
        <v>6343.35</v>
      </c>
      <c r="E12" s="3442">
        <v>6334.71</v>
      </c>
      <c r="F12" s="3442"/>
      <c r="G12" s="3442"/>
      <c r="H12" s="3442"/>
      <c r="I12" s="3442"/>
      <c r="J12" s="3442">
        <v>8.64</v>
      </c>
      <c r="K12" s="3442">
        <f t="shared" si="2"/>
        <v>1000.45</v>
      </c>
      <c r="L12" s="3442"/>
      <c r="M12" s="3442">
        <v>352.02</v>
      </c>
      <c r="N12" s="3442">
        <f>220.52+143.85+284.06</f>
        <v>648.43000000000006</v>
      </c>
      <c r="O12" s="3442"/>
      <c r="P12" s="3442"/>
      <c r="Q12" s="3442"/>
    </row>
    <row r="13" spans="1:17">
      <c r="A13">
        <v>9</v>
      </c>
      <c r="B13" s="3442" t="s">
        <v>3194</v>
      </c>
      <c r="C13" s="3442">
        <f t="shared" si="0"/>
        <v>4285.0200000000004</v>
      </c>
      <c r="D13" s="3442">
        <f t="shared" si="1"/>
        <v>3459.46</v>
      </c>
      <c r="E13" s="3442">
        <v>3459.46</v>
      </c>
      <c r="F13" s="3442"/>
      <c r="G13" s="3442"/>
      <c r="H13" s="3442"/>
      <c r="I13" s="3442"/>
      <c r="J13" s="3442"/>
      <c r="K13" s="3442">
        <f t="shared" si="2"/>
        <v>825.56</v>
      </c>
      <c r="L13" s="3442"/>
      <c r="M13" s="3442">
        <v>349.68</v>
      </c>
      <c r="N13" s="3442">
        <f>216.04+153.28+106.56</f>
        <v>475.88</v>
      </c>
      <c r="O13" s="3442"/>
      <c r="P13" s="3442"/>
      <c r="Q13" s="3442"/>
    </row>
    <row r="14" spans="1:17">
      <c r="A14">
        <v>9</v>
      </c>
      <c r="B14" s="3442" t="s">
        <v>3195</v>
      </c>
      <c r="C14" s="3442">
        <f t="shared" si="0"/>
        <v>4301.9400000000005</v>
      </c>
      <c r="D14" s="3442">
        <f t="shared" si="1"/>
        <v>3459.46</v>
      </c>
      <c r="E14" s="3442">
        <v>3459.46</v>
      </c>
      <c r="F14" s="3442"/>
      <c r="G14" s="3442"/>
      <c r="H14" s="3442"/>
      <c r="I14" s="3442"/>
      <c r="J14" s="3442"/>
      <c r="K14" s="3442">
        <f t="shared" si="2"/>
        <v>842.48</v>
      </c>
      <c r="L14" s="3442"/>
      <c r="M14" s="3442">
        <v>361.16</v>
      </c>
      <c r="N14" s="3442">
        <f>216.04+153.28+112</f>
        <v>481.32</v>
      </c>
      <c r="O14" s="3442"/>
      <c r="P14" s="3442"/>
      <c r="Q14" s="3442"/>
    </row>
    <row r="15" spans="1:17">
      <c r="A15">
        <v>8</v>
      </c>
      <c r="B15" s="3442" t="s">
        <v>3196</v>
      </c>
      <c r="C15" s="3442">
        <f t="shared" si="0"/>
        <v>3875.28</v>
      </c>
      <c r="D15" s="3442">
        <f t="shared" si="1"/>
        <v>3074.36</v>
      </c>
      <c r="E15" s="3442">
        <v>3074.36</v>
      </c>
      <c r="F15" s="3442"/>
      <c r="G15" s="3442"/>
      <c r="H15" s="3442"/>
      <c r="I15" s="3442"/>
      <c r="J15" s="3442"/>
      <c r="K15" s="3442">
        <f t="shared" si="2"/>
        <v>800.92000000000007</v>
      </c>
      <c r="L15" s="3442"/>
      <c r="M15" s="3442">
        <f>316.16</f>
        <v>316.16000000000003</v>
      </c>
      <c r="N15" s="3442">
        <f>198.87+183.07+102.82</f>
        <v>484.76</v>
      </c>
      <c r="O15" s="3442"/>
      <c r="P15" s="3442"/>
      <c r="Q15" s="3442"/>
    </row>
    <row r="16" spans="1:17">
      <c r="A16">
        <v>5</v>
      </c>
      <c r="B16" s="3442" t="s">
        <v>3197</v>
      </c>
      <c r="C16" s="3442">
        <f t="shared" si="0"/>
        <v>1525.52</v>
      </c>
      <c r="D16" s="3442">
        <f t="shared" si="1"/>
        <v>972.62</v>
      </c>
      <c r="E16" s="3442">
        <v>972.62</v>
      </c>
      <c r="F16" s="3442"/>
      <c r="G16" s="3442"/>
      <c r="H16" s="3442"/>
      <c r="I16" s="3442"/>
      <c r="J16" s="3442"/>
      <c r="K16" s="3442">
        <f t="shared" si="2"/>
        <v>552.90000000000009</v>
      </c>
      <c r="L16" s="3442"/>
      <c r="M16" s="3442">
        <v>274.05</v>
      </c>
      <c r="N16" s="3442">
        <f>92.78+139.43+46.64</f>
        <v>278.85000000000002</v>
      </c>
      <c r="O16" s="3442"/>
      <c r="P16" s="3442"/>
      <c r="Q16" s="3442"/>
    </row>
    <row r="17" spans="1:17">
      <c r="A17">
        <v>11</v>
      </c>
      <c r="B17" s="3442" t="s">
        <v>3198</v>
      </c>
      <c r="C17" s="3442">
        <f t="shared" si="0"/>
        <v>7847.26</v>
      </c>
      <c r="D17" s="3442">
        <f t="shared" si="1"/>
        <v>5749.92</v>
      </c>
      <c r="E17" s="3442">
        <v>5749.92</v>
      </c>
      <c r="F17" s="3442"/>
      <c r="G17" s="3442"/>
      <c r="H17" s="3442"/>
      <c r="I17" s="3442"/>
      <c r="J17" s="3442"/>
      <c r="K17" s="3442">
        <f t="shared" si="2"/>
        <v>2097.34</v>
      </c>
      <c r="L17" s="3442"/>
      <c r="M17" s="3442">
        <v>512.79999999999995</v>
      </c>
      <c r="N17" s="3442">
        <f>191.96+675.26</f>
        <v>867.22</v>
      </c>
      <c r="O17" s="3442"/>
      <c r="P17" s="3442">
        <v>717.32</v>
      </c>
      <c r="Q17" s="3442"/>
    </row>
    <row r="18" spans="1:17">
      <c r="A18">
        <v>18</v>
      </c>
      <c r="B18" s="3442" t="s">
        <v>3199</v>
      </c>
      <c r="C18" s="3442">
        <f t="shared" si="0"/>
        <v>8767.6299999999992</v>
      </c>
      <c r="D18" s="3442">
        <f t="shared" si="1"/>
        <v>7651.62</v>
      </c>
      <c r="E18" s="3442">
        <v>7651.62</v>
      </c>
      <c r="F18" s="3442"/>
      <c r="G18" s="3442"/>
      <c r="H18" s="3442"/>
      <c r="I18" s="3442"/>
      <c r="J18" s="3442"/>
      <c r="K18" s="3442">
        <f t="shared" si="2"/>
        <v>1116.01</v>
      </c>
      <c r="L18" s="3442"/>
      <c r="M18" s="3442">
        <v>325.79000000000002</v>
      </c>
      <c r="N18" s="3442">
        <f>215.17+144.71+430.34</f>
        <v>790.22</v>
      </c>
      <c r="O18" s="3442"/>
      <c r="P18" s="3442"/>
      <c r="Q18" s="3442"/>
    </row>
    <row r="19" spans="1:17">
      <c r="A19">
        <v>11</v>
      </c>
      <c r="B19" s="3442" t="s">
        <v>3200</v>
      </c>
      <c r="C19" s="3442">
        <f t="shared" si="0"/>
        <v>5762.52</v>
      </c>
      <c r="D19" s="3442">
        <f t="shared" si="1"/>
        <v>4451.09</v>
      </c>
      <c r="E19" s="3442">
        <v>4451.09</v>
      </c>
      <c r="F19" s="3442"/>
      <c r="G19" s="3442"/>
      <c r="H19" s="3442"/>
      <c r="I19" s="3442"/>
      <c r="J19" s="3442"/>
      <c r="K19" s="3442">
        <f t="shared" si="2"/>
        <v>1311.43</v>
      </c>
      <c r="L19" s="3442"/>
      <c r="M19" s="3442">
        <v>619.71</v>
      </c>
      <c r="N19" s="3442">
        <f>327.49+193.95+170.28</f>
        <v>691.72</v>
      </c>
      <c r="O19" s="3442"/>
      <c r="P19" s="3442"/>
      <c r="Q19" s="3442"/>
    </row>
    <row r="20" spans="1:17">
      <c r="A20">
        <v>9</v>
      </c>
      <c r="B20" s="3442" t="s">
        <v>3201</v>
      </c>
      <c r="C20" s="3442">
        <f t="shared" si="0"/>
        <v>4110.3500000000004</v>
      </c>
      <c r="D20" s="3442">
        <f t="shared" si="1"/>
        <v>3270.66</v>
      </c>
      <c r="E20" s="3442">
        <v>3270.66</v>
      </c>
      <c r="F20" s="3442"/>
      <c r="G20" s="3442"/>
      <c r="H20" s="3442"/>
      <c r="I20" s="3442"/>
      <c r="J20" s="3442"/>
      <c r="K20" s="3442">
        <f t="shared" si="2"/>
        <v>839.69</v>
      </c>
      <c r="L20" s="3442"/>
      <c r="M20" s="3442">
        <v>366.16</v>
      </c>
      <c r="N20" s="3442">
        <f>214.97+144.92+113.64</f>
        <v>473.53</v>
      </c>
      <c r="O20" s="3442"/>
      <c r="P20" s="3442"/>
      <c r="Q20" s="3442"/>
    </row>
    <row r="21" spans="1:17">
      <c r="A21">
        <v>6</v>
      </c>
      <c r="B21" s="3442" t="s">
        <v>3202</v>
      </c>
      <c r="C21" s="3442">
        <f t="shared" si="0"/>
        <v>3232.5600000000004</v>
      </c>
      <c r="D21" s="3442">
        <f t="shared" si="1"/>
        <v>2313.34</v>
      </c>
      <c r="E21" s="3442">
        <v>2313.34</v>
      </c>
      <c r="F21" s="3442"/>
      <c r="G21" s="3442"/>
      <c r="H21" s="3442"/>
      <c r="I21" s="3442"/>
      <c r="J21" s="3442"/>
      <c r="K21" s="3442">
        <f t="shared" si="2"/>
        <v>919.22</v>
      </c>
      <c r="L21" s="3442"/>
      <c r="M21" s="3442">
        <v>367.67</v>
      </c>
      <c r="N21" s="3442">
        <f>222.07+213.19+116.29</f>
        <v>551.54999999999995</v>
      </c>
      <c r="O21" s="3442"/>
      <c r="P21" s="3442"/>
      <c r="Q21" s="3442"/>
    </row>
    <row r="22" spans="1:17">
      <c r="B22" s="3442" t="s">
        <v>3203</v>
      </c>
      <c r="C22" s="3442">
        <f t="shared" si="0"/>
        <v>1100.03</v>
      </c>
      <c r="D22" s="3442">
        <f t="shared" si="1"/>
        <v>1100.03</v>
      </c>
      <c r="E22" s="3442"/>
      <c r="F22" s="3442">
        <f>550.015*2</f>
        <v>1100.03</v>
      </c>
      <c r="G22" s="3442"/>
      <c r="H22" s="3442"/>
      <c r="I22" s="3442"/>
      <c r="J22" s="3442"/>
      <c r="K22" s="3442">
        <f t="shared" si="2"/>
        <v>0</v>
      </c>
      <c r="L22" s="3442"/>
      <c r="M22" s="3442"/>
      <c r="N22" s="3442"/>
      <c r="O22" s="3442"/>
      <c r="P22" s="3442"/>
      <c r="Q22" s="3442"/>
    </row>
    <row r="23" spans="1:17">
      <c r="B23" s="3443" t="s">
        <v>3204</v>
      </c>
      <c r="C23" s="3443">
        <f t="shared" si="0"/>
        <v>3130.3599999999997</v>
      </c>
      <c r="D23" s="3443">
        <f t="shared" si="1"/>
        <v>3130.3599999999997</v>
      </c>
      <c r="E23" s="3443"/>
      <c r="F23" s="3443">
        <f>550.01+550.01</f>
        <v>1100.02</v>
      </c>
      <c r="G23" s="3443">
        <v>30.06</v>
      </c>
      <c r="H23" s="3443"/>
      <c r="I23" s="3443">
        <f>600.05+130.02+600.05+165.2+104.84+400.12</f>
        <v>2000.2799999999997</v>
      </c>
      <c r="J23" s="3443"/>
      <c r="K23" s="3443">
        <f t="shared" si="2"/>
        <v>0</v>
      </c>
      <c r="L23" s="3443"/>
      <c r="M23" s="3443"/>
      <c r="N23" s="3443"/>
      <c r="O23" s="3443"/>
      <c r="P23" s="3443"/>
      <c r="Q23" s="3443"/>
    </row>
    <row r="24" spans="1:17">
      <c r="B24" s="3442" t="s">
        <v>3205</v>
      </c>
      <c r="C24" s="3442">
        <f t="shared" si="0"/>
        <v>1000.32</v>
      </c>
      <c r="D24" s="3442">
        <f t="shared" si="1"/>
        <v>1000.32</v>
      </c>
      <c r="E24" s="3442"/>
      <c r="F24" s="3442"/>
      <c r="G24" s="3442"/>
      <c r="H24" s="3442"/>
      <c r="I24" s="3442">
        <f>500.16+500.16</f>
        <v>1000.32</v>
      </c>
      <c r="J24" s="3442"/>
      <c r="K24" s="3442">
        <f t="shared" si="2"/>
        <v>0</v>
      </c>
      <c r="L24" s="3442"/>
      <c r="M24" s="3442"/>
      <c r="N24" s="3442"/>
      <c r="O24" s="3442"/>
      <c r="P24" s="3442"/>
      <c r="Q24" s="3442"/>
    </row>
    <row r="25" spans="1:17">
      <c r="B25" s="3442" t="s">
        <v>3206</v>
      </c>
      <c r="C25" s="3442">
        <f t="shared" si="0"/>
        <v>920.64</v>
      </c>
      <c r="D25" s="3442">
        <f t="shared" si="1"/>
        <v>920.64</v>
      </c>
      <c r="E25" s="3442"/>
      <c r="F25" s="3442"/>
      <c r="G25" s="3442"/>
      <c r="H25" s="3442"/>
      <c r="I25" s="3442">
        <f>120.12+100.07+250.41+100.07+99.82+250.15</f>
        <v>920.64</v>
      </c>
      <c r="J25" s="3442"/>
      <c r="K25" s="3442">
        <f t="shared" si="2"/>
        <v>0</v>
      </c>
      <c r="L25" s="3442"/>
      <c r="M25" s="3442"/>
      <c r="N25" s="3442"/>
      <c r="O25" s="3442"/>
      <c r="P25" s="3442"/>
      <c r="Q25" s="3442"/>
    </row>
    <row r="26" spans="1:17">
      <c r="B26" s="3442" t="s">
        <v>3207</v>
      </c>
      <c r="C26" s="3442">
        <f t="shared" si="0"/>
        <v>50863.08</v>
      </c>
      <c r="D26" s="3442">
        <f t="shared" si="1"/>
        <v>202.56</v>
      </c>
      <c r="E26" s="3442"/>
      <c r="F26" s="3442"/>
      <c r="G26" s="3442"/>
      <c r="H26" s="3442"/>
      <c r="I26" s="3442"/>
      <c r="J26" s="3442">
        <v>202.56</v>
      </c>
      <c r="K26" s="3442">
        <f t="shared" si="2"/>
        <v>50660.520000000004</v>
      </c>
      <c r="L26" s="3442">
        <f>8659.68+11675.32+10319.34+2147.38</f>
        <v>32801.72</v>
      </c>
      <c r="M26" s="3442"/>
      <c r="N26" s="3442">
        <f>3082.36+234.59+1080.06+236.94</f>
        <v>4633.95</v>
      </c>
      <c r="O26" s="3442"/>
      <c r="P26" s="3442">
        <v>28.05</v>
      </c>
      <c r="Q26" s="3442">
        <f>13196.8</f>
        <v>13196.8</v>
      </c>
    </row>
    <row r="27" spans="1:17">
      <c r="B27" s="3442" t="s">
        <v>3208</v>
      </c>
      <c r="C27" s="3442">
        <f t="shared" si="0"/>
        <v>7899.14</v>
      </c>
      <c r="D27" s="3442">
        <f t="shared" si="1"/>
        <v>7152.96</v>
      </c>
      <c r="E27" s="3442"/>
      <c r="F27" s="3442"/>
      <c r="G27" s="3442"/>
      <c r="H27" s="3442"/>
      <c r="I27" s="3442">
        <v>7152.96</v>
      </c>
      <c r="J27" s="3442"/>
      <c r="K27" s="3442">
        <f>SUM(L27:Q27)</f>
        <v>746.18</v>
      </c>
      <c r="L27" s="3442"/>
      <c r="M27" s="3442"/>
      <c r="N27" s="3442"/>
      <c r="O27" s="3442"/>
      <c r="P27" s="3442">
        <v>746.18</v>
      </c>
      <c r="Q27" s="3442"/>
    </row>
    <row r="28" spans="1:17">
      <c r="B28" s="3442" t="s">
        <v>3209</v>
      </c>
      <c r="C28" s="3442">
        <f t="shared" si="0"/>
        <v>47.04</v>
      </c>
      <c r="D28" s="3442">
        <f t="shared" si="1"/>
        <v>47.04</v>
      </c>
      <c r="E28" s="3442"/>
      <c r="F28" s="3442"/>
      <c r="G28" s="3442"/>
      <c r="H28" s="3442"/>
      <c r="I28" s="3442">
        <v>47.04</v>
      </c>
      <c r="J28" s="3442"/>
      <c r="K28" s="3442">
        <f t="shared" si="2"/>
        <v>0</v>
      </c>
      <c r="L28" s="3442"/>
      <c r="M28" s="3442"/>
      <c r="N28" s="3442"/>
      <c r="O28" s="3442"/>
      <c r="P28" s="3442"/>
      <c r="Q28" s="3442"/>
    </row>
    <row r="29" spans="1:17">
      <c r="B29" s="3442" t="s">
        <v>3210</v>
      </c>
      <c r="C29" s="3442">
        <f>SUM(C3:C28)</f>
        <v>197935.80000000008</v>
      </c>
      <c r="D29" s="3442">
        <f t="shared" ref="D29:Q29" si="3">SUM(D3:D28)</f>
        <v>123172</v>
      </c>
      <c r="E29" s="3442">
        <f t="shared" si="3"/>
        <v>109449.33</v>
      </c>
      <c r="F29" s="3442">
        <f t="shared" si="3"/>
        <v>2200.0500000000002</v>
      </c>
      <c r="G29" s="3442">
        <f t="shared" si="3"/>
        <v>90.06</v>
      </c>
      <c r="H29" s="3442">
        <f t="shared" si="3"/>
        <v>100.12</v>
      </c>
      <c r="I29" s="3442">
        <f t="shared" si="3"/>
        <v>11121.240000000002</v>
      </c>
      <c r="J29" s="3442">
        <f t="shared" si="3"/>
        <v>211.2</v>
      </c>
      <c r="K29" s="3442">
        <f t="shared" si="3"/>
        <v>74763.799999999988</v>
      </c>
      <c r="L29" s="3442">
        <f t="shared" si="3"/>
        <v>32801.72</v>
      </c>
      <c r="M29" s="3442">
        <f t="shared" si="3"/>
        <v>7871.7900000000009</v>
      </c>
      <c r="N29" s="3442">
        <f t="shared" si="3"/>
        <v>18682.759999999998</v>
      </c>
      <c r="O29" s="3442">
        <f t="shared" si="3"/>
        <v>50.06</v>
      </c>
      <c r="P29" s="3442">
        <f t="shared" si="3"/>
        <v>2160.67</v>
      </c>
      <c r="Q29" s="3442">
        <f t="shared" si="3"/>
        <v>13196.8</v>
      </c>
    </row>
    <row r="30" spans="1:17">
      <c r="B30" s="3444" t="s">
        <v>3213</v>
      </c>
      <c r="C30" s="3442">
        <f t="shared" si="0"/>
        <v>189989.62</v>
      </c>
      <c r="D30" s="3442">
        <f t="shared" si="1"/>
        <v>115972</v>
      </c>
      <c r="E30" s="3445">
        <f>E29-E28-E27</f>
        <v>109449.33</v>
      </c>
      <c r="F30" s="3445">
        <f t="shared" ref="F30:J30" si="4">F29-F28-F27</f>
        <v>2200.0500000000002</v>
      </c>
      <c r="G30" s="3445">
        <f t="shared" si="4"/>
        <v>90.06</v>
      </c>
      <c r="H30" s="3445">
        <f t="shared" si="4"/>
        <v>100.12</v>
      </c>
      <c r="I30" s="3445">
        <f t="shared" si="4"/>
        <v>3921.2400000000007</v>
      </c>
      <c r="J30" s="3445">
        <f t="shared" si="4"/>
        <v>211.2</v>
      </c>
      <c r="K30" s="3442">
        <f>SUM(L30:Q30)</f>
        <v>74017.62</v>
      </c>
      <c r="L30" s="3445">
        <f>L29-L28-L27</f>
        <v>32801.72</v>
      </c>
      <c r="M30" s="3445">
        <f t="shared" ref="M30:Q30" si="5">M29-M28-M27</f>
        <v>7871.7900000000009</v>
      </c>
      <c r="N30" s="3445">
        <f t="shared" si="5"/>
        <v>18682.759999999998</v>
      </c>
      <c r="O30" s="3445">
        <f t="shared" si="5"/>
        <v>50.06</v>
      </c>
      <c r="P30" s="3445">
        <f t="shared" si="5"/>
        <v>1414.4900000000002</v>
      </c>
      <c r="Q30" s="3445">
        <f t="shared" si="5"/>
        <v>13196.8</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B40" sqref="B4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46389.091</v>
      </c>
      <c r="B3" s="21">
        <f>IF(C3="否",G5-AT5,G5)</f>
        <v>189989.62</v>
      </c>
      <c r="C3" s="22" t="s">
        <v>1658</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189989.62</v>
      </c>
      <c r="H5" s="26">
        <f t="shared" ref="H5:AT5" si="0">SUM(H13:H641)</f>
        <v>150122.84</v>
      </c>
      <c r="I5" s="26">
        <f t="shared" si="0"/>
        <v>109449.33</v>
      </c>
      <c r="J5" s="26">
        <f t="shared" si="0"/>
        <v>0</v>
      </c>
      <c r="K5" s="26">
        <f t="shared" si="0"/>
        <v>7871.7900000000009</v>
      </c>
      <c r="L5" s="26">
        <f t="shared" si="0"/>
        <v>0</v>
      </c>
      <c r="M5" s="26">
        <f t="shared" si="0"/>
        <v>32801.72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26458.78</v>
      </c>
      <c r="AD5" s="26">
        <f t="shared" si="0"/>
        <v>6121.2900000000009</v>
      </c>
      <c r="AE5" s="26">
        <f t="shared" si="0"/>
        <v>2721.14</v>
      </c>
      <c r="AF5" s="26">
        <f t="shared" si="0"/>
        <v>1414.4900000000002</v>
      </c>
      <c r="AG5" s="26">
        <f t="shared" si="0"/>
        <v>0</v>
      </c>
      <c r="AH5" s="26">
        <f t="shared" si="0"/>
        <v>100.12</v>
      </c>
      <c r="AI5" s="26">
        <f t="shared" si="0"/>
        <v>0</v>
      </c>
      <c r="AJ5" s="26">
        <f t="shared" si="0"/>
        <v>50.06</v>
      </c>
      <c r="AK5" s="26">
        <f t="shared" si="0"/>
        <v>0</v>
      </c>
      <c r="AL5" s="26">
        <f t="shared" si="0"/>
        <v>90.06</v>
      </c>
      <c r="AM5" s="26">
        <f t="shared" si="0"/>
        <v>0</v>
      </c>
      <c r="AN5" s="26">
        <f t="shared" si="0"/>
        <v>18682.759999999998</v>
      </c>
      <c r="AO5" s="26">
        <f t="shared" si="0"/>
        <v>0</v>
      </c>
      <c r="AP5" s="26">
        <f t="shared" si="0"/>
        <v>0</v>
      </c>
      <c r="AQ5" s="26">
        <f t="shared" si="0"/>
        <v>0</v>
      </c>
      <c r="AR5" s="26">
        <f t="shared" si="0"/>
        <v>0</v>
      </c>
      <c r="AS5" s="26">
        <f t="shared" si="0"/>
        <v>0</v>
      </c>
      <c r="AT5" s="26">
        <f t="shared" si="0"/>
        <v>13408</v>
      </c>
      <c r="AU5" s="957"/>
      <c r="AV5" s="25" t="s">
        <v>168</v>
      </c>
      <c r="AW5" s="958"/>
      <c r="AX5" s="958"/>
      <c r="AY5" s="27" t="s">
        <v>3</v>
      </c>
      <c r="AZ5" s="28">
        <f t="shared" ref="AZ5:BT5" si="1">SUM(AZ13:AZ641)</f>
        <v>173860.47999999998</v>
      </c>
      <c r="BA5" s="28">
        <f t="shared" si="1"/>
        <v>150122.84</v>
      </c>
      <c r="BB5" s="28">
        <f t="shared" si="1"/>
        <v>109449.33</v>
      </c>
      <c r="BC5" s="28">
        <f t="shared" si="1"/>
        <v>7871.7900000000009</v>
      </c>
      <c r="BD5" s="28">
        <f t="shared" si="1"/>
        <v>32801.72</v>
      </c>
      <c r="BE5" s="28">
        <f t="shared" si="1"/>
        <v>0</v>
      </c>
      <c r="BF5" s="28">
        <f t="shared" si="1"/>
        <v>0</v>
      </c>
      <c r="BG5" s="28">
        <f t="shared" si="1"/>
        <v>0</v>
      </c>
      <c r="BH5" s="28">
        <f t="shared" si="1"/>
        <v>0</v>
      </c>
      <c r="BI5" s="28">
        <f t="shared" si="1"/>
        <v>0</v>
      </c>
      <c r="BJ5" s="28">
        <f t="shared" si="1"/>
        <v>0</v>
      </c>
      <c r="BK5" s="28">
        <f t="shared" si="1"/>
        <v>0</v>
      </c>
      <c r="BL5" s="28">
        <f t="shared" si="1"/>
        <v>23737.64</v>
      </c>
      <c r="BM5" s="28">
        <f t="shared" si="1"/>
        <v>3400.150000000001</v>
      </c>
      <c r="BN5" s="28">
        <f t="shared" si="1"/>
        <v>1414.4900000000002</v>
      </c>
      <c r="BO5" s="28">
        <f t="shared" si="1"/>
        <v>100.12</v>
      </c>
      <c r="BP5" s="28">
        <f t="shared" si="1"/>
        <v>50.06</v>
      </c>
      <c r="BQ5" s="28">
        <f t="shared" si="1"/>
        <v>90.06</v>
      </c>
      <c r="BR5" s="28">
        <f t="shared" si="1"/>
        <v>18682.759999999998</v>
      </c>
      <c r="BS5" s="28">
        <f t="shared" si="1"/>
        <v>0</v>
      </c>
      <c r="BT5" s="29">
        <f t="shared" si="1"/>
        <v>0</v>
      </c>
    </row>
    <row r="6" spans="1:72" s="36" customFormat="1" ht="12.75">
      <c r="A6" s="25" t="s">
        <v>169</v>
      </c>
      <c r="B6" s="30"/>
      <c r="C6" s="30"/>
      <c r="D6" s="31"/>
      <c r="E6" s="26">
        <f>H6+AC6+AT6</f>
        <v>46389.08</v>
      </c>
      <c r="F6" s="26" t="s">
        <v>1</v>
      </c>
      <c r="G6" s="26" t="s">
        <v>2</v>
      </c>
      <c r="H6" s="32">
        <f>SUMIF(I$12:AB$12,"总值",I6:AB6)</f>
        <v>36654.959999999999</v>
      </c>
      <c r="I6" s="26">
        <f t="shared" ref="I6:AB6" si="2">ROUND($A$3*I5/$B$3,2)</f>
        <v>26723.85</v>
      </c>
      <c r="J6" s="26">
        <f t="shared" si="2"/>
        <v>0</v>
      </c>
      <c r="K6" s="26">
        <f t="shared" si="2"/>
        <v>1922.03</v>
      </c>
      <c r="L6" s="26">
        <f t="shared" si="2"/>
        <v>0</v>
      </c>
      <c r="M6" s="26">
        <f t="shared" si="2"/>
        <v>8009.08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6460.34</v>
      </c>
      <c r="AD6" s="26">
        <f t="shared" ref="AD6:AS6" si="3">ROUND($A$3*AD5/$B$3,2)</f>
        <v>1494.61</v>
      </c>
      <c r="AE6" s="26">
        <f t="shared" si="3"/>
        <v>664.41</v>
      </c>
      <c r="AF6" s="26">
        <f t="shared" si="3"/>
        <v>345.37</v>
      </c>
      <c r="AG6" s="26">
        <f t="shared" si="3"/>
        <v>0</v>
      </c>
      <c r="AH6" s="26">
        <f t="shared" si="3"/>
        <v>24.45</v>
      </c>
      <c r="AI6" s="26">
        <f t="shared" si="3"/>
        <v>0</v>
      </c>
      <c r="AJ6" s="26">
        <f t="shared" si="3"/>
        <v>12.22</v>
      </c>
      <c r="AK6" s="26">
        <f t="shared" si="3"/>
        <v>0</v>
      </c>
      <c r="AL6" s="26">
        <f t="shared" si="3"/>
        <v>21.99</v>
      </c>
      <c r="AM6" s="26">
        <f t="shared" si="3"/>
        <v>0</v>
      </c>
      <c r="AN6" s="26">
        <f t="shared" si="3"/>
        <v>4561.7</v>
      </c>
      <c r="AO6" s="26">
        <f t="shared" si="3"/>
        <v>0</v>
      </c>
      <c r="AP6" s="26">
        <f t="shared" si="3"/>
        <v>0</v>
      </c>
      <c r="AQ6" s="26">
        <f t="shared" si="3"/>
        <v>0</v>
      </c>
      <c r="AR6" s="26">
        <f t="shared" si="3"/>
        <v>0</v>
      </c>
      <c r="AS6" s="26">
        <f t="shared" si="3"/>
        <v>0</v>
      </c>
      <c r="AT6" s="32">
        <f>IF(C3="是",ROUND($A$3*AT5/$B$3,2),0)</f>
        <v>3273.78</v>
      </c>
      <c r="AU6" s="33"/>
      <c r="AV6" s="25" t="s">
        <v>169</v>
      </c>
      <c r="AW6" s="30"/>
      <c r="AX6" s="30"/>
      <c r="AY6" s="34">
        <f>IF(AY3&gt;0,AY3,ROUND($A$3*AZ5/$B$3,2))</f>
        <v>42450.9</v>
      </c>
      <c r="AZ6" s="26" t="s">
        <v>3</v>
      </c>
      <c r="BA6" s="26">
        <f>ROUND($AY$6*BA5/$AZ$5,2)</f>
        <v>36654.959999999999</v>
      </c>
      <c r="BB6" s="26">
        <f>ROUND($AY$6*BB5/$AZ$5,2)</f>
        <v>26723.86</v>
      </c>
      <c r="BC6" s="26">
        <f t="shared" ref="BC6:BH6" si="4">ROUND($AY$6*BC5/$AZ$5,2)</f>
        <v>1922.03</v>
      </c>
      <c r="BD6" s="26">
        <f t="shared" si="4"/>
        <v>8009.08</v>
      </c>
      <c r="BE6" s="26">
        <f t="shared" si="4"/>
        <v>0</v>
      </c>
      <c r="BF6" s="26">
        <f t="shared" si="4"/>
        <v>0</v>
      </c>
      <c r="BG6" s="26">
        <f t="shared" si="4"/>
        <v>0</v>
      </c>
      <c r="BH6" s="26">
        <f t="shared" si="4"/>
        <v>0</v>
      </c>
      <c r="BI6" s="26">
        <f t="shared" ref="BI6:BT6" si="5">ROUND($AY$6*BI5/$AZ$5,2)</f>
        <v>0</v>
      </c>
      <c r="BJ6" s="26">
        <f t="shared" si="5"/>
        <v>0</v>
      </c>
      <c r="BK6" s="26">
        <f t="shared" si="5"/>
        <v>0</v>
      </c>
      <c r="BL6" s="26">
        <f t="shared" si="5"/>
        <v>5795.94</v>
      </c>
      <c r="BM6" s="26">
        <f t="shared" si="5"/>
        <v>830.2</v>
      </c>
      <c r="BN6" s="26">
        <f t="shared" si="5"/>
        <v>345.37</v>
      </c>
      <c r="BO6" s="26">
        <f t="shared" si="5"/>
        <v>24.45</v>
      </c>
      <c r="BP6" s="26">
        <f t="shared" si="5"/>
        <v>12.22</v>
      </c>
      <c r="BQ6" s="26">
        <f t="shared" si="5"/>
        <v>21.99</v>
      </c>
      <c r="BR6" s="26">
        <f t="shared" si="5"/>
        <v>4561.7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3211</v>
      </c>
      <c r="L9" s="50"/>
      <c r="M9" s="2667" t="s">
        <v>3211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3212</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46389.09</v>
      </c>
      <c r="F13" s="80"/>
      <c r="G13" s="81">
        <f t="shared" ref="G13:G20" si="7">H13+AC13+AT13</f>
        <v>189989.62</v>
      </c>
      <c r="H13" s="32">
        <f t="shared" ref="H13:H20" si="8">SUMIF(I$12:AB$12,"总值",I13:AB13)</f>
        <v>150122.84</v>
      </c>
      <c r="I13" s="2666">
        <f>Sheet1!E30</f>
        <v>109449.33</v>
      </c>
      <c r="J13" s="2666"/>
      <c r="K13" s="2666">
        <f>Sheet1!M30</f>
        <v>7871.7900000000009</v>
      </c>
      <c r="L13" s="2666"/>
      <c r="M13" s="2666">
        <f>Sheet1!L30</f>
        <v>32801.72</v>
      </c>
      <c r="N13" s="82"/>
      <c r="O13" s="82"/>
      <c r="P13" s="82"/>
      <c r="Q13" s="82"/>
      <c r="R13" s="82"/>
      <c r="S13" s="82"/>
      <c r="T13" s="82"/>
      <c r="U13" s="82"/>
      <c r="V13" s="82"/>
      <c r="W13" s="82"/>
      <c r="X13" s="82"/>
      <c r="Y13" s="82"/>
      <c r="Z13" s="82"/>
      <c r="AA13" s="82"/>
      <c r="AB13" s="82"/>
      <c r="AC13" s="26">
        <f t="shared" ref="AC13:AC20" si="9">SUMIF(AD$12:AS$12,"总值",AD13:AS13)</f>
        <v>26458.78</v>
      </c>
      <c r="AD13" s="2670">
        <f>Sheet1!I30+Sheet1!F30</f>
        <v>6121.2900000000009</v>
      </c>
      <c r="AE13" s="2670">
        <f>Sheet2!L9</f>
        <v>2721.14</v>
      </c>
      <c r="AF13" s="2670">
        <f>Sheet1!P30</f>
        <v>1414.4900000000002</v>
      </c>
      <c r="AG13" s="2670"/>
      <c r="AH13" s="2670">
        <f>Sheet1!H30</f>
        <v>100.12</v>
      </c>
      <c r="AI13" s="2670"/>
      <c r="AJ13" s="2670">
        <f>Sheet1!O30</f>
        <v>50.06</v>
      </c>
      <c r="AK13" s="2670"/>
      <c r="AL13" s="2670">
        <f>Sheet1!G30</f>
        <v>90.06</v>
      </c>
      <c r="AM13" s="2670"/>
      <c r="AN13" s="2670">
        <f>Sheet1!N30</f>
        <v>18682.759999999998</v>
      </c>
      <c r="AO13" s="2670"/>
      <c r="AP13" s="2670"/>
      <c r="AQ13" s="2670"/>
      <c r="AR13" s="2670"/>
      <c r="AS13" s="2670"/>
      <c r="AT13" s="2671">
        <f>Sheet1!J30+Sheet1!Q30</f>
        <v>13408</v>
      </c>
      <c r="AU13" s="2672"/>
      <c r="AV13" s="17">
        <f t="shared" ref="AV13:AX20" si="10">A13</f>
        <v>0</v>
      </c>
      <c r="AW13" s="17">
        <f t="shared" si="10"/>
        <v>0</v>
      </c>
      <c r="AX13" s="17">
        <f t="shared" si="10"/>
        <v>0</v>
      </c>
      <c r="AY13" s="965">
        <f t="shared" ref="AY13:AY20" si="11">ROUND($AY$6*AZ13/$AZ$5,2)</f>
        <v>42450.9</v>
      </c>
      <c r="AZ13" s="26">
        <f t="shared" ref="AZ13:AZ20" si="12">BA13+BL13</f>
        <v>173860.47999999998</v>
      </c>
      <c r="BA13" s="26">
        <f t="shared" ref="BA13:BA20" si="13">SUM(BB13:BK13)</f>
        <v>150122.84</v>
      </c>
      <c r="BB13" s="26">
        <f t="shared" ref="BB13:BB20" si="14">IF($D13="是",I13-J13,0)</f>
        <v>109449.33</v>
      </c>
      <c r="BC13" s="26">
        <f t="shared" ref="BC13:BC20" si="15">IF($D13="是",K13-L13,0)</f>
        <v>7871.7900000000009</v>
      </c>
      <c r="BD13" s="26">
        <f t="shared" ref="BD13:BD20" si="16">IF($D13="是",M13-N13,0)</f>
        <v>32801.72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23737.64</v>
      </c>
      <c r="BM13" s="26">
        <f t="shared" ref="BM13:BM20" si="25">IF($D13="是",AD13-AE13,0)</f>
        <v>3400.150000000001</v>
      </c>
      <c r="BN13" s="26">
        <f t="shared" ref="BN13:BN20" si="26">IF($D13="是",AF13-AG13,0)</f>
        <v>1414.4900000000002</v>
      </c>
      <c r="BO13" s="26">
        <f t="shared" ref="BO13:BO20" si="27">IF($D13="是",AH13-AI13,0)</f>
        <v>100.12</v>
      </c>
      <c r="BP13" s="26">
        <f t="shared" ref="BP13:BP20" si="28">IF($D13="是",AJ13-AK13,0)</f>
        <v>50.06</v>
      </c>
      <c r="BQ13" s="26">
        <f t="shared" ref="BQ13:BQ20" si="29">IF($D13="是",AL13-AM13,0)</f>
        <v>90.06</v>
      </c>
      <c r="BR13" s="26">
        <f t="shared" ref="BR13:BR20" si="30">IF($D13="是",AN13-AO13,0)</f>
        <v>18682.759999999998</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0" t="s">
        <v>0</v>
      </c>
      <c r="B1" s="3530" t="s">
        <v>4</v>
      </c>
      <c r="C1" s="3530" t="s">
        <v>5</v>
      </c>
      <c r="D1" s="3531" t="s">
        <v>40</v>
      </c>
      <c r="E1" s="3531" t="s">
        <v>41</v>
      </c>
      <c r="F1" s="3531"/>
      <c r="G1" s="3531"/>
      <c r="H1" s="3531"/>
      <c r="I1" s="3531"/>
      <c r="J1" s="3531"/>
      <c r="K1" s="3531"/>
      <c r="L1" s="3531"/>
      <c r="M1" s="3531"/>
    </row>
    <row r="2" spans="1:13" ht="27" customHeight="1">
      <c r="A2" s="3530"/>
      <c r="B2" s="3530"/>
      <c r="C2" s="3530"/>
      <c r="D2" s="3531"/>
      <c r="E2" s="3531" t="s">
        <v>24</v>
      </c>
      <c r="F2" s="3531" t="s">
        <v>25</v>
      </c>
      <c r="G2" s="3531"/>
      <c r="H2" s="3531"/>
      <c r="I2" s="3531"/>
      <c r="J2" s="3531" t="s">
        <v>26</v>
      </c>
      <c r="K2" s="3531"/>
      <c r="L2" s="3531"/>
      <c r="M2" s="3531"/>
    </row>
    <row r="3" spans="1:13" ht="28.5">
      <c r="A3" s="3530"/>
      <c r="B3" s="3530"/>
      <c r="C3" s="3530"/>
      <c r="D3" s="3531"/>
      <c r="E3" s="353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1" t="s">
        <v>42</v>
      </c>
      <c r="B9" s="3531"/>
      <c r="C9" s="353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K46" sqref="K46"/>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41" t="s">
        <v>203</v>
      </c>
      <c r="B2" s="3541"/>
      <c r="C2" s="3541"/>
      <c r="D2" s="1857" t="s">
        <v>204</v>
      </c>
      <c r="E2" s="105" t="s">
        <v>205</v>
      </c>
      <c r="F2" s="3014"/>
      <c r="G2" s="1162"/>
      <c r="H2" s="1163"/>
      <c r="I2" s="1164" t="s">
        <v>838</v>
      </c>
      <c r="J2" s="3014"/>
      <c r="K2" s="3014"/>
      <c r="L2" s="3014"/>
      <c r="M2" s="3014"/>
      <c r="N2" s="3014"/>
      <c r="O2" s="3014"/>
      <c r="P2" s="3014"/>
    </row>
    <row r="3" spans="1:16" ht="15.75" thickBot="1">
      <c r="A3" s="3542" t="s">
        <v>206</v>
      </c>
      <c r="B3" s="3542"/>
      <c r="C3" s="3542"/>
      <c r="D3" s="106">
        <f>'数据-基础表'!AY6</f>
        <v>42450.9</v>
      </c>
      <c r="E3" s="106">
        <f>'数据-基础表'!AZ5</f>
        <v>173860.47999999998</v>
      </c>
      <c r="F3" s="3014"/>
      <c r="G3" s="277" t="s">
        <v>839</v>
      </c>
      <c r="H3" s="272" t="s">
        <v>840</v>
      </c>
      <c r="I3" s="1858">
        <f>ROUND('数据-基础表'!B3/'数据-基础表'!A3,2)</f>
        <v>4.0999999999999996</v>
      </c>
      <c r="J3" s="3014"/>
      <c r="K3" s="3014"/>
      <c r="L3" s="3014"/>
      <c r="M3" s="3014"/>
      <c r="N3" s="3014"/>
      <c r="O3" s="3014"/>
      <c r="P3" s="3014"/>
    </row>
    <row r="4" spans="1:16" ht="15">
      <c r="A4" s="3543"/>
      <c r="B4" s="3544"/>
      <c r="C4" s="3545"/>
      <c r="D4" s="107" t="s">
        <v>204</v>
      </c>
      <c r="E4" s="108" t="s">
        <v>205</v>
      </c>
      <c r="F4" s="3014"/>
      <c r="G4" s="1165"/>
      <c r="H4" s="272" t="s">
        <v>841</v>
      </c>
      <c r="I4" s="1858">
        <f>ROUND(SUMIF('数据-基础表'!I9:AS9,"地上",'数据-基础表'!I5:AS5)/'数据-基础表'!A3,2)</f>
        <v>2.5</v>
      </c>
      <c r="J4" s="3014"/>
      <c r="K4" s="3014"/>
      <c r="L4" s="3014"/>
      <c r="M4" s="3014"/>
      <c r="N4" s="3014"/>
      <c r="O4" s="3014"/>
      <c r="P4" s="3014"/>
    </row>
    <row r="5" spans="1:16">
      <c r="A5" s="109" t="s">
        <v>207</v>
      </c>
      <c r="B5" s="3546" t="s">
        <v>230</v>
      </c>
      <c r="C5" s="3546"/>
      <c r="D5" s="110">
        <f>ROUND($D$3*E5/$E$3,2)</f>
        <v>26723.86</v>
      </c>
      <c r="E5" s="111">
        <f>SUMIF('数据-基础表'!$11:$11,"住宅",'数据-基础表'!$5:$5)</f>
        <v>109449.33</v>
      </c>
      <c r="F5" s="3014"/>
      <c r="G5" s="277" t="s">
        <v>842</v>
      </c>
      <c r="H5" s="272" t="s">
        <v>840</v>
      </c>
      <c r="I5" s="1858">
        <f>ROUND(E31/D31,2)</f>
        <v>4.0999999999999996</v>
      </c>
      <c r="J5" s="3014"/>
      <c r="K5" s="3014"/>
      <c r="L5" s="3014"/>
      <c r="M5" s="3014"/>
      <c r="N5" s="3014"/>
      <c r="O5" s="3014"/>
      <c r="P5" s="3014"/>
    </row>
    <row r="6" spans="1:16" ht="15" thickBot="1">
      <c r="A6" s="112"/>
      <c r="B6" s="3546" t="s">
        <v>208</v>
      </c>
      <c r="C6" s="3546"/>
      <c r="D6" s="110">
        <f>ROUND($D$3*E6/$E$3,2)</f>
        <v>15727.04</v>
      </c>
      <c r="E6" s="111">
        <f>E3-E5</f>
        <v>64411.14999999998</v>
      </c>
      <c r="F6" s="3014"/>
      <c r="G6" s="1165"/>
      <c r="H6" s="272" t="s">
        <v>841</v>
      </c>
      <c r="I6" s="1858">
        <f>ROUND(F31/D31,2)</f>
        <v>2.66</v>
      </c>
      <c r="J6" s="3014"/>
      <c r="K6" s="3014"/>
      <c r="L6" s="3014"/>
      <c r="M6" s="3014"/>
      <c r="N6" s="3014"/>
      <c r="O6" s="3014"/>
      <c r="P6" s="3014"/>
    </row>
    <row r="7" spans="1:16" ht="15">
      <c r="A7" s="3538"/>
      <c r="B7" s="3539"/>
      <c r="C7" s="3540"/>
      <c r="D7" s="107" t="s">
        <v>204</v>
      </c>
      <c r="E7" s="113" t="s">
        <v>231</v>
      </c>
      <c r="F7" s="3014"/>
      <c r="G7" s="1120" t="s">
        <v>1625</v>
      </c>
      <c r="H7" s="1121"/>
      <c r="I7" s="1729">
        <v>4</v>
      </c>
      <c r="J7" s="3014"/>
      <c r="K7" s="3014"/>
      <c r="L7" s="3014"/>
      <c r="M7" s="3014"/>
      <c r="N7" s="3014"/>
      <c r="O7" s="3014"/>
      <c r="P7" s="3014"/>
    </row>
    <row r="8" spans="1:16">
      <c r="A8" s="109" t="s">
        <v>209</v>
      </c>
      <c r="B8" s="114" t="s">
        <v>210</v>
      </c>
      <c r="C8" s="110" t="s">
        <v>211</v>
      </c>
      <c r="D8" s="110">
        <f t="shared" ref="D8:D15" si="0">ROUND($D$3*E8/$E$3,2)</f>
        <v>26723.86</v>
      </c>
      <c r="E8" s="115">
        <f>SUMIF('数据-基础表'!BB10:BK10,"地上",'数据-基础表'!BB5:BK5)</f>
        <v>109449.33</v>
      </c>
      <c r="F8" s="3014"/>
      <c r="G8" s="3015"/>
      <c r="H8" s="3015"/>
      <c r="I8" s="3014"/>
      <c r="J8" s="3014"/>
      <c r="K8" s="3014"/>
      <c r="L8" s="3014"/>
      <c r="M8" s="3014"/>
      <c r="N8" s="3014"/>
      <c r="O8" s="3014"/>
      <c r="P8" s="3014"/>
    </row>
    <row r="9" spans="1:16">
      <c r="A9" s="116"/>
      <c r="B9" s="117"/>
      <c r="C9" s="110" t="s">
        <v>212</v>
      </c>
      <c r="D9" s="110">
        <f t="shared" si="0"/>
        <v>24.45</v>
      </c>
      <c r="E9" s="118">
        <f>'数据-基础表'!AH13</f>
        <v>100.12</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12.22</v>
      </c>
      <c r="E11" s="115">
        <f>SUMPRODUCT(('数据-基础表'!BB10:BK10="地下")*('数据-基础表'!BB11:BK11="办公")*('数据-基础表'!BB5:BK5))+'数据-基础表'!AJ5</f>
        <v>50.06</v>
      </c>
      <c r="F11" s="3014"/>
      <c r="G11" s="3015"/>
      <c r="H11" s="3015"/>
      <c r="I11" s="3014"/>
      <c r="J11" s="3014"/>
      <c r="K11" s="3014"/>
      <c r="L11" s="3014"/>
      <c r="M11" s="3014"/>
      <c r="N11" s="3014"/>
      <c r="O11" s="3014"/>
      <c r="P11" s="3014"/>
    </row>
    <row r="12" spans="1:16">
      <c r="A12" s="116"/>
      <c r="B12" s="117"/>
      <c r="C12" s="110" t="s">
        <v>214</v>
      </c>
      <c r="D12" s="110">
        <f t="shared" si="0"/>
        <v>1922.03</v>
      </c>
      <c r="E12" s="115">
        <f>SUMPRODUCT(('数据-基础表'!BB10:BK10="地下")*('数据-基础表'!BB11:BK11="仓储")*('数据-基础表'!BB5:BK5))</f>
        <v>7871.7900000000009</v>
      </c>
      <c r="F12" s="3014"/>
      <c r="G12" s="3015"/>
      <c r="H12" s="3015"/>
      <c r="I12" s="3014"/>
      <c r="J12" s="3014"/>
      <c r="K12" s="3014"/>
      <c r="L12" s="3014"/>
      <c r="M12" s="3014"/>
      <c r="N12" s="3014"/>
      <c r="O12" s="3014"/>
      <c r="P12" s="3014"/>
    </row>
    <row r="13" spans="1:16">
      <c r="A13" s="116"/>
      <c r="B13" s="117"/>
      <c r="C13" s="2179" t="s">
        <v>2306</v>
      </c>
      <c r="D13" s="110">
        <f t="shared" si="0"/>
        <v>8009.08</v>
      </c>
      <c r="E13" s="115">
        <f>SUMPRODUCT(('数据-基础表'!BB10:BK10="地下")*('数据-基础表'!BB11:BK11="车库")*('数据-基础表'!BB5:BK5))</f>
        <v>32801.72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36691.64</v>
      </c>
      <c r="E16" s="119">
        <f>SUM(E8:E15)</f>
        <v>150273.01999999999</v>
      </c>
      <c r="F16" s="3014"/>
      <c r="G16" s="3015"/>
      <c r="H16" s="937" t="s">
        <v>219</v>
      </c>
      <c r="I16" s="938"/>
      <c r="J16" s="1866"/>
      <c r="K16" s="3532" t="s">
        <v>2466</v>
      </c>
      <c r="L16" s="3533"/>
      <c r="M16" s="3533"/>
      <c r="N16" s="3533"/>
      <c r="O16" s="3533"/>
      <c r="P16" s="3534"/>
    </row>
    <row r="17" spans="1:19" ht="15">
      <c r="A17" s="120" t="s">
        <v>216</v>
      </c>
      <c r="B17" s="121" t="s">
        <v>217</v>
      </c>
      <c r="C17" s="2146" t="s">
        <v>2285</v>
      </c>
      <c r="D17" s="107" t="s">
        <v>204</v>
      </c>
      <c r="E17" s="123" t="s">
        <v>205</v>
      </c>
      <c r="F17" s="124"/>
      <c r="G17" s="1291"/>
      <c r="H17" s="939" t="s">
        <v>218</v>
      </c>
      <c r="I17" s="940" t="s">
        <v>2284</v>
      </c>
      <c r="J17" s="1866"/>
      <c r="K17" s="3535" t="s">
        <v>2467</v>
      </c>
      <c r="L17" s="3536"/>
      <c r="M17" s="3537"/>
      <c r="N17" s="3535" t="s">
        <v>2468</v>
      </c>
      <c r="O17" s="3536"/>
      <c r="P17" s="3537"/>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26723.86</v>
      </c>
      <c r="E19" s="133">
        <f t="shared" ref="E19:E26" si="2">SUM(F19:G19)</f>
        <v>109449.33</v>
      </c>
      <c r="F19" s="3016">
        <f>'数据-基础表'!I13</f>
        <v>109449.33</v>
      </c>
      <c r="G19" s="3017"/>
      <c r="H19" s="943">
        <f>ROUND($D$3*I19/$E$3,2)</f>
        <v>4554.05</v>
      </c>
      <c r="I19" s="115">
        <f>IF($I$17="自定义",P19,M19)</f>
        <v>18651.43</v>
      </c>
      <c r="J19" s="1866"/>
      <c r="K19" s="2388">
        <f t="shared" ref="K19:K26" si="3">ROUND(E$28*E19/E$27,2)</f>
        <v>13686.61</v>
      </c>
      <c r="L19" s="272">
        <f t="shared" ref="L19:L26" si="4">ROUND(IF(COUNTIF(C19,"*住宅*")&gt;0,E$29*E19/E$32,0),2)</f>
        <v>4964.82</v>
      </c>
      <c r="M19" s="2389">
        <f>K19+L19</f>
        <v>18651.43</v>
      </c>
      <c r="N19" s="2390"/>
      <c r="O19" s="2391"/>
      <c r="P19" s="2392">
        <f>N19+O19</f>
        <v>0</v>
      </c>
      <c r="R19" s="272">
        <f t="shared" ref="R19:S26" si="5">D19+H19</f>
        <v>31277.91</v>
      </c>
      <c r="S19" s="2149">
        <f t="shared" si="5"/>
        <v>128100.76000000001</v>
      </c>
    </row>
    <row r="20" spans="1:19">
      <c r="A20" s="136"/>
      <c r="B20" s="114" t="s">
        <v>226</v>
      </c>
      <c r="C20" s="2673" t="s">
        <v>3222</v>
      </c>
      <c r="D20" s="110">
        <f t="shared" si="1"/>
        <v>1922.03</v>
      </c>
      <c r="E20" s="133">
        <f t="shared" si="2"/>
        <v>7871.7900000000009</v>
      </c>
      <c r="F20" s="3016"/>
      <c r="G20" s="3017">
        <f>'数据-基础表'!K13</f>
        <v>7871.7900000000009</v>
      </c>
      <c r="H20" s="943">
        <f t="shared" ref="H20:H26" si="6">ROUND($D$3*I20/$E$3,2)</f>
        <v>240.35</v>
      </c>
      <c r="I20" s="115">
        <f t="shared" ref="I20:I26" si="7">IF($I$17="自定义",P20,M20)</f>
        <v>984.37</v>
      </c>
      <c r="J20" s="1866"/>
      <c r="K20" s="2388">
        <f t="shared" si="3"/>
        <v>984.37</v>
      </c>
      <c r="L20" s="272">
        <f t="shared" si="4"/>
        <v>0</v>
      </c>
      <c r="M20" s="2389">
        <f t="shared" ref="M20:M26" si="8">K20+L20</f>
        <v>984.37</v>
      </c>
      <c r="N20" s="2390"/>
      <c r="O20" s="2391"/>
      <c r="P20" s="2392">
        <f t="shared" ref="P20:P26" si="9">N20+O20</f>
        <v>0</v>
      </c>
      <c r="R20" s="272">
        <f t="shared" si="5"/>
        <v>2162.38</v>
      </c>
      <c r="S20" s="2149">
        <f t="shared" si="5"/>
        <v>8856.1600000000017</v>
      </c>
    </row>
    <row r="21" spans="1:19">
      <c r="A21" s="136"/>
      <c r="B21" s="114" t="s">
        <v>226</v>
      </c>
      <c r="C21" s="2673" t="s">
        <v>3223</v>
      </c>
      <c r="D21" s="110">
        <f t="shared" si="1"/>
        <v>8009.08</v>
      </c>
      <c r="E21" s="133">
        <f t="shared" si="2"/>
        <v>32801.72</v>
      </c>
      <c r="F21" s="3016"/>
      <c r="G21" s="3017">
        <f>'数据-基础表'!M13</f>
        <v>32801.72</v>
      </c>
      <c r="H21" s="943">
        <f t="shared" si="6"/>
        <v>1001.53</v>
      </c>
      <c r="I21" s="115">
        <f t="shared" si="7"/>
        <v>4101.8500000000004</v>
      </c>
      <c r="J21" s="1866"/>
      <c r="K21" s="2388">
        <f t="shared" si="3"/>
        <v>4101.8500000000004</v>
      </c>
      <c r="L21" s="272">
        <f t="shared" si="4"/>
        <v>0</v>
      </c>
      <c r="M21" s="2389">
        <f t="shared" si="8"/>
        <v>4101.8500000000004</v>
      </c>
      <c r="N21" s="2390"/>
      <c r="O21" s="2391"/>
      <c r="P21" s="2392">
        <f t="shared" si="9"/>
        <v>0</v>
      </c>
      <c r="R21" s="272">
        <f t="shared" si="5"/>
        <v>9010.61</v>
      </c>
      <c r="S21" s="2149">
        <f t="shared" si="5"/>
        <v>36903.57</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15.75" thickBot="1">
      <c r="A27" s="136"/>
      <c r="B27" s="110"/>
      <c r="C27" s="126" t="s">
        <v>215</v>
      </c>
      <c r="D27" s="133">
        <f>SUM(D19:D26)</f>
        <v>36654.97</v>
      </c>
      <c r="E27" s="140">
        <f>IF(SUM(E19:E26)='数据-基础表'!BA5,SUM(E19:E26),IF(F27="地上面积有误","面积有误","地下面积有误"))</f>
        <v>150122.84</v>
      </c>
      <c r="F27" s="133">
        <f>IF(SUM(F19:F26)=E8,SUM(F19:F26),"地上面积有误")</f>
        <v>109449.33</v>
      </c>
      <c r="G27" s="111">
        <f>SUM(G19:G26)</f>
        <v>40673.51</v>
      </c>
      <c r="H27" s="944">
        <f>SUM(H19:H26)</f>
        <v>5795.93</v>
      </c>
      <c r="I27" s="945">
        <f>SUM(I19:I26)</f>
        <v>23737.65</v>
      </c>
      <c r="J27" s="1866"/>
      <c r="K27" s="2397">
        <f>SUM(K19:K26)</f>
        <v>18772.830000000002</v>
      </c>
      <c r="L27" s="2398">
        <f>SUM(L19:L26)</f>
        <v>4964.82</v>
      </c>
      <c r="M27" s="2399">
        <f>SUM(M19:M26)</f>
        <v>23737.65</v>
      </c>
      <c r="N27" s="2397">
        <f t="shared" ref="N27:O27" si="10">SUM(N19:N26)</f>
        <v>0</v>
      </c>
      <c r="O27" s="2398">
        <f t="shared" si="10"/>
        <v>0</v>
      </c>
      <c r="P27" s="2400">
        <f>SUM(P19:P26)</f>
        <v>0</v>
      </c>
      <c r="R27" s="2153">
        <f>IF(SUM(R19:R26)=$D$3,SUM(R19:R26),SUM(R19:R26)&amp;"误差"&amp;ROUND(SUM(R19:R26)-$D$3,2))</f>
        <v>42450.9</v>
      </c>
      <c r="S27" s="272" t="str">
        <f>IF(SUM(S19:S26)=$E$3,SUM(S19:S26),SUM(S19:S26)&amp;"误差"&amp;ROUND(SUM(S19:S26)-E3,2))</f>
        <v>173860.49误差0.01</v>
      </c>
    </row>
    <row r="28" spans="1:19">
      <c r="A28" s="136"/>
      <c r="B28" s="114" t="s">
        <v>227</v>
      </c>
      <c r="C28" s="134" t="s">
        <v>228</v>
      </c>
      <c r="D28" s="110">
        <f>ROUND($D$3*E28/$E$3,2)</f>
        <v>4583.6899999999996</v>
      </c>
      <c r="E28" s="133">
        <f>SUM(F28:G28)</f>
        <v>18772.82</v>
      </c>
      <c r="F28" s="141">
        <f>'数据-基础表'!BQ5+'数据-基础表'!BS5</f>
        <v>90.06</v>
      </c>
      <c r="G28" s="142">
        <f>'数据-基础表'!BR5+'数据-基础表'!BT5</f>
        <v>18682.759999999998</v>
      </c>
      <c r="H28" s="3014"/>
      <c r="I28" s="3014"/>
      <c r="J28" s="3014"/>
      <c r="K28" s="3014"/>
      <c r="L28" s="3014"/>
      <c r="M28" s="3014"/>
      <c r="N28" s="3014"/>
      <c r="O28" s="3014"/>
      <c r="P28" s="3014"/>
    </row>
    <row r="29" spans="1:19">
      <c r="A29" s="136"/>
      <c r="B29" s="114" t="s">
        <v>227</v>
      </c>
      <c r="C29" s="2161" t="s">
        <v>2292</v>
      </c>
      <c r="D29" s="110">
        <f>ROUND($D$3*E29/$E$3,2)</f>
        <v>1212.24</v>
      </c>
      <c r="E29" s="133">
        <f>SUM(F29:G29)</f>
        <v>4964.8200000000015</v>
      </c>
      <c r="F29" s="141">
        <f>'数据-基础表'!BM5+'数据-基础表'!BO5</f>
        <v>3500.2700000000009</v>
      </c>
      <c r="G29" s="143">
        <f>'数据-基础表'!BN5+'数据-基础表'!BP5</f>
        <v>1464.5500000000002</v>
      </c>
      <c r="H29" s="3014"/>
      <c r="I29" s="3014"/>
      <c r="J29" s="3014"/>
      <c r="K29" s="3014"/>
      <c r="L29" s="3014"/>
      <c r="M29" s="3014"/>
      <c r="N29" s="3014"/>
      <c r="O29" s="3014"/>
      <c r="P29" s="3014"/>
    </row>
    <row r="30" spans="1:19">
      <c r="A30" s="136"/>
      <c r="B30" s="110"/>
      <c r="C30" s="144" t="s">
        <v>215</v>
      </c>
      <c r="D30" s="133">
        <f>SUM(D28:D29)</f>
        <v>5795.9299999999994</v>
      </c>
      <c r="E30" s="133">
        <f>SUM(E28:E29)</f>
        <v>23737.64</v>
      </c>
      <c r="F30" s="133">
        <f>SUM(F28:F29)</f>
        <v>3590.3300000000008</v>
      </c>
      <c r="G30" s="111">
        <f>SUM(G28:G29)</f>
        <v>20147.309999999998</v>
      </c>
      <c r="H30" s="3014"/>
      <c r="I30" s="3014"/>
      <c r="J30" s="3014"/>
      <c r="K30" s="3014"/>
      <c r="L30" s="3014"/>
      <c r="M30" s="3014"/>
      <c r="N30" s="3014"/>
      <c r="O30" s="3014"/>
      <c r="P30" s="3014"/>
    </row>
    <row r="31" spans="1:19" ht="32.25" customHeight="1" thickBot="1">
      <c r="A31" s="1293"/>
      <c r="B31" s="1294" t="s">
        <v>229</v>
      </c>
      <c r="C31" s="2178" t="s">
        <v>2294</v>
      </c>
      <c r="D31" s="1295">
        <f>D27+D30</f>
        <v>42450.9</v>
      </c>
      <c r="E31" s="1295">
        <f>E27+E30</f>
        <v>173860.47999999998</v>
      </c>
      <c r="F31" s="1296">
        <f>F27+F30</f>
        <v>113039.66</v>
      </c>
      <c r="G31" s="1297">
        <f>G27+G30</f>
        <v>60820.82</v>
      </c>
      <c r="H31" s="3014"/>
      <c r="I31" s="3014"/>
      <c r="J31" s="3014"/>
      <c r="K31" s="3014"/>
      <c r="L31" s="3014"/>
      <c r="M31" s="3014"/>
      <c r="N31" s="3014"/>
      <c r="O31" s="3014"/>
      <c r="P31" s="3014"/>
    </row>
    <row r="32" spans="1:19">
      <c r="A32" s="1866"/>
      <c r="B32" s="2190" t="s">
        <v>2293</v>
      </c>
      <c r="C32" s="2425"/>
      <c r="D32" s="1165"/>
      <c r="E32" s="1165">
        <f>SUMIF(C19:C26,"*住宅*",E19:E26)</f>
        <v>109449.33</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3" sqref="I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44580</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54">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70050</v>
      </c>
      <c r="F6" s="171">
        <f>SUMIF(项目基本情况!D$15:I$15,C6,项目基本情况!D$19:I$19)</f>
        <v>69.78</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109449.33</v>
      </c>
      <c r="L6" s="2675">
        <v>5500</v>
      </c>
      <c r="M6" s="174">
        <f t="shared" ref="M6:M14" si="0">ROUND(K6*L6/10000,0)</f>
        <v>60197</v>
      </c>
      <c r="N6" s="2676">
        <v>0</v>
      </c>
      <c r="O6" s="174">
        <f>IF($N$5="成新度","——",ROUND(M6*N6,0))</f>
        <v>0</v>
      </c>
      <c r="P6" s="175">
        <f>IF($N$5="成新度","——",M6-O6)</f>
        <v>60197</v>
      </c>
      <c r="Q6" s="2677">
        <v>0.2</v>
      </c>
      <c r="R6" s="176">
        <f>SUMIF('数据-汇总表'!C$19:C$33,A6,'数据-汇总表'!R$19:R$33)</f>
        <v>31277.91</v>
      </c>
      <c r="S6" s="131">
        <f>IF('数据-汇总表'!$I$17="按面积比例",SUMIF('数据-汇总表'!C$19:C$33,A6,'数据-汇总表'!K$19:K$33),SUMIF('数据-汇总表'!C$19:C$33,A6,'数据-汇总表'!N$19:N$33))</f>
        <v>13686.61</v>
      </c>
      <c r="T6" s="2082">
        <f>IF($T$4="按面积比例",IF(ISERROR(ROUND($M$14*S6/S$16,0)),"0",ROUND($M$14*S6/S$16,0)),"需自行计算录入")</f>
        <v>5475</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62745</v>
      </c>
      <c r="F7" s="171">
        <f>SUMIF(项目基本情况!D$15:I$15,C7,项目基本情况!D$19:I$19)</f>
        <v>49.76</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7871.7900000000009</v>
      </c>
      <c r="L7" s="2675">
        <v>4000</v>
      </c>
      <c r="M7" s="174">
        <f t="shared" si="0"/>
        <v>3149</v>
      </c>
      <c r="N7" s="2676">
        <v>0</v>
      </c>
      <c r="O7" s="174">
        <f t="shared" ref="O7:O14" si="3">IF($N$5="成新度","——",ROUND(M7*N7,0))</f>
        <v>0</v>
      </c>
      <c r="P7" s="175">
        <f t="shared" ref="P7:P14" si="4">IF($N$5="成新度","——",M7-O7)</f>
        <v>3149</v>
      </c>
      <c r="Q7" s="2677">
        <v>0.1</v>
      </c>
      <c r="R7" s="176">
        <f>SUMIF('数据-汇总表'!C$19:C$33,A7,'数据-汇总表'!R$19:R$33)</f>
        <v>2162.38</v>
      </c>
      <c r="S7" s="131">
        <f>IF('数据-汇总表'!$I$17="按面积比例",SUMIF('数据-汇总表'!C$19:C$33,A7,'数据-汇总表'!K$19:K$33),SUMIF('数据-汇总表'!C$19:C$33,A7,'数据-汇总表'!N$19:N$33))</f>
        <v>984.37</v>
      </c>
      <c r="T7" s="2082">
        <f t="shared" ref="T7:T13" si="5">IF($T$4="按面积比例",IF(ISERROR(ROUND($M$14*S7/S$16,0)),"0",ROUND($M$14*S7/S$16,0)),"需自行计算录入")</f>
        <v>394</v>
      </c>
      <c r="U7" s="177">
        <v>1.8</v>
      </c>
      <c r="V7" s="178">
        <v>2.5000000000000001E-2</v>
      </c>
      <c r="W7" s="178">
        <v>0.1</v>
      </c>
      <c r="X7" s="2169"/>
      <c r="Y7" s="179">
        <v>1</v>
      </c>
      <c r="Z7" s="180"/>
      <c r="AA7" s="173"/>
      <c r="AB7" s="173"/>
      <c r="AC7" s="2172"/>
      <c r="AD7" s="181"/>
      <c r="AE7" s="941">
        <f t="shared" ref="AE7:AE13" ca="1" si="6">IF(AN7="",0,SUMIF(INDIRECT("'"&amp;AN7&amp;"'"&amp;"!E:E"),$AE$5,INDIRECT("'"&amp;AN7&amp;"'"&amp;"!F:F")))</f>
        <v>46.76</v>
      </c>
      <c r="AF7" s="138"/>
      <c r="AG7" s="1177">
        <f t="shared" ref="AG7:AG13" si="7">IF(AF7="",0,AE7-AF7)</f>
        <v>0</v>
      </c>
      <c r="AH7" s="138"/>
      <c r="AI7" s="184">
        <v>365</v>
      </c>
      <c r="AJ7" s="185"/>
      <c r="AK7" s="186">
        <v>1.4999999999999999E-2</v>
      </c>
      <c r="AL7" s="187">
        <v>1.5E-3</v>
      </c>
      <c r="AM7" s="2213">
        <v>1.4999999999999999E-2</v>
      </c>
      <c r="AN7" s="2215" t="s">
        <v>3364</v>
      </c>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62745</v>
      </c>
      <c r="F8" s="171">
        <f>SUMIF(项目基本情况!D$15:I$15,C8,项目基本情况!D$19:I$19)</f>
        <v>49.76</v>
      </c>
      <c r="G8" s="172">
        <f t="shared" si="2"/>
        <v>0.999</v>
      </c>
      <c r="H8" s="2674">
        <v>4.4999999999999998E-2</v>
      </c>
      <c r="I8" s="2674">
        <v>0.05</v>
      </c>
      <c r="J8" s="173">
        <v>8.5000000000000006E-2</v>
      </c>
      <c r="K8" s="176">
        <f>SUMIF('数据-汇总表'!C$19:C$33,'数据-取费表'!A8,'数据-汇总表'!E$19:E$33)</f>
        <v>32801.72</v>
      </c>
      <c r="L8" s="2675">
        <f>L7</f>
        <v>4000</v>
      </c>
      <c r="M8" s="174">
        <f>ROUND(K8*L8/10000,0)</f>
        <v>13121</v>
      </c>
      <c r="N8" s="2676">
        <v>0</v>
      </c>
      <c r="O8" s="174">
        <f t="shared" si="3"/>
        <v>0</v>
      </c>
      <c r="P8" s="175">
        <f t="shared" si="4"/>
        <v>13121</v>
      </c>
      <c r="Q8" s="2677">
        <v>0.05</v>
      </c>
      <c r="R8" s="176">
        <f>SUMIF('数据-汇总表'!C$19:C$33,A8,'数据-汇总表'!R$19:R$33)</f>
        <v>9010.61</v>
      </c>
      <c r="S8" s="131">
        <f>IF('数据-汇总表'!$I$17="按面积比例",SUMIF('数据-汇总表'!C$19:C$33,A8,'数据-汇总表'!K$19:K$33),SUMIF('数据-汇总表'!C$19:C$33,A8,'数据-汇总表'!N$19:N$33))</f>
        <v>4101.8500000000004</v>
      </c>
      <c r="T8" s="2082">
        <f t="shared" si="5"/>
        <v>1641</v>
      </c>
      <c r="U8" s="177">
        <v>500</v>
      </c>
      <c r="V8" s="178">
        <v>2.5000000000000001E-2</v>
      </c>
      <c r="W8" s="178">
        <v>0.1</v>
      </c>
      <c r="X8" s="2169"/>
      <c r="Y8" s="179">
        <v>1</v>
      </c>
      <c r="Z8" s="180"/>
      <c r="AA8" s="173"/>
      <c r="AB8" s="173"/>
      <c r="AC8" s="2172"/>
      <c r="AD8" s="181"/>
      <c r="AE8" s="941">
        <f t="shared" ca="1" si="6"/>
        <v>46.76</v>
      </c>
      <c r="AF8" s="138"/>
      <c r="AG8" s="1177">
        <f t="shared" si="7"/>
        <v>0</v>
      </c>
      <c r="AH8" s="138">
        <v>1051</v>
      </c>
      <c r="AI8" s="184">
        <v>12</v>
      </c>
      <c r="AJ8" s="185"/>
      <c r="AK8" s="186">
        <v>1.4999999999999999E-2</v>
      </c>
      <c r="AL8" s="187">
        <v>1.5E-3</v>
      </c>
      <c r="AM8" s="2213">
        <v>1.4999999999999999E-2</v>
      </c>
      <c r="AN8" s="2215" t="s">
        <v>3367</v>
      </c>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18772.82</v>
      </c>
      <c r="L14" s="190">
        <f>L7</f>
        <v>4000</v>
      </c>
      <c r="M14" s="174">
        <f t="shared" si="0"/>
        <v>7509</v>
      </c>
      <c r="N14" s="191">
        <v>0</v>
      </c>
      <c r="O14" s="174">
        <f t="shared" si="3"/>
        <v>0</v>
      </c>
      <c r="P14" s="175">
        <f t="shared" si="4"/>
        <v>7509</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4964.8200000000015</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173860.48000000001</v>
      </c>
      <c r="L16" s="203">
        <f>ROUND(M16*10000/SUM(K6:K14),0)</f>
        <v>4972</v>
      </c>
      <c r="M16" s="203">
        <f>SUM(M6:M14)</f>
        <v>83976</v>
      </c>
      <c r="N16" s="204">
        <f>ROUND(SUMPRODUCT(M6:M14,N6:N14)/M16,3)</f>
        <v>0</v>
      </c>
      <c r="O16" s="203">
        <f>SUM(O6:O14)</f>
        <v>0</v>
      </c>
      <c r="P16" s="203">
        <f>SUM(P6:P14)</f>
        <v>83976</v>
      </c>
      <c r="Q16" s="205">
        <f>ROUND(SUMPRODUCT(Q6:Q13,K6:K13)/SUMPRODUCT((Q6:Q13&gt;0)*(K6:K13)),2)</f>
        <v>0.16</v>
      </c>
      <c r="R16" s="2159">
        <f>SUM(R6:R13)</f>
        <v>42450.9</v>
      </c>
      <c r="S16" s="206">
        <f>SUM(S6:S13)</f>
        <v>18772.830000000002</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0.92200000000000004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f>K8/1051</f>
        <v>31.21000951474786</v>
      </c>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3</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3</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3</v>
      </c>
      <c r="C24" s="3024"/>
      <c r="D24" s="3025"/>
      <c r="E24" s="3024"/>
      <c r="F24" s="3024"/>
      <c r="G24" s="3024"/>
      <c r="H24" s="3024"/>
      <c r="I24" s="3024"/>
      <c r="J24" s="3024"/>
      <c r="K24" s="3023"/>
      <c r="L24" s="3023"/>
      <c r="M24" s="3021"/>
      <c r="N24" s="3021">
        <v>1051</v>
      </c>
      <c r="O24" s="3021">
        <f>K8/N24</f>
        <v>31.21000951474786</v>
      </c>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0.05</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27.75" thickBot="1">
      <c r="A40" s="3211" t="s">
        <v>3082</v>
      </c>
      <c r="B40" s="2302">
        <f ca="1">IF(A40="利息：取LPR",存贷款利率!E2,存贷款利率!E2+C40)</f>
        <v>4.2999999999999997E-2</v>
      </c>
      <c r="C40" s="3212">
        <v>4.4999999999999997E-3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5.5000000000000007E-2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5.000000000000001E-3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0.05</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1.5</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1389</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7" t="s">
        <v>1643</v>
      </c>
      <c r="B1" s="3548"/>
      <c r="C1" s="3548"/>
      <c r="D1" s="3548"/>
      <c r="E1" s="3548"/>
      <c r="F1" s="3548"/>
      <c r="G1" s="3548"/>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173860.47999999998</v>
      </c>
      <c r="C1" s="3126"/>
      <c r="D1" s="3126"/>
      <c r="E1" s="3126"/>
      <c r="F1" s="3126"/>
      <c r="G1" s="3127"/>
      <c r="H1" s="3127"/>
      <c r="I1" s="3127"/>
      <c r="J1" s="3127"/>
    </row>
    <row r="2" spans="1:10" ht="16.5">
      <c r="A2" s="3117" t="s">
        <v>2740</v>
      </c>
      <c r="B2" s="3117">
        <f>SUM(C14:C23)</f>
        <v>42450.9</v>
      </c>
      <c r="C2" s="3126"/>
      <c r="D2" s="3126"/>
      <c r="E2" s="3126"/>
      <c r="F2" s="3126"/>
      <c r="G2" s="3127"/>
      <c r="H2" s="3127"/>
      <c r="I2" s="3127"/>
      <c r="J2" s="3127"/>
    </row>
    <row r="3" spans="1:10" ht="16.5">
      <c r="A3" s="3117" t="s">
        <v>2741</v>
      </c>
      <c r="B3" s="3119">
        <f>项目基本情况!D3</f>
        <v>44580</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367820</v>
      </c>
      <c r="C5" s="3117">
        <f ca="1">ROUND(B5*10000/$B$1,0)</f>
        <v>21156</v>
      </c>
      <c r="D5" s="3117">
        <f ca="1">ROUND(B5*10000/$B$2,0)</f>
        <v>86646</v>
      </c>
      <c r="E5" s="3126"/>
      <c r="F5" s="3126"/>
      <c r="G5" s="3127"/>
      <c r="H5" s="3127"/>
      <c r="I5" s="3127"/>
      <c r="J5" s="3127"/>
    </row>
    <row r="6" spans="1:10" ht="16.5">
      <c r="A6" s="3117" t="s">
        <v>2747</v>
      </c>
      <c r="B6" s="3117">
        <f ca="1">SUM(G14:G23)</f>
        <v>362580</v>
      </c>
      <c r="C6" s="3117">
        <f t="shared" ref="C6:C8" ca="1" si="0">ROUND(B6*10000/$B$1,0)</f>
        <v>20855</v>
      </c>
      <c r="D6" s="3117">
        <f t="shared" ref="D6:D8" ca="1" si="1">ROUND(B6*10000/$B$2,0)</f>
        <v>85412</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173860.47999999998</v>
      </c>
      <c r="C14" s="3123">
        <f>结果表!K38</f>
        <v>42450.9</v>
      </c>
      <c r="D14" s="3123">
        <f ca="1">结果表!C42</f>
        <v>367820</v>
      </c>
      <c r="E14" s="3123">
        <f ca="1">ROUND(D14*10000/B14,0)</f>
        <v>21156</v>
      </c>
      <c r="F14" s="3123">
        <f ca="1">ROUND(D14*10000/C14,0)</f>
        <v>86646</v>
      </c>
      <c r="G14" s="3123">
        <f ca="1">结果表!C44</f>
        <v>362580</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93" t="str">
        <f>项目基本情况!K2</f>
        <v>北京市出让国有建设用地使用权</v>
      </c>
      <c r="B2" s="3594"/>
      <c r="C2" s="3595"/>
      <c r="D2" s="3595"/>
      <c r="E2" s="3595"/>
      <c r="F2" s="3595"/>
      <c r="G2" s="3594"/>
      <c r="H2" s="3594"/>
      <c r="I2" s="3596"/>
      <c r="J2" s="1881"/>
      <c r="K2" s="1880"/>
      <c r="L2" s="1880"/>
      <c r="M2" s="1880"/>
      <c r="N2" s="1880"/>
      <c r="O2" s="1880"/>
      <c r="P2" s="1880"/>
      <c r="Q2" s="1880"/>
      <c r="R2" s="1880"/>
      <c r="S2" s="1880"/>
      <c r="T2" s="1880"/>
      <c r="U2" s="1880"/>
      <c r="V2" s="1880"/>
    </row>
    <row r="3" spans="1:22" ht="14.25">
      <c r="A3" s="3586" t="s">
        <v>298</v>
      </c>
      <c r="B3" s="3587"/>
      <c r="C3" s="3587"/>
      <c r="D3" s="3587"/>
      <c r="E3" s="3587"/>
      <c r="F3" s="3587"/>
      <c r="G3" s="3587"/>
      <c r="H3" s="3587"/>
      <c r="I3" s="3587"/>
      <c r="J3" s="1881"/>
      <c r="K3" s="1880"/>
      <c r="L3" s="1880"/>
      <c r="M3" s="1880"/>
      <c r="N3" s="1880"/>
      <c r="O3" s="1880"/>
      <c r="P3" s="1880"/>
      <c r="Q3" s="1880"/>
      <c r="R3" s="1880"/>
      <c r="S3" s="1880"/>
      <c r="T3" s="1880"/>
      <c r="U3" s="1880"/>
      <c r="V3" s="1880"/>
    </row>
    <row r="4" spans="1:22" ht="14.25">
      <c r="A4" s="255" t="s">
        <v>299</v>
      </c>
      <c r="B4" s="256" t="s">
        <v>300</v>
      </c>
      <c r="C4" s="257" t="s">
        <v>3162</v>
      </c>
      <c r="D4" s="257" t="s">
        <v>3163</v>
      </c>
      <c r="E4" s="3552" t="s">
        <v>301</v>
      </c>
      <c r="F4" s="3553"/>
      <c r="G4" s="3553"/>
      <c r="H4" s="3553"/>
      <c r="I4" s="3588"/>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51" t="s">
        <v>302</v>
      </c>
      <c r="B5" s="3580">
        <v>25</v>
      </c>
      <c r="C5" s="3578"/>
      <c r="D5" s="3582"/>
      <c r="E5" s="258" t="s">
        <v>303</v>
      </c>
      <c r="F5" s="259"/>
      <c r="G5" s="259"/>
      <c r="H5" s="259"/>
      <c r="I5" s="260"/>
      <c r="J5" s="1881"/>
      <c r="K5" s="1880"/>
      <c r="L5" s="1880"/>
      <c r="M5" s="1880"/>
      <c r="N5" s="1880"/>
      <c r="O5" s="1880"/>
      <c r="P5" s="1880"/>
      <c r="Q5" s="1880"/>
      <c r="R5" s="1880"/>
      <c r="S5" s="1880"/>
      <c r="T5" s="1880"/>
      <c r="U5" s="1880"/>
      <c r="V5" s="1880"/>
    </row>
    <row r="6" spans="1:22" ht="14.25">
      <c r="A6" s="3551"/>
      <c r="B6" s="3580"/>
      <c r="C6" s="3581"/>
      <c r="D6" s="3582"/>
      <c r="E6" s="258" t="s">
        <v>304</v>
      </c>
      <c r="F6" s="259"/>
      <c r="G6" s="259"/>
      <c r="H6" s="259"/>
      <c r="I6" s="260"/>
      <c r="J6" s="1881"/>
      <c r="K6" s="1880"/>
      <c r="L6" s="1880"/>
      <c r="M6" s="1880"/>
      <c r="N6" s="1880"/>
      <c r="O6" s="1880"/>
      <c r="P6" s="1880"/>
      <c r="Q6" s="1880"/>
      <c r="R6" s="1880"/>
      <c r="S6" s="1880"/>
      <c r="T6" s="1880"/>
      <c r="U6" s="1880"/>
      <c r="V6" s="1880"/>
    </row>
    <row r="7" spans="1:22" ht="14.25">
      <c r="A7" s="3551"/>
      <c r="B7" s="3580"/>
      <c r="C7" s="3579"/>
      <c r="D7" s="3582"/>
      <c r="E7" s="258" t="s">
        <v>305</v>
      </c>
      <c r="F7" s="259"/>
      <c r="G7" s="259"/>
      <c r="H7" s="259"/>
      <c r="I7" s="260"/>
      <c r="J7" s="1881"/>
      <c r="K7" s="1880"/>
      <c r="L7" s="1880"/>
      <c r="M7" s="1880"/>
      <c r="N7" s="1880"/>
      <c r="O7" s="1880"/>
      <c r="P7" s="1880"/>
      <c r="Q7" s="1880"/>
      <c r="R7" s="1880"/>
      <c r="S7" s="1880"/>
      <c r="T7" s="1880"/>
      <c r="U7" s="1880"/>
      <c r="V7" s="1880"/>
    </row>
    <row r="8" spans="1:22" ht="14.25">
      <c r="A8" s="3551" t="s">
        <v>306</v>
      </c>
      <c r="B8" s="3580">
        <v>15</v>
      </c>
      <c r="C8" s="3578"/>
      <c r="D8" s="3582"/>
      <c r="E8" s="258" t="s">
        <v>307</v>
      </c>
      <c r="F8" s="259"/>
      <c r="G8" s="259"/>
      <c r="H8" s="259"/>
      <c r="I8" s="260"/>
      <c r="J8" s="1881"/>
      <c r="K8" s="1880"/>
      <c r="L8" s="1880"/>
      <c r="M8" s="1880"/>
      <c r="N8" s="1880"/>
      <c r="O8" s="1880"/>
      <c r="P8" s="1880"/>
      <c r="Q8" s="1880"/>
      <c r="R8" s="1880"/>
      <c r="S8" s="1880"/>
      <c r="T8" s="1880"/>
      <c r="U8" s="1880"/>
      <c r="V8" s="1880"/>
    </row>
    <row r="9" spans="1:22" ht="14.25">
      <c r="A9" s="3551"/>
      <c r="B9" s="3580"/>
      <c r="C9" s="3579"/>
      <c r="D9" s="3582"/>
      <c r="E9" s="258" t="s">
        <v>308</v>
      </c>
      <c r="F9" s="259"/>
      <c r="G9" s="259"/>
      <c r="H9" s="259"/>
      <c r="I9" s="260"/>
      <c r="J9" s="1881"/>
      <c r="K9" s="1880"/>
      <c r="L9" s="1880"/>
      <c r="M9" s="1880"/>
      <c r="N9" s="1880"/>
      <c r="O9" s="1880"/>
      <c r="P9" s="1880"/>
      <c r="Q9" s="1880"/>
      <c r="R9" s="1880"/>
      <c r="S9" s="1880"/>
      <c r="T9" s="1880"/>
      <c r="U9" s="1880"/>
      <c r="V9" s="1880"/>
    </row>
    <row r="10" spans="1:22" ht="14.25">
      <c r="A10" s="3551" t="s">
        <v>309</v>
      </c>
      <c r="B10" s="3580">
        <v>15</v>
      </c>
      <c r="C10" s="3578"/>
      <c r="D10" s="3582"/>
      <c r="E10" s="258" t="s">
        <v>310</v>
      </c>
      <c r="F10" s="259"/>
      <c r="G10" s="259"/>
      <c r="H10" s="259"/>
      <c r="I10" s="260"/>
      <c r="J10" s="1881"/>
      <c r="K10" s="1880"/>
      <c r="L10" s="1880"/>
      <c r="M10" s="1880"/>
      <c r="N10" s="1880"/>
      <c r="O10" s="1880"/>
      <c r="P10" s="1880"/>
      <c r="Q10" s="1880"/>
      <c r="R10" s="1880"/>
      <c r="S10" s="1880"/>
      <c r="T10" s="1880"/>
      <c r="U10" s="1880"/>
      <c r="V10" s="1880"/>
    </row>
    <row r="11" spans="1:22" ht="14.25">
      <c r="A11" s="3551"/>
      <c r="B11" s="3580"/>
      <c r="C11" s="3579"/>
      <c r="D11" s="3582"/>
      <c r="E11" s="258" t="s">
        <v>311</v>
      </c>
      <c r="F11" s="259"/>
      <c r="G11" s="259"/>
      <c r="H11" s="259"/>
      <c r="I11" s="260"/>
      <c r="J11" s="1881"/>
      <c r="K11" s="1880"/>
      <c r="L11" s="1880"/>
      <c r="M11" s="1880"/>
      <c r="N11" s="1880"/>
      <c r="O11" s="1880"/>
      <c r="P11" s="1880"/>
      <c r="Q11" s="1880"/>
      <c r="R11" s="1880"/>
      <c r="S11" s="1880"/>
      <c r="T11" s="1880"/>
      <c r="U11" s="1880"/>
      <c r="V11" s="1880"/>
    </row>
    <row r="12" spans="1:22" ht="14.25">
      <c r="A12" s="3551" t="s">
        <v>312</v>
      </c>
      <c r="B12" s="3580">
        <v>15</v>
      </c>
      <c r="C12" s="3578"/>
      <c r="D12" s="3582"/>
      <c r="E12" s="258" t="s">
        <v>313</v>
      </c>
      <c r="F12" s="259"/>
      <c r="G12" s="259"/>
      <c r="H12" s="259"/>
      <c r="I12" s="260"/>
      <c r="J12" s="1881"/>
      <c r="K12" s="1880"/>
      <c r="L12" s="1880"/>
      <c r="M12" s="1880"/>
      <c r="N12" s="1880"/>
      <c r="O12" s="1880"/>
      <c r="P12" s="1880"/>
      <c r="Q12" s="1880"/>
      <c r="R12" s="1880"/>
      <c r="S12" s="1880"/>
      <c r="T12" s="1880"/>
      <c r="U12" s="1880"/>
      <c r="V12" s="1880"/>
    </row>
    <row r="13" spans="1:22" ht="14.25">
      <c r="A13" s="3551"/>
      <c r="B13" s="3580"/>
      <c r="C13" s="3579"/>
      <c r="D13" s="3582"/>
      <c r="E13" s="258" t="s">
        <v>314</v>
      </c>
      <c r="F13" s="259"/>
      <c r="G13" s="259"/>
      <c r="H13" s="259"/>
      <c r="I13" s="260"/>
      <c r="J13" s="1881"/>
      <c r="K13" s="1880"/>
      <c r="L13" s="1880"/>
      <c r="M13" s="1880"/>
      <c r="N13" s="1880"/>
      <c r="O13" s="1880"/>
      <c r="P13" s="1880"/>
      <c r="Q13" s="1880"/>
      <c r="R13" s="1880"/>
      <c r="S13" s="1880"/>
      <c r="T13" s="1880"/>
      <c r="U13" s="1880"/>
      <c r="V13" s="1880"/>
    </row>
    <row r="14" spans="1:22" ht="14.25">
      <c r="A14" s="3551" t="s">
        <v>315</v>
      </c>
      <c r="B14" s="3580">
        <v>30</v>
      </c>
      <c r="C14" s="3578">
        <v>5</v>
      </c>
      <c r="D14" s="3582">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51"/>
      <c r="B15" s="3580"/>
      <c r="C15" s="3581"/>
      <c r="D15" s="3582"/>
      <c r="E15" s="258" t="s">
        <v>317</v>
      </c>
      <c r="F15" s="259"/>
      <c r="G15" s="259"/>
      <c r="H15" s="259"/>
      <c r="I15" s="260"/>
      <c r="J15" s="1881"/>
      <c r="K15" s="1880"/>
      <c r="L15" s="1880"/>
      <c r="M15" s="1880"/>
      <c r="N15" s="1880"/>
      <c r="O15" s="1880"/>
      <c r="P15" s="1880"/>
      <c r="Q15" s="1880"/>
      <c r="R15" s="1880"/>
      <c r="S15" s="1880"/>
      <c r="T15" s="1880"/>
      <c r="U15" s="1880"/>
      <c r="V15" s="1880"/>
    </row>
    <row r="16" spans="1:22" ht="14.25">
      <c r="A16" s="3551"/>
      <c r="B16" s="3580"/>
      <c r="C16" s="3579"/>
      <c r="D16" s="3582"/>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583" t="s">
        <v>2879</v>
      </c>
      <c r="F18" s="3584"/>
      <c r="G18" s="3584"/>
      <c r="H18" s="3584"/>
      <c r="I18" s="3584"/>
      <c r="J18" s="1880"/>
      <c r="K18" s="1880"/>
      <c r="L18" s="1880"/>
      <c r="M18" s="1880"/>
      <c r="N18" s="1880"/>
      <c r="O18" s="1880"/>
      <c r="P18" s="1880"/>
      <c r="Q18" s="1880"/>
      <c r="R18" s="1880"/>
      <c r="S18" s="1880"/>
      <c r="T18" s="1880"/>
      <c r="U18" s="1880"/>
      <c r="V18" s="1880"/>
    </row>
    <row r="19" spans="1:26" ht="15">
      <c r="A19" s="265" t="s">
        <v>321</v>
      </c>
      <c r="B19" s="266" t="s">
        <v>322</v>
      </c>
      <c r="C19" s="267">
        <f ca="1">SUMIF(INDIRECT("'"&amp;C4&amp;"'"&amp;"!A:A"),结果表!B19,INDIRECT("'"&amp;C4&amp;"'"&amp;"!B:B"))</f>
        <v>371416</v>
      </c>
      <c r="D19" s="268">
        <f ca="1">SUMIF(INDIRECT("'"&amp;D4&amp;"'"&amp;"!A:A"),结果表!B19,INDIRECT("'"&amp;D4&amp;"'"&amp;"!B:B"))</f>
        <v>364223</v>
      </c>
      <c r="E19" s="265" t="s">
        <v>323</v>
      </c>
      <c r="F19" s="266" t="s">
        <v>322</v>
      </c>
      <c r="G19" s="269">
        <f ca="1">ROUND(C19*$C$18+D19*$D$18,0)</f>
        <v>367820</v>
      </c>
      <c r="H19" s="270" t="s">
        <v>324</v>
      </c>
      <c r="I19" s="308"/>
      <c r="J19" s="1880"/>
      <c r="K19" s="1880" t="s">
        <v>3360</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21363</v>
      </c>
      <c r="D20" s="274">
        <f ca="1">SUMIF(INDIRECT("'"&amp;D4&amp;"'"&amp;"!A:A"),结果表!B20,INDIRECT("'"&amp;D4&amp;"'"&amp;"!B:B"))</f>
        <v>20949</v>
      </c>
      <c r="E20" s="271"/>
      <c r="F20" s="272" t="s">
        <v>325</v>
      </c>
      <c r="G20" s="275">
        <f ca="1">ROUND(C20*$C$18+D20*$D$18,0)</f>
        <v>21156</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87493</v>
      </c>
      <c r="D21" s="148">
        <f ca="1">SUMIF(INDIRECT("'"&amp;D4&amp;"'"&amp;"!A:A"),结果表!B21,INDIRECT("'"&amp;D4&amp;"'"&amp;"!B:B"))</f>
        <v>85799</v>
      </c>
      <c r="E21" s="271"/>
      <c r="F21" s="277" t="s">
        <v>327</v>
      </c>
      <c r="G21" s="279">
        <f ca="1">ROUND(C21*$C$18+D21*$D$18,0)</f>
        <v>86646</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1.9748890103041372E-2</v>
      </c>
      <c r="E22" s="281"/>
      <c r="F22" s="282"/>
      <c r="G22" s="283">
        <f ca="1">ROUND(G19/('数据-汇总表'!D3/666.67),0)</f>
        <v>5776</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57"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558"/>
      <c r="B25" s="1256" t="s">
        <v>331</v>
      </c>
      <c r="C25" s="287">
        <f>IF(B30=0,0,C30)</f>
        <v>0</v>
      </c>
      <c r="D25" s="288"/>
      <c r="E25" s="308"/>
      <c r="F25" s="308"/>
      <c r="G25" s="308"/>
      <c r="H25" s="308"/>
      <c r="I25" s="308"/>
      <c r="J25" s="1880"/>
      <c r="K25" s="1190" t="str">
        <f ca="1">项目基本情况!B16&amp;"国有建设用地使用权价格："&amp;O38&amp;"万元"</f>
        <v>出让国有建设用地使用权价格：367820万元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大写金额：人民币叁拾陆亿柒仟捌佰贰拾万元整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单位面积地价：86646元/平方米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楼面地价：21156元/平方米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抵押价格：362580万元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大写金额：人民币叁拾陆亿贰仟伍佰捌拾万元整</v>
      </c>
      <c r="L30" s="1187"/>
      <c r="M30" s="1187"/>
      <c r="N30" s="1187"/>
      <c r="O30" s="1186"/>
      <c r="P30" s="1880"/>
      <c r="V30" s="1880"/>
    </row>
    <row r="31" spans="1:26" ht="24" customHeight="1" thickBot="1">
      <c r="A31" s="3585" t="s">
        <v>2881</v>
      </c>
      <c r="B31" s="3585"/>
      <c r="C31" s="3585"/>
      <c r="D31" s="3585"/>
      <c r="E31" s="3585"/>
      <c r="F31" s="3585"/>
      <c r="G31" s="3585"/>
      <c r="H31" s="3585"/>
      <c r="I31" s="3585"/>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367820</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21156</v>
      </c>
      <c r="D33" s="1306" t="s">
        <v>1671</v>
      </c>
      <c r="E33" s="3557"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86646</v>
      </c>
      <c r="D34" s="1308" t="s">
        <v>1671</v>
      </c>
      <c r="E34" s="3601"/>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5776</v>
      </c>
      <c r="D35" s="1311" t="s">
        <v>1673</v>
      </c>
      <c r="E35" s="3602"/>
      <c r="F35" s="298" t="s">
        <v>342</v>
      </c>
      <c r="G35" s="951">
        <f>E37+E38</f>
        <v>5240</v>
      </c>
      <c r="H35" s="950" t="s">
        <v>343</v>
      </c>
      <c r="I35" s="308"/>
      <c r="J35" s="1880"/>
      <c r="K35" s="3575" t="s">
        <v>350</v>
      </c>
      <c r="L35" s="3575" t="s">
        <v>351</v>
      </c>
      <c r="M35" s="1199" t="s">
        <v>352</v>
      </c>
      <c r="N35" s="3575" t="s">
        <v>353</v>
      </c>
      <c r="O35" s="3575" t="s">
        <v>354</v>
      </c>
      <c r="P35" s="1880"/>
      <c r="V35" s="1880"/>
    </row>
    <row r="36" spans="1:26" ht="16.5" customHeight="1">
      <c r="A36" s="300" t="s">
        <v>344</v>
      </c>
      <c r="B36" s="301" t="s">
        <v>333</v>
      </c>
      <c r="C36" s="302" t="s">
        <v>345</v>
      </c>
      <c r="D36" s="302" t="s">
        <v>346</v>
      </c>
      <c r="E36" s="303" t="s">
        <v>347</v>
      </c>
      <c r="F36" s="308"/>
      <c r="G36" s="308"/>
      <c r="H36" s="308"/>
      <c r="I36" s="308"/>
      <c r="J36" s="1882"/>
      <c r="K36" s="3576"/>
      <c r="L36" s="3576"/>
      <c r="M36" s="1201" t="s">
        <v>355</v>
      </c>
      <c r="N36" s="3576"/>
      <c r="O36" s="3576"/>
      <c r="P36" s="1880"/>
      <c r="V36" s="1880"/>
    </row>
    <row r="37" spans="1:26" ht="16.5" customHeight="1" thickBot="1">
      <c r="A37" s="1195" t="s">
        <v>348</v>
      </c>
      <c r="B37" s="304">
        <f>'数据-汇总表'!G20</f>
        <v>7871.7900000000009</v>
      </c>
      <c r="C37" s="291">
        <f>31318*0.25*0.2</f>
        <v>1565.9</v>
      </c>
      <c r="D37" s="3449">
        <v>3.0499999999999999E-2</v>
      </c>
      <c r="E37" s="292">
        <f>ROUND(B37*C37*(1+D37)/10000,0)</f>
        <v>1270</v>
      </c>
      <c r="F37" s="308"/>
      <c r="G37" s="308"/>
      <c r="H37" s="308"/>
      <c r="I37" s="308"/>
      <c r="J37" s="1882"/>
      <c r="K37" s="3577"/>
      <c r="L37" s="3577"/>
      <c r="M37" s="1202"/>
      <c r="N37" s="3577"/>
      <c r="O37" s="3577"/>
      <c r="P37" s="1880"/>
      <c r="V37" s="1880"/>
    </row>
    <row r="38" spans="1:26" ht="16.5" customHeight="1" thickBot="1">
      <c r="A38" s="1195" t="s">
        <v>349</v>
      </c>
      <c r="B38" s="304">
        <f>'数据-汇总表'!G21</f>
        <v>32801.72</v>
      </c>
      <c r="C38" s="291">
        <f>31318*0.25*0.15</f>
        <v>1174.425</v>
      </c>
      <c r="D38" s="3449">
        <v>3.0499999999999999E-2</v>
      </c>
      <c r="E38" s="292">
        <f>ROUND(B38*C38*(1+D38)/10000,0)</f>
        <v>3970</v>
      </c>
      <c r="F38" s="308"/>
      <c r="G38" s="308"/>
      <c r="H38" s="308"/>
      <c r="I38" s="308"/>
      <c r="J38" s="1882"/>
      <c r="K38" s="1203">
        <f>'数据-汇总表'!D3</f>
        <v>42450.9</v>
      </c>
      <c r="L38" s="1204">
        <f>'数据-汇总表'!E3</f>
        <v>173860.47999999998</v>
      </c>
      <c r="M38" s="1204">
        <f ca="1">C34</f>
        <v>86646</v>
      </c>
      <c r="N38" s="1204">
        <f ca="1">C33</f>
        <v>21156</v>
      </c>
      <c r="O38" s="1205">
        <f ca="1">C32</f>
        <v>367820</v>
      </c>
      <c r="P38" s="1880"/>
      <c r="V38" s="1880"/>
    </row>
    <row r="39" spans="1:26" ht="16.5" customHeight="1" thickBot="1">
      <c r="A39" s="1200"/>
      <c r="B39" s="305"/>
      <c r="C39" s="306"/>
      <c r="D39" s="306"/>
      <c r="E39" s="307"/>
      <c r="F39" s="308"/>
      <c r="G39" s="308"/>
      <c r="H39" s="308"/>
      <c r="I39" s="308"/>
      <c r="J39" s="1882"/>
      <c r="K39" s="3615" t="str">
        <f>MID(A44,3,LEN(A44)-2)</f>
        <v>抵押价格</v>
      </c>
      <c r="L39" s="3616"/>
      <c r="M39" s="3616"/>
      <c r="N39" s="3617"/>
      <c r="O39" s="1313">
        <f ca="1">C44</f>
        <v>362580</v>
      </c>
      <c r="P39" s="1880"/>
      <c r="V39" s="1880"/>
    </row>
    <row r="40" spans="1:26" ht="19.5" thickBot="1">
      <c r="A40" s="103" t="s">
        <v>853</v>
      </c>
      <c r="B40" s="308"/>
      <c r="C40" s="308"/>
      <c r="D40" s="308"/>
      <c r="E40" s="308"/>
      <c r="F40" s="308"/>
      <c r="G40" s="308"/>
      <c r="H40" s="308"/>
      <c r="I40" s="308"/>
      <c r="J40" s="1882"/>
      <c r="K40" s="3615" t="str">
        <f t="shared" ref="K40:K41" si="0">MID(A45,3,LEN(A45)-2)</f>
        <v/>
      </c>
      <c r="L40" s="3616"/>
      <c r="M40" s="3616"/>
      <c r="N40" s="3617"/>
      <c r="O40" s="1313" t="str">
        <f>C45</f>
        <v>——</v>
      </c>
      <c r="P40" s="1880"/>
      <c r="V40" s="1880"/>
    </row>
    <row r="41" spans="1:26" ht="16.5" thickBot="1">
      <c r="A41" s="309" t="s">
        <v>356</v>
      </c>
      <c r="B41" s="310"/>
      <c r="C41" s="311" t="s">
        <v>357</v>
      </c>
      <c r="D41" s="312" t="s">
        <v>358</v>
      </c>
      <c r="E41" s="312" t="s">
        <v>359</v>
      </c>
      <c r="F41" s="313" t="s">
        <v>360</v>
      </c>
      <c r="G41" s="308"/>
      <c r="H41" s="308"/>
      <c r="I41" s="308"/>
      <c r="J41" s="1882"/>
      <c r="K41" s="3615" t="str">
        <f t="shared" si="0"/>
        <v/>
      </c>
      <c r="L41" s="3616"/>
      <c r="M41" s="3616"/>
      <c r="N41" s="3617"/>
      <c r="O41" s="1313" t="str">
        <f>C46</f>
        <v>——</v>
      </c>
      <c r="P41" s="1880"/>
      <c r="V41" s="1880"/>
    </row>
    <row r="42" spans="1:26" ht="29.25">
      <c r="A42" s="3559" t="s">
        <v>2041</v>
      </c>
      <c r="B42" s="3560"/>
      <c r="C42" s="261">
        <f ca="1">C32</f>
        <v>367820</v>
      </c>
      <c r="D42" s="314">
        <f ca="1">C33</f>
        <v>21156</v>
      </c>
      <c r="E42" s="314">
        <f ca="1">C34</f>
        <v>86646</v>
      </c>
      <c r="F42" s="315">
        <f ca="1">C35</f>
        <v>5776</v>
      </c>
      <c r="G42" s="308"/>
      <c r="H42" s="308"/>
      <c r="I42" s="316"/>
      <c r="J42" s="1882"/>
      <c r="K42" s="1206" t="s">
        <v>361</v>
      </c>
      <c r="L42" s="1899" t="s">
        <v>362</v>
      </c>
      <c r="M42" s="1207" t="s">
        <v>363</v>
      </c>
      <c r="N42" s="1900" t="s">
        <v>364</v>
      </c>
      <c r="O42" s="1901" t="s">
        <v>365</v>
      </c>
      <c r="P42" s="1880"/>
      <c r="V42" s="1880"/>
    </row>
    <row r="43" spans="1:26" ht="30">
      <c r="A43" s="3570" t="s">
        <v>2629</v>
      </c>
      <c r="B43" s="3571"/>
      <c r="C43" s="261">
        <f>IF(H33="正常操作",G33+G34+G35,G34+G35)</f>
        <v>5240</v>
      </c>
      <c r="D43" s="314" t="s">
        <v>43</v>
      </c>
      <c r="E43" s="314" t="s">
        <v>44</v>
      </c>
      <c r="F43" s="315" t="s">
        <v>44</v>
      </c>
      <c r="G43" s="2520" t="s">
        <v>932</v>
      </c>
      <c r="H43" s="308"/>
      <c r="I43" s="316"/>
      <c r="J43" s="1882"/>
      <c r="K43" s="1208" t="str">
        <f>C4</f>
        <v>比较法-住宅、综合</v>
      </c>
      <c r="L43" s="1209">
        <f ca="1">IF(L42="估价结果/万元",C19,C20)</f>
        <v>371416</v>
      </c>
      <c r="M43" s="1210">
        <f>C18</f>
        <v>0.5</v>
      </c>
      <c r="N43" s="1211">
        <f ca="1">IF(N42="测算结果/万元",G19,G20)</f>
        <v>367820</v>
      </c>
      <c r="O43" s="1212">
        <f ca="1">IF(O42="最终结果/万元",C32,C33)</f>
        <v>367820</v>
      </c>
      <c r="P43" s="1880"/>
      <c r="V43" s="1880"/>
    </row>
    <row r="44" spans="1:26" ht="30.75" thickBot="1">
      <c r="A44" s="3559" t="str">
        <f>IF(OR(项目基本情况!E8="抵押价格",项目基本情况!E8="已注销及未注销"),"3.抵押价格","——")</f>
        <v>3.抵押价格</v>
      </c>
      <c r="B44" s="3560"/>
      <c r="C44" s="261">
        <f ca="1">IF(A44="——","——",C42-C43)</f>
        <v>362580</v>
      </c>
      <c r="D44" s="314">
        <f ca="1">ROUND(C44*10000/'数据-汇总表'!E3,0)</f>
        <v>20855</v>
      </c>
      <c r="E44" s="314">
        <f ca="1">ROUND(C44*10000/'数据-汇总表'!D3,0)</f>
        <v>85412</v>
      </c>
      <c r="F44" s="315">
        <f ca="1">ROUND(C44/('数据-汇总表'!D3/666.67),0)</f>
        <v>5694</v>
      </c>
      <c r="G44" s="308"/>
      <c r="H44" s="308"/>
      <c r="I44" s="316"/>
      <c r="J44" s="1882"/>
      <c r="K44" s="1213" t="str">
        <f>D4</f>
        <v>剩余法-待开发</v>
      </c>
      <c r="L44" s="1214">
        <f ca="1">IF(L42="估价结果/万元",D19,D20)</f>
        <v>364223</v>
      </c>
      <c r="M44" s="1215">
        <f>D18</f>
        <v>0.5</v>
      </c>
      <c r="N44" s="1216"/>
      <c r="O44" s="1217"/>
      <c r="P44" s="1880"/>
      <c r="V44" s="1880"/>
    </row>
    <row r="45" spans="1:26" ht="15">
      <c r="A45" s="3565" t="str">
        <f>IF(项目基本情况!E8="已注销及未注销","4.抵押担保权已注销时的抵押价格",IF(项目基本情况!E8="已注销","3.抵押担保权已注销时的抵押价格","——"))</f>
        <v>——</v>
      </c>
      <c r="B45" s="3566"/>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561" t="str">
        <f>IF(项目基本情况!E9="抵押净值",IF(A45="——","4.抵押净值","5.抵押净值"),"——")</f>
        <v>——</v>
      </c>
      <c r="B46" s="3562"/>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本次评估估价师知悉的法定优先受偿款为人民币5240万元整。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609" t="s">
        <v>374</v>
      </c>
      <c r="B63" s="3610"/>
      <c r="C63" s="3611"/>
      <c r="D63" s="338">
        <f ca="1">ROUND(C42*F63,0)</f>
        <v>367820</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567" t="s">
        <v>378</v>
      </c>
      <c r="B64" s="3568"/>
      <c r="C64" s="3568"/>
      <c r="D64" s="3568"/>
      <c r="E64" s="3568"/>
      <c r="F64" s="3568"/>
      <c r="G64" s="3569"/>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563" t="s">
        <v>386</v>
      </c>
      <c r="B66" s="3564"/>
      <c r="C66" s="3564"/>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8"/>
      <c r="I66" s="1223"/>
      <c r="J66" s="1886"/>
      <c r="K66" s="1226">
        <v>1</v>
      </c>
      <c r="L66" s="3624" t="s">
        <v>385</v>
      </c>
      <c r="M66" s="3625"/>
      <c r="N66" s="2281"/>
      <c r="O66" s="2282"/>
      <c r="P66" s="2283"/>
      <c r="Q66" s="1880"/>
      <c r="R66" s="1880"/>
      <c r="S66" s="1880"/>
      <c r="T66" s="1880"/>
      <c r="U66" s="1880"/>
      <c r="V66" s="1880"/>
    </row>
    <row r="67" spans="1:22" ht="25.5" customHeight="1">
      <c r="A67" s="349" t="s">
        <v>389</v>
      </c>
      <c r="B67" s="3554" t="s">
        <v>390</v>
      </c>
      <c r="C67" s="3554"/>
      <c r="D67" s="350">
        <v>0</v>
      </c>
      <c r="E67" s="40" t="s">
        <v>391</v>
      </c>
      <c r="F67" s="61" t="s">
        <v>21</v>
      </c>
      <c r="G67" s="3612"/>
      <c r="H67" s="2938" t="s">
        <v>2882</v>
      </c>
      <c r="I67" s="2940"/>
      <c r="J67" s="1887"/>
      <c r="K67" s="1859">
        <v>2</v>
      </c>
      <c r="L67" s="3618" t="s">
        <v>388</v>
      </c>
      <c r="M67" s="3618"/>
      <c r="N67" s="1260">
        <f>'数据-取费表'!B2</f>
        <v>44580</v>
      </c>
      <c r="O67" s="1260"/>
      <c r="P67" s="1260"/>
      <c r="Q67" s="1880"/>
      <c r="R67" s="1880"/>
      <c r="S67" s="1880"/>
      <c r="T67" s="1880"/>
      <c r="U67" s="1880"/>
      <c r="V67" s="1880"/>
    </row>
    <row r="68" spans="1:22" ht="25.5" customHeight="1">
      <c r="A68" s="351"/>
      <c r="B68" s="3554" t="s">
        <v>393</v>
      </c>
      <c r="C68" s="3554"/>
      <c r="D68" s="352"/>
      <c r="E68" s="76"/>
      <c r="F68" s="353"/>
      <c r="G68" s="3613"/>
      <c r="H68" s="2939" t="s">
        <v>2883</v>
      </c>
      <c r="I68" s="2940"/>
      <c r="J68" s="1887"/>
      <c r="K68" s="1859">
        <v>3</v>
      </c>
      <c r="L68" s="3618" t="s">
        <v>392</v>
      </c>
      <c r="M68" s="3618"/>
      <c r="N68" s="1228">
        <f ca="1">C42</f>
        <v>367820</v>
      </c>
      <c r="O68" s="1228"/>
      <c r="P68" s="1228"/>
      <c r="Q68" s="1880"/>
      <c r="R68" s="1880"/>
      <c r="S68" s="1880"/>
      <c r="T68" s="1880"/>
      <c r="U68" s="1880"/>
      <c r="V68" s="1880"/>
    </row>
    <row r="69" spans="1:22" ht="23.45" customHeight="1">
      <c r="A69" s="354"/>
      <c r="B69" s="3554" t="s">
        <v>394</v>
      </c>
      <c r="C69" s="3554"/>
      <c r="D69" s="355"/>
      <c r="E69" s="72"/>
      <c r="F69" s="353"/>
      <c r="G69" s="3614"/>
      <c r="H69" s="2939" t="s">
        <v>2884</v>
      </c>
      <c r="I69" s="2940"/>
      <c r="J69" s="1887"/>
      <c r="K69" s="1229">
        <v>4</v>
      </c>
      <c r="L69" s="3628" t="s">
        <v>2778</v>
      </c>
      <c r="M69" s="3629"/>
      <c r="N69" s="1230">
        <f ca="1">C44</f>
        <v>362580</v>
      </c>
      <c r="O69" s="1230"/>
      <c r="P69" s="1230"/>
      <c r="Q69" s="1880"/>
      <c r="R69" s="1880"/>
      <c r="S69" s="1880"/>
      <c r="T69" s="1880"/>
      <c r="U69" s="1880"/>
      <c r="V69" s="1880"/>
    </row>
    <row r="70" spans="1:22" ht="24" customHeight="1">
      <c r="A70" s="356" t="s">
        <v>395</v>
      </c>
      <c r="B70" s="3554" t="s">
        <v>396</v>
      </c>
      <c r="C70" s="3554"/>
      <c r="D70" s="355">
        <f ca="1">ROUND(D63*'数据-取费表'!B41/(1+'数据-取费表'!C42),0)</f>
        <v>19267</v>
      </c>
      <c r="E70" s="17" t="s">
        <v>397</v>
      </c>
      <c r="F70" s="357">
        <f>'数据-取费表'!B41</f>
        <v>5.5000000000000007E-2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555" t="s">
        <v>2913</v>
      </c>
      <c r="C71" s="3556"/>
      <c r="D71" s="355">
        <f ca="1">ROUND(D63*'数据-取费表'!B41/(1+'数据-取费表'!C42),0)</f>
        <v>19267</v>
      </c>
      <c r="E71" s="17" t="s">
        <v>397</v>
      </c>
      <c r="F71" s="357">
        <f>'数据-取费表'!B41</f>
        <v>5.5000000000000007E-2</v>
      </c>
      <c r="G71" s="358"/>
      <c r="H71" s="308"/>
      <c r="I71" s="1227"/>
      <c r="J71" s="1887"/>
      <c r="K71" s="2697" t="s">
        <v>398</v>
      </c>
      <c r="L71" s="3630" t="s">
        <v>399</v>
      </c>
      <c r="M71" s="3630"/>
      <c r="N71" s="2697" t="s">
        <v>400</v>
      </c>
      <c r="O71" s="2697" t="s">
        <v>401</v>
      </c>
      <c r="P71" s="2697" t="s">
        <v>402</v>
      </c>
      <c r="Q71" s="1880"/>
      <c r="R71" s="1880"/>
      <c r="S71" s="1880"/>
      <c r="T71" s="1880"/>
      <c r="U71" s="1880"/>
      <c r="V71" s="1880"/>
    </row>
    <row r="72" spans="1:22" ht="12" customHeight="1">
      <c r="A72" s="356" t="s">
        <v>405</v>
      </c>
      <c r="B72" s="3555" t="s">
        <v>2914</v>
      </c>
      <c r="C72" s="3556"/>
      <c r="D72" s="355">
        <f ca="1">C86</f>
        <v>19267</v>
      </c>
      <c r="E72" s="72" t="s">
        <v>406</v>
      </c>
      <c r="F72" s="357">
        <f>'数据-取费表'!B41</f>
        <v>5.5000000000000007E-2</v>
      </c>
      <c r="G72" s="358"/>
      <c r="H72" s="1233"/>
      <c r="I72" s="1227"/>
      <c r="J72" s="1887"/>
      <c r="K72" s="1859">
        <v>1</v>
      </c>
      <c r="L72" s="3605" t="s">
        <v>404</v>
      </c>
      <c r="M72" s="3605"/>
      <c r="N72" s="1231" t="b">
        <f>D66</f>
        <v>0</v>
      </c>
      <c r="O72" s="1743" t="str">
        <f>E66</f>
        <v>销售额×税（费）率</v>
      </c>
      <c r="P72" s="1232">
        <f>F66</f>
        <v>5.5000000000000007E-2</v>
      </c>
      <c r="Q72" s="1880"/>
      <c r="R72" s="1880"/>
      <c r="S72" s="1880"/>
      <c r="T72" s="1880"/>
      <c r="U72" s="1880"/>
      <c r="V72" s="1880"/>
    </row>
    <row r="73" spans="1:22" ht="24" customHeight="1">
      <c r="A73" s="3600" t="s">
        <v>408</v>
      </c>
      <c r="B73" s="3564"/>
      <c r="C73" s="3564"/>
      <c r="D73" s="359">
        <f ca="1">IF(H73="个人住宅",0,ROUND(D63*I73,0))</f>
        <v>184</v>
      </c>
      <c r="E73" s="17" t="s">
        <v>409</v>
      </c>
      <c r="F73" s="357" t="str">
        <f>IF(H73="正常",I73,"免征")</f>
        <v>免征</v>
      </c>
      <c r="G73" s="358"/>
      <c r="H73" s="188"/>
      <c r="I73" s="357">
        <f>'数据-取费表'!B49</f>
        <v>5.0000000000000001E-4</v>
      </c>
      <c r="J73" s="1887"/>
      <c r="K73" s="1859">
        <v>2</v>
      </c>
      <c r="L73" s="3605" t="s">
        <v>407</v>
      </c>
      <c r="M73" s="3605"/>
      <c r="N73" s="1231">
        <f t="shared" ref="N73:P74" ca="1" si="1">D73</f>
        <v>184</v>
      </c>
      <c r="O73" s="1743" t="str">
        <f t="shared" si="1"/>
        <v>销售额×税（费）率</v>
      </c>
      <c r="P73" s="1232" t="str">
        <f t="shared" si="1"/>
        <v>免征</v>
      </c>
      <c r="Q73" s="1880"/>
      <c r="R73" s="1880"/>
      <c r="S73" s="1880"/>
      <c r="T73" s="1880"/>
      <c r="U73" s="1880"/>
      <c r="V73" s="1880"/>
    </row>
    <row r="74" spans="1:22" ht="24.75">
      <c r="A74" s="3600" t="s">
        <v>411</v>
      </c>
      <c r="B74" s="3564"/>
      <c r="C74" s="3564"/>
      <c r="D74" s="359">
        <f ca="1">IF(H74="个人住宅",D75,D76)</f>
        <v>208519</v>
      </c>
      <c r="E74" s="17" t="s">
        <v>412</v>
      </c>
      <c r="F74" s="357" t="str">
        <f>IF(H74="正常",F76,"免征")</f>
        <v>免征</v>
      </c>
      <c r="G74" s="952" t="s">
        <v>413</v>
      </c>
      <c r="H74" s="360"/>
      <c r="I74" s="41"/>
      <c r="J74" s="1887"/>
      <c r="K74" s="1859">
        <v>3</v>
      </c>
      <c r="L74" s="3605" t="s">
        <v>410</v>
      </c>
      <c r="M74" s="3605"/>
      <c r="N74" s="1231">
        <f t="shared" ca="1" si="1"/>
        <v>208519</v>
      </c>
      <c r="O74" s="1743" t="str">
        <f t="shared" si="1"/>
        <v>增值额×税（费）率</v>
      </c>
      <c r="P74" s="1234" t="str">
        <f t="shared" si="1"/>
        <v>免征</v>
      </c>
      <c r="Q74" s="1880"/>
      <c r="R74" s="1880"/>
      <c r="S74" s="1880"/>
      <c r="T74" s="1880"/>
      <c r="U74" s="1880"/>
      <c r="V74" s="1880"/>
    </row>
    <row r="75" spans="1:22" ht="12.75">
      <c r="A75" s="356" t="s">
        <v>414</v>
      </c>
      <c r="B75" s="3552" t="s">
        <v>415</v>
      </c>
      <c r="C75" s="3588"/>
      <c r="D75" s="361">
        <v>0</v>
      </c>
      <c r="E75" s="40" t="s">
        <v>416</v>
      </c>
      <c r="F75" s="362"/>
      <c r="G75" s="358"/>
      <c r="H75" s="41"/>
      <c r="I75" s="41"/>
      <c r="J75" s="1887"/>
      <c r="K75" s="2691">
        <f>IF(H77="非个人房产","",4)</f>
        <v>4</v>
      </c>
      <c r="L75" s="3605" t="str">
        <f>IF(H77="非个人房产","——","个人所得税")</f>
        <v>个人所得税</v>
      </c>
      <c r="M75" s="3605"/>
      <c r="N75" s="1235">
        <f>D77</f>
        <v>0</v>
      </c>
      <c r="O75" s="1756" t="str">
        <f>E77</f>
        <v>差额计税</v>
      </c>
      <c r="P75" s="1236">
        <f>F77</f>
        <v>0.01</v>
      </c>
      <c r="Q75" s="1880"/>
      <c r="R75" s="1880"/>
      <c r="S75" s="1880"/>
      <c r="T75" s="1880"/>
      <c r="U75" s="1880"/>
      <c r="V75" s="1880"/>
    </row>
    <row r="76" spans="1:22" ht="24.75">
      <c r="A76" s="356" t="s">
        <v>395</v>
      </c>
      <c r="B76" s="3552" t="s">
        <v>418</v>
      </c>
      <c r="C76" s="3553"/>
      <c r="D76" s="359">
        <f ca="1">IF(H76="转让取得",C99,C115)</f>
        <v>208519</v>
      </c>
      <c r="E76" s="17" t="s">
        <v>419</v>
      </c>
      <c r="F76" s="52" t="s">
        <v>21</v>
      </c>
      <c r="G76" s="358"/>
      <c r="H76" s="360"/>
      <c r="I76" s="41"/>
      <c r="J76" s="1887"/>
      <c r="K76" s="2691" t="str">
        <f>IF(项目基本情况!K6="上海银行",IF(K75="",4,K75+1),"")</f>
        <v/>
      </c>
      <c r="L76" s="3620" t="str">
        <f>IF(项目基本情况!K6="上海银行","其他处置费用","")</f>
        <v/>
      </c>
      <c r="M76" s="3621"/>
      <c r="N76" s="1231" t="str">
        <f>IF(项目基本情况!K6="上海银行",N89,"")</f>
        <v/>
      </c>
      <c r="O76" s="3622" t="str">
        <f>IF(项目基本情况!K6="上海银行","包含处置中涉及的律师、诉讼、拍卖、评估等费用","")</f>
        <v/>
      </c>
      <c r="P76" s="3623"/>
      <c r="Q76" s="1880"/>
      <c r="R76" s="1880"/>
      <c r="S76" s="1880"/>
      <c r="T76" s="1880"/>
      <c r="U76" s="1880"/>
      <c r="V76" s="1880"/>
    </row>
    <row r="77" spans="1:22" ht="24.75" thickBot="1">
      <c r="A77" s="3607" t="s">
        <v>421</v>
      </c>
      <c r="B77" s="3608"/>
      <c r="C77" s="3608"/>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606">
        <f>IF(AND(K75="",K76=""),4,IF(项目基本情况!K6="上海银行",K76+1,K75+1))</f>
        <v>5</v>
      </c>
      <c r="L77" s="3605" t="s">
        <v>2779</v>
      </c>
      <c r="M77" s="2696" t="s">
        <v>417</v>
      </c>
      <c r="N77" s="1237"/>
      <c r="O77" s="1238">
        <f ca="1">SUMIF(N72:N76,"&lt;9e307")</f>
        <v>208703</v>
      </c>
      <c r="P77" s="1239"/>
      <c r="Q77" s="2694">
        <f ca="1">O77/N69</f>
        <v>0.57560538363947267</v>
      </c>
      <c r="R77" s="1880"/>
      <c r="S77" s="1880"/>
      <c r="T77" s="1880"/>
      <c r="U77" s="1880"/>
      <c r="V77" s="1880"/>
    </row>
    <row r="78" spans="1:22" ht="12" customHeight="1">
      <c r="A78" s="1240"/>
      <c r="B78" s="308"/>
      <c r="C78" s="308"/>
      <c r="D78" s="308"/>
      <c r="E78" s="41"/>
      <c r="F78" s="41"/>
      <c r="G78" s="41"/>
      <c r="H78" s="972"/>
      <c r="I78" s="308"/>
      <c r="J78" s="1887"/>
      <c r="K78" s="3606"/>
      <c r="L78" s="3605"/>
      <c r="M78" s="2696" t="s">
        <v>420</v>
      </c>
      <c r="N78" s="1237"/>
      <c r="O78" s="1238" t="str">
        <f ca="1">NUMBERSTRING(INT(O77*10000),2)&amp;"元整"</f>
        <v>贰拾亿捌仟柒佰零叁万元整</v>
      </c>
      <c r="P78" s="1239"/>
      <c r="Q78" s="1880"/>
      <c r="R78" s="1880"/>
      <c r="S78" s="1880"/>
      <c r="T78" s="1880"/>
      <c r="U78" s="1880"/>
      <c r="V78" s="1880"/>
    </row>
    <row r="79" spans="1:22" ht="13.5" thickBot="1">
      <c r="A79" s="3572" t="s">
        <v>422</v>
      </c>
      <c r="B79" s="3572"/>
      <c r="C79" s="3572"/>
      <c r="D79" s="3572"/>
      <c r="E79" s="3572"/>
      <c r="F79" s="41"/>
      <c r="G79" s="41"/>
      <c r="H79" s="972"/>
      <c r="I79" s="308"/>
      <c r="J79" s="1887"/>
      <c r="K79" s="3626">
        <f>K77+1</f>
        <v>6</v>
      </c>
      <c r="L79" s="3605" t="s">
        <v>2780</v>
      </c>
      <c r="M79" s="2696" t="s">
        <v>417</v>
      </c>
      <c r="N79" s="1237"/>
      <c r="O79" s="1238">
        <f ca="1">N69-O77</f>
        <v>153877</v>
      </c>
      <c r="P79" s="1239"/>
      <c r="Q79" s="1880"/>
      <c r="R79" s="1880"/>
      <c r="S79" s="1880"/>
      <c r="T79" s="1880"/>
      <c r="U79" s="1880"/>
      <c r="V79" s="1880"/>
    </row>
    <row r="80" spans="1:22" ht="25.5">
      <c r="A80" s="3573" t="s">
        <v>423</v>
      </c>
      <c r="B80" s="3574"/>
      <c r="C80" s="963"/>
      <c r="D80" s="963" t="s">
        <v>424</v>
      </c>
      <c r="E80" s="363" t="s">
        <v>425</v>
      </c>
      <c r="F80" s="41"/>
      <c r="G80" s="41"/>
      <c r="H80" s="972"/>
      <c r="I80" s="308"/>
      <c r="J80" s="1880"/>
      <c r="K80" s="3627"/>
      <c r="L80" s="3605"/>
      <c r="M80" s="2696" t="s">
        <v>420</v>
      </c>
      <c r="N80" s="1237"/>
      <c r="O80" s="1238" t="str">
        <f ca="1">NUMBERSTRING(INT(O79*10000),2)&amp;"元整"</f>
        <v>壹拾伍亿叁仟捌佰柒拾柒万元整</v>
      </c>
      <c r="P80" s="1239"/>
      <c r="Q80" s="1880"/>
      <c r="R80" s="1880"/>
      <c r="S80" s="1880"/>
      <c r="T80" s="1880"/>
      <c r="U80" s="1880"/>
      <c r="V80" s="1880"/>
    </row>
    <row r="81" spans="1:26" ht="13.5" thickBot="1">
      <c r="A81" s="374" t="s">
        <v>1803</v>
      </c>
      <c r="B81" s="364" t="s">
        <v>426</v>
      </c>
      <c r="C81" s="365">
        <f ca="1">ROUND((C82+C83)/(1+'数据-取费表'!C42),0)</f>
        <v>350305</v>
      </c>
      <c r="D81" s="366"/>
      <c r="E81" s="367"/>
      <c r="F81" s="41"/>
      <c r="G81" s="41"/>
      <c r="H81" s="972"/>
      <c r="I81" s="308"/>
      <c r="J81" s="1880"/>
      <c r="K81" s="2691">
        <f>K79+1</f>
        <v>7</v>
      </c>
      <c r="L81" s="3603" t="s">
        <v>2781</v>
      </c>
      <c r="M81" s="3604"/>
      <c r="N81" s="1241"/>
      <c r="O81" s="1242">
        <f ca="1">ROUND(O79*10000/'数据-汇总表'!E3,0)</f>
        <v>8851</v>
      </c>
      <c r="P81" s="1243"/>
      <c r="Q81" s="1880"/>
      <c r="R81" s="1880"/>
      <c r="S81" s="1880"/>
      <c r="T81" s="1880"/>
      <c r="U81" s="1880"/>
      <c r="V81" s="1880"/>
    </row>
    <row r="82" spans="1:26" ht="13.5" thickTop="1">
      <c r="A82" s="368" t="s">
        <v>1804</v>
      </c>
      <c r="B82" s="369" t="s">
        <v>427</v>
      </c>
      <c r="C82" s="370">
        <f ca="1">D63</f>
        <v>367820</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619" t="s">
        <v>2769</v>
      </c>
      <c r="L83" s="2702" t="s">
        <v>2770</v>
      </c>
      <c r="M83" s="2692">
        <f ca="1">IF(N69&gt;10000,N69*0.5%,IF(AND(N69&gt;1000,N69&lt;=10000),N69*1%,IF(AND(N69&gt;100,N69&lt;=1000),N69*3%,IF(AND(N69&gt;10,N69&lt;=100),N69*5%,N69*8%))))</f>
        <v>1812.9</v>
      </c>
      <c r="N83" s="52">
        <f ca="1">ROUND(M83,1)</f>
        <v>1812.9</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619"/>
      <c r="L84" s="2702" t="s">
        <v>2771</v>
      </c>
      <c r="M84" s="2692">
        <f ca="1">IF(N69&gt;2000,N69*0.5%,IF(AND(N69&gt;1000,N69&lt;=2000),N69*0.6%,IF(AND(N69&gt;500,N69&lt;=1000),N69*0.7%,IF(AND(N69&gt;200,N69&lt;=500),N69*0.8%,IF(AND(N69&gt;100,N69&lt;=200),N69*0.9%,IF(AND(N69&gt;50,N69&lt;=100),N69*1%,IF(AND(N69&gt;20,N69&lt;=50),N69*1.5%,IF(AND(N69&gt;10,N69&lt;=20),N69*2%,IF(AND(N69&gt;1,N69&lt;=10),N69*2.5%)))))))))</f>
        <v>1812.9</v>
      </c>
      <c r="N84" s="52">
        <f t="shared" ref="N84:N85" ca="1" si="2">ROUND(M84,1)</f>
        <v>1812.9</v>
      </c>
      <c r="O84" s="1880" t="s">
        <v>2772</v>
      </c>
      <c r="P84" s="1880"/>
      <c r="Q84" s="1880"/>
      <c r="R84" s="1880"/>
      <c r="S84" s="1880"/>
      <c r="T84" s="1880"/>
      <c r="U84" s="1880"/>
      <c r="V84" s="1880"/>
    </row>
    <row r="85" spans="1:26" ht="12.75">
      <c r="A85" s="374" t="s">
        <v>1807</v>
      </c>
      <c r="B85" s="375" t="s">
        <v>430</v>
      </c>
      <c r="C85" s="378">
        <f ca="1">C81-C84</f>
        <v>350305</v>
      </c>
      <c r="D85" s="371" t="s">
        <v>19</v>
      </c>
      <c r="E85" s="372"/>
      <c r="F85" s="41"/>
      <c r="G85" s="41"/>
      <c r="H85" s="972"/>
      <c r="I85" s="308"/>
      <c r="J85" s="1880"/>
      <c r="K85" s="3619"/>
      <c r="L85" s="2702" t="s">
        <v>2773</v>
      </c>
      <c r="M85" s="2692">
        <f ca="1">IF(N69&gt;1000,N69*0.1%,IF(AND(N69&gt;500,N69&lt;=1000),N69*0.5%,IF(AND(N69&gt;50,N69&lt;=500),N69*1%,IF(AND(N69&gt;1,N69&lt;=50),N69*1.5%))))</f>
        <v>362.58</v>
      </c>
      <c r="N85" s="52">
        <f t="shared" ca="1" si="2"/>
        <v>362.6</v>
      </c>
      <c r="O85" s="1880" t="s">
        <v>2772</v>
      </c>
      <c r="P85" s="1880"/>
      <c r="Q85" s="1880"/>
      <c r="R85" s="1880"/>
      <c r="S85" s="1880"/>
      <c r="T85" s="1880"/>
      <c r="U85" s="1880"/>
      <c r="V85" s="1880"/>
    </row>
    <row r="86" spans="1:26" ht="13.5" thickBot="1">
      <c r="A86" s="379" t="s">
        <v>1808</v>
      </c>
      <c r="B86" s="380" t="s">
        <v>431</v>
      </c>
      <c r="C86" s="381">
        <f ca="1">IF(C85&lt;=0,0,ROUND(C85*D86,0))</f>
        <v>19267</v>
      </c>
      <c r="D86" s="382">
        <f>'数据-取费表'!B41</f>
        <v>5.5000000000000007E-2</v>
      </c>
      <c r="E86" s="383"/>
      <c r="F86" s="41"/>
      <c r="G86" s="41"/>
      <c r="H86" s="972"/>
      <c r="I86" s="308"/>
      <c r="J86" s="1880"/>
      <c r="K86" s="3619"/>
      <c r="L86" s="2702" t="s">
        <v>2774</v>
      </c>
      <c r="M86" s="2692">
        <f ca="1">N69*0.5%</f>
        <v>1812.9</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619"/>
      <c r="L87" s="2702" t="s">
        <v>2776</v>
      </c>
      <c r="M87" s="2692">
        <f ca="1">IF(N69&gt;=10000,(8.25+(N69-10000)*0.01%),IF(AND(N69&gt;=8000,N69&lt;10000),(7.85+(N69-8000)*0.02%),IF(AND(N69&gt;=5000,N69&lt;8000),(6.65+(N69-5000)*0.04%),IF(AND(N69&gt;=2000,N69&lt;5000),(4.25+(PN69-2000)*0.08%),IF(AND(N69&gt;=1000,N69&lt;2000),(2.75+(N69-1000)*0.15%),IF(AND(N69&gt;=100,N69&lt;1000),(0.5+(N69-100)*0.25%),IF(AND(N69&gt;0,N69&lt;100),N69*0.5%)))))))</f>
        <v>43.508000000000003</v>
      </c>
      <c r="N87" s="52">
        <f ca="1">ROUND(M87*0.9,1)</f>
        <v>39.200000000000003</v>
      </c>
      <c r="O87" s="2695"/>
      <c r="P87" s="1880"/>
      <c r="Q87" s="1880"/>
      <c r="R87" s="1880"/>
      <c r="S87" s="1880"/>
      <c r="T87" s="1880"/>
      <c r="U87" s="1880"/>
      <c r="V87" s="1880"/>
      <c r="W87" s="289"/>
      <c r="X87" s="289"/>
      <c r="Y87" s="289"/>
      <c r="Z87" s="289"/>
    </row>
    <row r="88" spans="1:26" s="1249" customFormat="1" ht="15" thickBot="1">
      <c r="A88" s="3598" t="s">
        <v>432</v>
      </c>
      <c r="B88" s="3599"/>
      <c r="C88" s="3599"/>
      <c r="D88" s="3599"/>
      <c r="E88" s="3599"/>
      <c r="F88" s="3599"/>
      <c r="G88" s="3599"/>
      <c r="H88" s="3599"/>
      <c r="I88" s="1250"/>
      <c r="J88" s="1888"/>
      <c r="K88" s="3619"/>
      <c r="L88" s="2702" t="s">
        <v>2777</v>
      </c>
      <c r="M88" s="2692">
        <f ca="1">IF(N69&gt;10000,N69*0.5%,IF(AND(N69&gt;5000,N69&lt;=10000),N69*1%,IF(AND(N69&gt;1000,N69&lt;=5000),N69*2%,IF(AND(N69&gt;200,N69&lt;=1000),N69*3%,N69*5%))))</f>
        <v>1812.9</v>
      </c>
      <c r="N88" s="52">
        <f ca="1">ROUND(M88,1)</f>
        <v>1812.9</v>
      </c>
      <c r="O88" s="2695"/>
      <c r="P88" s="1885"/>
      <c r="Q88" s="1885"/>
      <c r="R88" s="1885"/>
      <c r="S88" s="1885"/>
      <c r="T88" s="1885"/>
      <c r="U88" s="1885"/>
      <c r="V88" s="1885"/>
      <c r="W88" s="1889"/>
      <c r="X88" s="1889"/>
      <c r="Y88" s="1889"/>
      <c r="Z88" s="1889"/>
    </row>
    <row r="89" spans="1:26" s="1249" customFormat="1" ht="14.25">
      <c r="A89" s="3573" t="s">
        <v>423</v>
      </c>
      <c r="B89" s="3574"/>
      <c r="C89" s="963"/>
      <c r="D89" s="963" t="s">
        <v>424</v>
      </c>
      <c r="E89" s="384" t="s">
        <v>433</v>
      </c>
      <c r="F89" s="385"/>
      <c r="G89" s="385"/>
      <c r="H89" s="386"/>
      <c r="I89" s="1251"/>
      <c r="J89" s="1890"/>
      <c r="K89" s="3619"/>
      <c r="L89" s="2702" t="s">
        <v>27</v>
      </c>
      <c r="M89" s="2693"/>
      <c r="N89" s="52">
        <f ca="1">ROUND(SUM(N83:N88),0)</f>
        <v>5841</v>
      </c>
      <c r="O89" s="2703">
        <f ca="1">N89/N69</f>
        <v>1.6109548237630316E-2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350305</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1752</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555" t="s">
        <v>441</v>
      </c>
      <c r="F94" s="3554"/>
      <c r="G94" s="3554"/>
      <c r="H94" s="3597"/>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1752</v>
      </c>
      <c r="D96" s="399">
        <f>'数据-取费表'!B43</f>
        <v>5.000000000000001E-3</v>
      </c>
      <c r="E96" s="3589" t="s">
        <v>2397</v>
      </c>
      <c r="F96" s="3590"/>
      <c r="G96" s="3590"/>
      <c r="H96" s="3591"/>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348553</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198.94577625570776</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208519</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598" t="s">
        <v>448</v>
      </c>
      <c r="B101" s="3599"/>
      <c r="C101" s="3599"/>
      <c r="D101" s="3599"/>
      <c r="E101" s="3599"/>
      <c r="F101" s="3599"/>
      <c r="G101" s="3599"/>
      <c r="H101" s="3599"/>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73" t="s">
        <v>423</v>
      </c>
      <c r="B102" s="3574"/>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350305</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1752</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549" t="s">
        <v>2877</v>
      </c>
      <c r="H108" s="3550"/>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92" t="s">
        <v>456</v>
      </c>
      <c r="F109" s="3590"/>
      <c r="G109" s="3590"/>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92" t="s">
        <v>458</v>
      </c>
      <c r="F110" s="3590"/>
      <c r="G110" s="3590"/>
      <c r="H110" s="3591"/>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1752</v>
      </c>
      <c r="D111" s="399">
        <f>'数据-取费表'!B43</f>
        <v>5.000000000000001E-3</v>
      </c>
      <c r="E111" s="3589" t="s">
        <v>2397</v>
      </c>
      <c r="F111" s="3590"/>
      <c r="G111" s="3590"/>
      <c r="H111" s="3591"/>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92" t="s">
        <v>2416</v>
      </c>
      <c r="F112" s="3590"/>
      <c r="G112" s="3590"/>
      <c r="H112" s="3591"/>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348553</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198.94577625570776</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208519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15" sqref="N15"/>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364223</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20949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85799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5720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 ca="1">SUM(C10:K10)</f>
        <v>660817</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57906</v>
      </c>
      <c r="D8" s="3450">
        <f ca="1">不动产收益法!C43</f>
        <v>10270</v>
      </c>
      <c r="E8" s="2488">
        <f>'不动产比较法-车位'!C39</f>
        <v>5779</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109449.33</v>
      </c>
      <c r="D9" s="434">
        <f>SUMIF('数据-汇总表'!$C19:$C33,'剩余法-待开发'!D7,'数据-汇总表'!$E19:$E33)</f>
        <v>7871.7900000000009</v>
      </c>
      <c r="E9" s="434">
        <f>SUMIF('数据-汇总表'!$C19:$C33,'剩余法-待开发'!E7,'数据-汇总表'!$E19:$E33)</f>
        <v>32801.72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633777</v>
      </c>
      <c r="D10" s="2678">
        <f ca="1">不动产收益法!C40</f>
        <v>8084</v>
      </c>
      <c r="E10" s="2678">
        <f t="shared" ref="D10:E10" si="0">ROUND(E8*E9/10000,0)</f>
        <v>18956</v>
      </c>
      <c r="F10" s="2491"/>
      <c r="G10" s="2491"/>
      <c r="H10" s="2491"/>
      <c r="I10" s="2491"/>
      <c r="J10" s="2491"/>
      <c r="K10" s="2492"/>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83976</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2519</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3010</v>
      </c>
      <c r="D15" s="2498"/>
      <c r="E15" s="2499"/>
      <c r="F15" s="2501">
        <f>'数据-取费表'!B34</f>
        <v>0.05</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3477</v>
      </c>
      <c r="D16" s="2498">
        <f ca="1">IF(B1="",'数据-汇总表'!E3,INDIRECT("'数据-取费表'!K"&amp;$K$1)+INDIRECT("'数据-取费表'!S"&amp;$K$1))</f>
        <v>173860.47999999998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1260</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94242</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2608</v>
      </c>
      <c r="D19" s="2508">
        <f ca="1">D16</f>
        <v>173860.47999999998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3039</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1751</v>
      </c>
      <c r="D21" s="2498">
        <f ca="1">IF(B1="",'数据-汇总表'!E5,IF(INDIRECT("'数据-取费表'!c"&amp;$K$1)="住宅",INDIRECT("'数据-取费表'!k"&amp;$K$1),0))</f>
        <v>109449.33</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1288</v>
      </c>
      <c r="D22" s="2498">
        <f ca="1">IF(B1="",'数据-汇总表'!E6,IF(INDIRECT("'数据-取费表'!c"&amp;$K$1)="住宅",INDIRECT("'数据-取费表'!s"&amp;$K$1),INDIRECT("'数据-取费表'!k"&amp;$K$1)+INDIRECT("'数据-取费表'!s"&amp;$K$1)))</f>
        <v>64411.14999999998</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1998</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 ca="1">ROUND(C6*F24,0)</f>
        <v>13216</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7503</v>
      </c>
      <c r="D26" s="459">
        <f ca="1">C27</f>
        <v>0.13850000000000001</v>
      </c>
      <c r="E26" s="461" t="s">
        <v>489</v>
      </c>
      <c r="F26" s="463">
        <f ca="1">'数据-取费表'!B40</f>
        <v>4.2999999999999997E-2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0.13850000000000001</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7503</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 ca="1">ROUND(C6*F29/(1+'数据-取费表'!C42),0)</f>
        <v>34614</v>
      </c>
      <c r="D29" s="460"/>
      <c r="E29" s="460"/>
      <c r="F29" s="2684">
        <f>'数据-取费表'!B41</f>
        <v>5.5000000000000007E-2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157220</v>
      </c>
      <c r="D30" s="469">
        <f ca="1">C32</f>
        <v>0.16750000000000001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157220</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0.16750000000000001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18416</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18416</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364223</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7" t="str">
        <f>项目基本情况!B1</f>
        <v>北京市出让国有建设用地使用权预评估</v>
      </c>
      <c r="C37" s="3457"/>
      <c r="D37" s="3457"/>
      <c r="E37" s="3457"/>
      <c r="F37" s="3457"/>
      <c r="G37" s="3457"/>
      <c r="H37" s="3457"/>
      <c r="I37" s="3457"/>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83976</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2519</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3010</v>
      </c>
      <c r="D15" s="443"/>
      <c r="E15" s="362"/>
      <c r="F15" s="445">
        <f>'数据-取费表'!B34</f>
        <v>0.05</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3477</v>
      </c>
      <c r="D16" s="443">
        <f ca="1">IF(B1="",'数据-汇总表'!E3,INDIRECT("'数据-取费表'!K"&amp;$K$1)+INDIRECT("'数据-取费表'!S"&amp;$K$1))</f>
        <v>173860.47999999998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1260</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94242</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1885</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6266</v>
      </c>
      <c r="D20" s="454">
        <f ca="1">ROUND(((1+F20)^'数据-取费表'!B20)-1,4)</f>
        <v>0.1346</v>
      </c>
      <c r="E20" s="454"/>
      <c r="F20" s="463">
        <f ca="1">'数据-取费表'!B40</f>
        <v>4.2999999999999997E-2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15380</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31" t="s">
        <v>1845</v>
      </c>
      <c r="B24" s="3632"/>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31" t="s">
        <v>2923</v>
      </c>
      <c r="B25" s="3632"/>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31" t="s">
        <v>2924</v>
      </c>
      <c r="B26" s="3632"/>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33" t="s">
        <v>2922</v>
      </c>
      <c r="B27" s="3634"/>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70" zoomScaleNormal="95" zoomScaleSheetLayoutView="70" workbookViewId="0">
      <selection activeCell="I15" sqref="I1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371416</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21363</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87493</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5833</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44" t="s">
        <v>505</v>
      </c>
      <c r="D6" s="3645"/>
      <c r="E6" s="3644" t="s">
        <v>506</v>
      </c>
      <c r="F6" s="3645"/>
      <c r="G6" s="3644" t="s">
        <v>507</v>
      </c>
      <c r="H6" s="3645"/>
      <c r="I6" s="3644" t="s">
        <v>508</v>
      </c>
      <c r="J6" s="3645"/>
      <c r="K6" s="490" t="s">
        <v>509</v>
      </c>
      <c r="L6" s="1984"/>
      <c r="M6" s="1983"/>
      <c r="N6" s="1983"/>
      <c r="O6" s="1985"/>
      <c r="P6" s="3646" t="s">
        <v>510</v>
      </c>
      <c r="Q6" s="3647"/>
      <c r="R6" s="3652" t="s">
        <v>506</v>
      </c>
      <c r="S6" s="3653"/>
      <c r="T6" s="3652" t="s">
        <v>507</v>
      </c>
      <c r="U6" s="3653"/>
      <c r="V6" s="3639" t="s">
        <v>508</v>
      </c>
      <c r="W6" s="3639"/>
      <c r="X6" s="1474"/>
      <c r="Y6" s="3652" t="s">
        <v>510</v>
      </c>
      <c r="Z6" s="3653"/>
      <c r="AA6" s="3641" t="s">
        <v>506</v>
      </c>
      <c r="AB6" s="3642" t="s">
        <v>507</v>
      </c>
      <c r="AC6" s="3641" t="s">
        <v>508</v>
      </c>
    </row>
    <row r="7" spans="1:30" ht="75.75" customHeight="1">
      <c r="A7" s="491"/>
      <c r="B7" s="492"/>
      <c r="C7" s="3660" t="s">
        <v>2813</v>
      </c>
      <c r="D7" s="3661"/>
      <c r="E7" s="3664" t="str">
        <f>土地案例!A5</f>
        <v xml:space="preserve">北京市大兴区大兴新城核心区H组团DX00-0106-001a、001b地块R2二类居住用地、A334基础教育用地    </v>
      </c>
      <c r="F7" s="3661"/>
      <c r="G7" s="3660" t="str">
        <f>土地案例!A10</f>
        <v xml:space="preserve">北京市大兴区旧宫镇南郊农场棚户区改造项目DX05-0200-0037、0038、6002等地块R2二类居住用地    </v>
      </c>
      <c r="H7" s="3661"/>
      <c r="I7" s="3660" t="str">
        <f>土地案例!A18</f>
        <v xml:space="preserve">北京市大兴区旧宫镇YZ00-0801-0018、0019、0024、0025、0026地块二类居住用地、基础教育用地    </v>
      </c>
      <c r="J7" s="3661"/>
      <c r="K7" s="490"/>
      <c r="L7" s="1984"/>
      <c r="M7" s="1983"/>
      <c r="N7" s="1983"/>
      <c r="O7" s="1985"/>
      <c r="P7" s="3648"/>
      <c r="Q7" s="3649"/>
      <c r="R7" s="3654"/>
      <c r="S7" s="3655"/>
      <c r="T7" s="3654"/>
      <c r="U7" s="3655"/>
      <c r="V7" s="3639"/>
      <c r="W7" s="3639"/>
      <c r="X7" s="1474"/>
      <c r="Y7" s="3654"/>
      <c r="Z7" s="3655"/>
      <c r="AA7" s="3642"/>
      <c r="AB7" s="3642"/>
      <c r="AC7" s="3642"/>
    </row>
    <row r="8" spans="1:30" ht="21" thickBot="1">
      <c r="A8" s="491"/>
      <c r="B8" s="492"/>
      <c r="C8" s="3662" t="s">
        <v>2817</v>
      </c>
      <c r="D8" s="3663"/>
      <c r="E8" s="3662" t="s">
        <v>2817</v>
      </c>
      <c r="F8" s="3663"/>
      <c r="G8" s="3658" t="s">
        <v>2817</v>
      </c>
      <c r="H8" s="3659"/>
      <c r="I8" s="3658" t="s">
        <v>2817</v>
      </c>
      <c r="J8" s="3659"/>
      <c r="K8" s="490" t="s">
        <v>511</v>
      </c>
      <c r="L8" s="1984"/>
      <c r="M8" s="1983"/>
      <c r="N8" s="1983"/>
      <c r="O8" s="1985"/>
      <c r="P8" s="3650"/>
      <c r="Q8" s="3651"/>
      <c r="R8" s="3654"/>
      <c r="S8" s="3655"/>
      <c r="T8" s="3656"/>
      <c r="U8" s="3657"/>
      <c r="V8" s="3639"/>
      <c r="W8" s="3639"/>
      <c r="X8" s="1474"/>
      <c r="Y8" s="3656"/>
      <c r="Z8" s="3657"/>
      <c r="AA8" s="3643"/>
      <c r="AB8" s="3643"/>
      <c r="AC8" s="3643"/>
    </row>
    <row r="9" spans="1:30" s="1184" customFormat="1" ht="21" thickBot="1">
      <c r="A9" s="2566"/>
      <c r="B9" s="2573" t="s">
        <v>512</v>
      </c>
      <c r="C9" s="2565">
        <f>'数据-取费表'!B2</f>
        <v>44580</v>
      </c>
      <c r="D9" s="496">
        <v>100</v>
      </c>
      <c r="E9" s="497">
        <f>土地案例!L5</f>
        <v>44327</v>
      </c>
      <c r="F9" s="498">
        <f>SUMIF(72:72,YEAR(E9)&amp;"-"&amp;INT((MONTH(E9)+2)/3),73:73)</f>
        <v>99.399999999999991</v>
      </c>
      <c r="G9" s="499">
        <f>土地案例!L10</f>
        <v>44222</v>
      </c>
      <c r="H9" s="496">
        <f>SUMIF(72:72,YEAR(G9)&amp;"-"&amp;INT((MONTH(G9)+2)/3),73:73)</f>
        <v>99.199999999999989</v>
      </c>
      <c r="I9" s="499">
        <f>土地案例!L18</f>
        <v>43879</v>
      </c>
      <c r="J9" s="496">
        <f>SUMIF(72:72,YEAR(I9)&amp;"-"&amp;INT((MONTH(I9)+2)/3),73:73)</f>
        <v>98.399999999999977</v>
      </c>
      <c r="K9" s="500"/>
      <c r="L9" s="1986"/>
      <c r="M9" s="1983"/>
      <c r="N9" s="1983"/>
      <c r="O9" s="1987"/>
      <c r="P9" s="3670" t="s">
        <v>513</v>
      </c>
      <c r="Q9" s="3672"/>
      <c r="R9" s="1475" t="s">
        <v>8</v>
      </c>
      <c r="S9" s="1476">
        <f t="shared" ref="S9:S17" si="0">F9</f>
        <v>99.399999999999991</v>
      </c>
      <c r="T9" s="1475" t="s">
        <v>8</v>
      </c>
      <c r="U9" s="1476">
        <f t="shared" ref="U9:U17" si="1">H9</f>
        <v>99.199999999999989</v>
      </c>
      <c r="V9" s="1475" t="s">
        <v>8</v>
      </c>
      <c r="W9" s="1476">
        <f t="shared" ref="W9:W17" si="2">J9</f>
        <v>98.399999999999977</v>
      </c>
      <c r="X9" s="1477"/>
      <c r="Y9" s="3670" t="s">
        <v>513</v>
      </c>
      <c r="Z9" s="3671"/>
      <c r="AA9" s="1478">
        <f>D9/F9</f>
        <v>1.0060362173038231</v>
      </c>
      <c r="AB9" s="1478">
        <f>D9/H9</f>
        <v>1.0080645161290325</v>
      </c>
      <c r="AC9" s="1478">
        <f>D9/J9</f>
        <v>1.0162601626016263</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70" t="s">
        <v>516</v>
      </c>
      <c r="Q10" s="3671"/>
      <c r="R10" s="1475" t="s">
        <v>8</v>
      </c>
      <c r="S10" s="1476">
        <f t="shared" si="0"/>
        <v>100</v>
      </c>
      <c r="T10" s="1475" t="s">
        <v>8</v>
      </c>
      <c r="U10" s="1476">
        <f t="shared" si="1"/>
        <v>100</v>
      </c>
      <c r="V10" s="1475" t="s">
        <v>8</v>
      </c>
      <c r="W10" s="1476">
        <f t="shared" si="2"/>
        <v>100</v>
      </c>
      <c r="X10" s="1477"/>
      <c r="Y10" s="3670" t="s">
        <v>516</v>
      </c>
      <c r="Z10" s="3671"/>
      <c r="AA10" s="1478">
        <f t="shared" ref="AA10:AA47" si="3">D10/F10</f>
        <v>1</v>
      </c>
      <c r="AB10" s="1478">
        <f t="shared" ref="AB10:AB47" si="4">D10/H10</f>
        <v>1</v>
      </c>
      <c r="AC10" s="1478">
        <f t="shared" ref="AC10:AC47" si="5">D10/J10</f>
        <v>1</v>
      </c>
    </row>
    <row r="11" spans="1:30" s="1184" customFormat="1" ht="20.25">
      <c r="A11" s="2568"/>
      <c r="B11" s="2575" t="s">
        <v>2655</v>
      </c>
      <c r="C11" s="2562" t="s">
        <v>3147</v>
      </c>
      <c r="D11" s="251">
        <v>100</v>
      </c>
      <c r="E11" s="2562" t="s">
        <v>3147</v>
      </c>
      <c r="F11" s="251">
        <f>SUMIF(77:77,E11,78:78)-SUMIF(77:77,C11,78:78)+100</f>
        <v>100</v>
      </c>
      <c r="G11" s="2562" t="s">
        <v>3147</v>
      </c>
      <c r="H11" s="251">
        <f>SUMIF(77:77,G11,78:78)-SUMIF(77:77,C11,78:78)+100</f>
        <v>100</v>
      </c>
      <c r="I11" s="2562" t="s">
        <v>3147</v>
      </c>
      <c r="J11" s="251">
        <f>SUMIF(77:77,I11,78:78)-SUMIF(77:77,C11,78:78)+100</f>
        <v>100</v>
      </c>
      <c r="K11" s="500"/>
      <c r="L11" s="1986"/>
      <c r="M11" s="1983"/>
      <c r="N11" s="1983"/>
      <c r="O11" s="1988"/>
      <c r="P11" s="3638" t="s">
        <v>518</v>
      </c>
      <c r="Q11" s="1115" t="str">
        <f t="shared" ref="Q11:Q17" si="6">B11</f>
        <v>用途</v>
      </c>
      <c r="R11" s="1475" t="s">
        <v>8</v>
      </c>
      <c r="S11" s="1476">
        <f t="shared" si="0"/>
        <v>100</v>
      </c>
      <c r="T11" s="1475" t="s">
        <v>8</v>
      </c>
      <c r="U11" s="1476">
        <f t="shared" si="1"/>
        <v>100</v>
      </c>
      <c r="V11" s="1475" t="s">
        <v>8</v>
      </c>
      <c r="W11" s="1476">
        <f t="shared" si="2"/>
        <v>100</v>
      </c>
      <c r="X11" s="1477"/>
      <c r="Y11" s="3580"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69.78</v>
      </c>
      <c r="D12" s="252">
        <v>100</v>
      </c>
      <c r="E12" s="505" t="s">
        <v>3148</v>
      </c>
      <c r="F12" s="252">
        <f>ROUND(100/'数据-取费表'!G16,0)</f>
        <v>100</v>
      </c>
      <c r="G12" s="505" t="s">
        <v>3148</v>
      </c>
      <c r="H12" s="252">
        <f>ROUND(100/'数据-取费表'!G16,0)</f>
        <v>100</v>
      </c>
      <c r="I12" s="505" t="s">
        <v>3148</v>
      </c>
      <c r="J12" s="252">
        <f>ROUND(100/'数据-取费表'!G16,0)</f>
        <v>100</v>
      </c>
      <c r="K12" s="507"/>
      <c r="L12" s="1989"/>
      <c r="M12" s="1983"/>
      <c r="N12" s="1983"/>
      <c r="O12" s="1990"/>
      <c r="P12" s="3638"/>
      <c r="Q12" s="1115" t="str">
        <f t="shared" si="6"/>
        <v>土地使用年限（年）</v>
      </c>
      <c r="R12" s="1475" t="s">
        <v>8</v>
      </c>
      <c r="S12" s="1476">
        <f t="shared" si="0"/>
        <v>100</v>
      </c>
      <c r="T12" s="1475" t="s">
        <v>8</v>
      </c>
      <c r="U12" s="1476">
        <f t="shared" si="1"/>
        <v>100</v>
      </c>
      <c r="V12" s="1475" t="s">
        <v>8</v>
      </c>
      <c r="W12" s="1476">
        <f t="shared" si="2"/>
        <v>100</v>
      </c>
      <c r="X12" s="1477"/>
      <c r="Y12" s="3580"/>
      <c r="Z12" s="1114" t="str">
        <f t="shared" si="7"/>
        <v>土地使用年限（年）</v>
      </c>
      <c r="AA12" s="1478">
        <f t="shared" si="3"/>
        <v>1</v>
      </c>
      <c r="AB12" s="1478">
        <f t="shared" si="4"/>
        <v>1</v>
      </c>
      <c r="AC12" s="1478">
        <f t="shared" si="5"/>
        <v>1</v>
      </c>
    </row>
    <row r="13" spans="1:30" ht="20.25">
      <c r="A13" s="2570"/>
      <c r="B13" s="2574" t="s">
        <v>2657</v>
      </c>
      <c r="C13" s="510">
        <f>'数据-汇总表'!I4</f>
        <v>2.5</v>
      </c>
      <c r="D13" s="252">
        <v>100</v>
      </c>
      <c r="E13" s="509">
        <v>2</v>
      </c>
      <c r="F13" s="252">
        <f>LOOKUP(E13,82:82,83:83)-LOOKUP(C13,82:82,83:83)+100</f>
        <v>100</v>
      </c>
      <c r="G13" s="510">
        <v>2.2999999999999998</v>
      </c>
      <c r="H13" s="252">
        <f>LOOKUP(G13,82:82,83:83)-LOOKUP(C13,82:82,83:83)+100</f>
        <v>100</v>
      </c>
      <c r="I13" s="509">
        <v>2.5</v>
      </c>
      <c r="J13" s="252">
        <f>LOOKUP(I13,82:82,83:83)-LOOKUP(C13,82:82,83:83)+100</f>
        <v>100</v>
      </c>
      <c r="K13" s="511"/>
      <c r="L13" s="1991"/>
      <c r="M13" s="1983"/>
      <c r="N13" s="1983"/>
      <c r="O13" s="1992"/>
      <c r="P13" s="3638"/>
      <c r="Q13" s="1115" t="str">
        <f t="shared" si="6"/>
        <v>容积率</v>
      </c>
      <c r="R13" s="1475" t="s">
        <v>8</v>
      </c>
      <c r="S13" s="1476">
        <f t="shared" si="0"/>
        <v>100</v>
      </c>
      <c r="T13" s="1475" t="s">
        <v>8</v>
      </c>
      <c r="U13" s="1476">
        <f t="shared" si="1"/>
        <v>100</v>
      </c>
      <c r="V13" s="1475" t="s">
        <v>8</v>
      </c>
      <c r="W13" s="1476">
        <f t="shared" si="2"/>
        <v>100</v>
      </c>
      <c r="X13" s="1477"/>
      <c r="Y13" s="3580"/>
      <c r="Z13" s="1114" t="str">
        <f t="shared" si="7"/>
        <v>容积率</v>
      </c>
      <c r="AA13" s="1478">
        <f t="shared" si="3"/>
        <v>1</v>
      </c>
      <c r="AB13" s="1478">
        <f t="shared" si="4"/>
        <v>1</v>
      </c>
      <c r="AC13" s="1478">
        <f t="shared" si="5"/>
        <v>1</v>
      </c>
    </row>
    <row r="14" spans="1:30" s="1184" customFormat="1" ht="27">
      <c r="A14" s="2567"/>
      <c r="B14" s="2576" t="s">
        <v>2658</v>
      </c>
      <c r="C14" s="2563" t="s">
        <v>3351</v>
      </c>
      <c r="D14" s="514">
        <v>100</v>
      </c>
      <c r="E14" s="1298" t="s">
        <v>3356</v>
      </c>
      <c r="F14" s="252">
        <f>SUMIF(84:84,E14,85:85)-SUMIF(84:84,C14,85:85)+100</f>
        <v>95</v>
      </c>
      <c r="G14" s="2563" t="s">
        <v>3351</v>
      </c>
      <c r="H14" s="252">
        <f>SUMIF(84:84,G14,85:85)-SUMIF(84:84,C14,85:85)+100</f>
        <v>100</v>
      </c>
      <c r="I14" s="2563" t="s">
        <v>3351</v>
      </c>
      <c r="J14" s="252">
        <f>SUMIF(84:84,I14,85:85)-SUMIF(84:84,C14,85:85)+100</f>
        <v>100</v>
      </c>
      <c r="K14" s="507"/>
      <c r="L14" s="1986"/>
      <c r="M14" s="1983"/>
      <c r="N14" s="1983"/>
      <c r="O14" s="1988"/>
      <c r="P14" s="3638"/>
      <c r="Q14" s="1115" t="str">
        <f t="shared" si="6"/>
        <v>配建</v>
      </c>
      <c r="R14" s="1475" t="s">
        <v>8</v>
      </c>
      <c r="S14" s="1476">
        <f t="shared" si="0"/>
        <v>95</v>
      </c>
      <c r="T14" s="1475" t="s">
        <v>8</v>
      </c>
      <c r="U14" s="1476">
        <f t="shared" si="1"/>
        <v>100</v>
      </c>
      <c r="V14" s="1475" t="s">
        <v>8</v>
      </c>
      <c r="W14" s="1476">
        <f t="shared" si="2"/>
        <v>100</v>
      </c>
      <c r="X14" s="1477"/>
      <c r="Y14" s="3580"/>
      <c r="Z14" s="1114" t="str">
        <f t="shared" si="7"/>
        <v>配建</v>
      </c>
      <c r="AA14" s="1478">
        <f>D14/F14</f>
        <v>1.0526315789473684</v>
      </c>
      <c r="AB14" s="1478">
        <f>D14/H14</f>
        <v>1</v>
      </c>
      <c r="AC14" s="1478">
        <f>D14/J14</f>
        <v>1</v>
      </c>
    </row>
    <row r="15" spans="1:30" ht="20.25">
      <c r="A15" s="2571"/>
      <c r="B15" s="3440" t="s">
        <v>3160</v>
      </c>
      <c r="C15" s="882">
        <v>59000</v>
      </c>
      <c r="D15" s="516">
        <v>100</v>
      </c>
      <c r="E15" s="517">
        <v>57000</v>
      </c>
      <c r="F15" s="252">
        <f>SUMIF(86:86,E15,87:87)-SUMIF(86:86,C15,87:87)+100</f>
        <v>100</v>
      </c>
      <c r="G15" s="3441" t="s">
        <v>3350</v>
      </c>
      <c r="H15" s="516">
        <f>SUMIF(86:86,G15,87:87)-SUMIF(86:86,C15,87:87)+100</f>
        <v>105</v>
      </c>
      <c r="I15" s="3441" t="s">
        <v>3350</v>
      </c>
      <c r="J15" s="516">
        <f>SUMIF(86:86,I15,87:87)-SUMIF(86:86,C15,87:87)+100</f>
        <v>105</v>
      </c>
      <c r="K15" s="507"/>
      <c r="L15" s="1993"/>
      <c r="M15" s="1983"/>
      <c r="N15" s="1983"/>
      <c r="O15" s="1992"/>
      <c r="P15" s="3638"/>
      <c r="Q15" s="1115" t="str">
        <f t="shared" si="6"/>
        <v>限价</v>
      </c>
      <c r="R15" s="1475" t="s">
        <v>8</v>
      </c>
      <c r="S15" s="1476">
        <f t="shared" si="0"/>
        <v>100</v>
      </c>
      <c r="T15" s="1475" t="s">
        <v>8</v>
      </c>
      <c r="U15" s="1476">
        <f t="shared" si="1"/>
        <v>105</v>
      </c>
      <c r="V15" s="1475" t="s">
        <v>8</v>
      </c>
      <c r="W15" s="1476">
        <f t="shared" si="2"/>
        <v>105</v>
      </c>
      <c r="X15" s="1477"/>
      <c r="Y15" s="3580"/>
      <c r="Z15" s="1114" t="str">
        <f t="shared" si="7"/>
        <v>限价</v>
      </c>
      <c r="AA15" s="1478">
        <f>D15/F15</f>
        <v>1</v>
      </c>
      <c r="AB15" s="1478">
        <f>D15/H15</f>
        <v>0.95238095238095233</v>
      </c>
      <c r="AC15" s="1478">
        <f>D15/J15</f>
        <v>0.95238095238095233</v>
      </c>
    </row>
    <row r="16" spans="1:30" ht="21" thickBot="1">
      <c r="A16" s="2572"/>
      <c r="B16" s="3446" t="s">
        <v>3353</v>
      </c>
      <c r="C16" s="3447" t="s">
        <v>3354</v>
      </c>
      <c r="D16" s="522">
        <v>100</v>
      </c>
      <c r="E16" s="3447" t="s">
        <v>3354</v>
      </c>
      <c r="F16" s="522">
        <f>SUMIF(88:88,E16,89:89)-SUMIF(88:88,C16,89:89)+100</f>
        <v>100</v>
      </c>
      <c r="G16" s="1298" t="s">
        <v>3349</v>
      </c>
      <c r="H16" s="522">
        <f>SUMIF(88:88,G16,89:89)-SUMIF(88:88,C16,89:89)+100</f>
        <v>95</v>
      </c>
      <c r="I16" s="3441" t="s">
        <v>3355</v>
      </c>
      <c r="J16" s="522">
        <f>SUMIF(88:88,I16,89:89)-SUMIF(88:88,C16,89:89)+100</f>
        <v>100</v>
      </c>
      <c r="K16" s="507"/>
      <c r="L16" s="1993"/>
      <c r="M16" s="1983"/>
      <c r="N16" s="1983"/>
      <c r="O16" s="1992"/>
      <c r="P16" s="3638"/>
      <c r="Q16" s="1115" t="str">
        <f t="shared" si="6"/>
        <v>是否自持</v>
      </c>
      <c r="R16" s="1475" t="s">
        <v>8</v>
      </c>
      <c r="S16" s="1476">
        <f t="shared" si="0"/>
        <v>100</v>
      </c>
      <c r="T16" s="1475" t="s">
        <v>8</v>
      </c>
      <c r="U16" s="1476">
        <f t="shared" si="1"/>
        <v>95</v>
      </c>
      <c r="V16" s="1475" t="s">
        <v>8</v>
      </c>
      <c r="W16" s="1476">
        <f t="shared" si="2"/>
        <v>100</v>
      </c>
      <c r="X16" s="1477"/>
      <c r="Y16" s="3580"/>
      <c r="Z16" s="1114" t="str">
        <f t="shared" si="7"/>
        <v>是否自持</v>
      </c>
      <c r="AA16" s="1478">
        <f>D16/F16</f>
        <v>1</v>
      </c>
      <c r="AB16" s="1478">
        <f>D16/H16</f>
        <v>1.0526315789473684</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95</v>
      </c>
      <c r="G17" s="526"/>
      <c r="H17" s="525">
        <f>SUMIF(90:90,G18,91:91)-SUMIF(90:90,C18,91:91)+100</f>
        <v>100</v>
      </c>
      <c r="I17" s="528"/>
      <c r="J17" s="525">
        <f>SUMIF(90:90,I18,91:91)-SUMIF(90:90,C18,91:91)+100</f>
        <v>100</v>
      </c>
      <c r="K17" s="511">
        <v>5</v>
      </c>
      <c r="L17" s="1993"/>
      <c r="M17" s="1983"/>
      <c r="N17" s="1983"/>
      <c r="O17" s="1992"/>
      <c r="P17" s="3673" t="s">
        <v>523</v>
      </c>
      <c r="Q17" s="1479" t="str">
        <f t="shared" si="6"/>
        <v>居住社区成熟度</v>
      </c>
      <c r="R17" s="1480" t="s">
        <v>8</v>
      </c>
      <c r="S17" s="1481">
        <f t="shared" si="0"/>
        <v>95</v>
      </c>
      <c r="T17" s="1480" t="s">
        <v>8</v>
      </c>
      <c r="U17" s="1481">
        <f t="shared" si="1"/>
        <v>100</v>
      </c>
      <c r="V17" s="1480" t="s">
        <v>8</v>
      </c>
      <c r="W17" s="1481">
        <f t="shared" si="2"/>
        <v>100</v>
      </c>
      <c r="X17" s="1474"/>
      <c r="Y17" s="3673" t="s">
        <v>523</v>
      </c>
      <c r="Z17" s="1482" t="str">
        <f t="shared" si="7"/>
        <v>居住社区成熟度</v>
      </c>
      <c r="AA17" s="1483">
        <f t="shared" si="3"/>
        <v>1.0526315789473684</v>
      </c>
      <c r="AB17" s="1483">
        <f t="shared" si="4"/>
        <v>1</v>
      </c>
      <c r="AC17" s="1483">
        <f t="shared" si="5"/>
        <v>1</v>
      </c>
    </row>
    <row r="18" spans="1:29" ht="20.25">
      <c r="A18" s="508"/>
      <c r="B18" s="529"/>
      <c r="C18" s="530" t="s">
        <v>3098</v>
      </c>
      <c r="D18" s="533"/>
      <c r="E18" s="534" t="s">
        <v>3099</v>
      </c>
      <c r="F18" s="531"/>
      <c r="G18" s="534" t="s">
        <v>3098</v>
      </c>
      <c r="H18" s="535"/>
      <c r="I18" s="534" t="s">
        <v>3098</v>
      </c>
      <c r="J18" s="531"/>
      <c r="K18" s="507"/>
      <c r="L18" s="1993"/>
      <c r="M18" s="1983"/>
      <c r="N18" s="1983"/>
      <c r="O18" s="1992"/>
      <c r="P18" s="3674"/>
      <c r="Q18" s="1479"/>
      <c r="R18" s="1480"/>
      <c r="S18" s="1481"/>
      <c r="T18" s="1480"/>
      <c r="U18" s="1481"/>
      <c r="V18" s="1480"/>
      <c r="W18" s="1481"/>
      <c r="X18" s="1474"/>
      <c r="Y18" s="3674"/>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74"/>
      <c r="Q19" s="1479" t="str">
        <f>B19</f>
        <v>商业繁华度</v>
      </c>
      <c r="R19" s="1480" t="s">
        <v>8</v>
      </c>
      <c r="S19" s="1481">
        <f>F19</f>
        <v>100</v>
      </c>
      <c r="T19" s="1480" t="s">
        <v>8</v>
      </c>
      <c r="U19" s="1481">
        <f>H19</f>
        <v>100</v>
      </c>
      <c r="V19" s="1480" t="s">
        <v>8</v>
      </c>
      <c r="W19" s="1481">
        <f>J19</f>
        <v>100</v>
      </c>
      <c r="X19" s="1474"/>
      <c r="Y19" s="3674"/>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74"/>
      <c r="Q20" s="1479"/>
      <c r="R20" s="1480"/>
      <c r="S20" s="1481"/>
      <c r="T20" s="1480"/>
      <c r="U20" s="1481"/>
      <c r="V20" s="1480"/>
      <c r="W20" s="1481"/>
      <c r="X20" s="1474"/>
      <c r="Y20" s="3674"/>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74"/>
      <c r="Q21" s="1479" t="str">
        <f>B21</f>
        <v>办公集聚程度</v>
      </c>
      <c r="R21" s="1480" t="s">
        <v>8</v>
      </c>
      <c r="S21" s="1481">
        <f>F21</f>
        <v>100</v>
      </c>
      <c r="T21" s="1480" t="s">
        <v>8</v>
      </c>
      <c r="U21" s="1481">
        <f>H21</f>
        <v>100</v>
      </c>
      <c r="V21" s="1480" t="s">
        <v>8</v>
      </c>
      <c r="W21" s="1481">
        <f>J21</f>
        <v>100</v>
      </c>
      <c r="X21" s="1474"/>
      <c r="Y21" s="3674"/>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74"/>
      <c r="Q22" s="1479"/>
      <c r="R22" s="1480"/>
      <c r="S22" s="1481"/>
      <c r="T22" s="1480"/>
      <c r="U22" s="1481"/>
      <c r="V22" s="1480"/>
      <c r="W22" s="1481"/>
      <c r="X22" s="1474"/>
      <c r="Y22" s="3674"/>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103</v>
      </c>
      <c r="I23" s="540"/>
      <c r="J23" s="535">
        <f>SUMIF(96:96,I24,97:97)-SUMIF(96:96,C24,97:97)+100</f>
        <v>103</v>
      </c>
      <c r="K23" s="511">
        <v>3</v>
      </c>
      <c r="L23" s="1993"/>
      <c r="M23" s="1983"/>
      <c r="N23" s="1983"/>
      <c r="O23" s="1992"/>
      <c r="P23" s="3674"/>
      <c r="Q23" s="1479" t="str">
        <f>B23</f>
        <v>交通便捷度</v>
      </c>
      <c r="R23" s="1480" t="s">
        <v>8</v>
      </c>
      <c r="S23" s="1481">
        <f>F23</f>
        <v>100</v>
      </c>
      <c r="T23" s="1480" t="s">
        <v>8</v>
      </c>
      <c r="U23" s="1481">
        <f>H23</f>
        <v>103</v>
      </c>
      <c r="V23" s="1480" t="s">
        <v>8</v>
      </c>
      <c r="W23" s="1481">
        <f>J23</f>
        <v>103</v>
      </c>
      <c r="X23" s="1474"/>
      <c r="Y23" s="3674"/>
      <c r="Z23" s="1482" t="str">
        <f>Q23</f>
        <v>交通便捷度</v>
      </c>
      <c r="AA23" s="1483">
        <f t="shared" si="3"/>
        <v>1</v>
      </c>
      <c r="AB23" s="1483">
        <f t="shared" si="4"/>
        <v>0.970873786407767</v>
      </c>
      <c r="AC23" s="1483">
        <f t="shared" si="5"/>
        <v>0.970873786407767</v>
      </c>
    </row>
    <row r="24" spans="1:29" ht="20.25">
      <c r="A24" s="508"/>
      <c r="B24" s="554"/>
      <c r="C24" s="530" t="s">
        <v>3099</v>
      </c>
      <c r="D24" s="533"/>
      <c r="E24" s="534" t="s">
        <v>3099</v>
      </c>
      <c r="F24" s="531"/>
      <c r="G24" s="532" t="s">
        <v>3098</v>
      </c>
      <c r="H24" s="531"/>
      <c r="I24" s="532" t="s">
        <v>3098</v>
      </c>
      <c r="J24" s="531"/>
      <c r="K24" s="507"/>
      <c r="L24" s="1993"/>
      <c r="M24" s="1983"/>
      <c r="N24" s="1983"/>
      <c r="O24" s="1992"/>
      <c r="P24" s="3674"/>
      <c r="Q24" s="1479"/>
      <c r="R24" s="1480"/>
      <c r="S24" s="1481"/>
      <c r="T24" s="1480"/>
      <c r="U24" s="1481"/>
      <c r="V24" s="1480"/>
      <c r="W24" s="1481"/>
      <c r="X24" s="1474"/>
      <c r="Y24" s="3674"/>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74"/>
      <c r="Q25" s="1479" t="str">
        <f t="shared" ref="Q25:Q39" si="8">B25</f>
        <v>区域土地利用方向</v>
      </c>
      <c r="R25" s="1480" t="s">
        <v>8</v>
      </c>
      <c r="S25" s="1481">
        <f>F25</f>
        <v>100</v>
      </c>
      <c r="T25" s="1480" t="s">
        <v>8</v>
      </c>
      <c r="U25" s="1481">
        <f>H25</f>
        <v>100</v>
      </c>
      <c r="V25" s="1480" t="s">
        <v>8</v>
      </c>
      <c r="W25" s="1481">
        <f>J25</f>
        <v>100</v>
      </c>
      <c r="X25" s="1474"/>
      <c r="Y25" s="3674"/>
      <c r="Z25" s="1482" t="str">
        <f>Q25</f>
        <v>区域土地利用方向</v>
      </c>
      <c r="AA25" s="1483">
        <f t="shared" si="3"/>
        <v>1</v>
      </c>
      <c r="AB25" s="1483">
        <f t="shared" si="4"/>
        <v>1</v>
      </c>
      <c r="AC25" s="1483">
        <f t="shared" si="5"/>
        <v>1</v>
      </c>
    </row>
    <row r="26" spans="1:29" ht="20.25">
      <c r="A26" s="491"/>
      <c r="B26" s="975"/>
      <c r="C26" s="530" t="s">
        <v>3098</v>
      </c>
      <c r="D26" s="533"/>
      <c r="E26" s="534" t="s">
        <v>3098</v>
      </c>
      <c r="F26" s="531"/>
      <c r="G26" s="534" t="s">
        <v>3098</v>
      </c>
      <c r="H26" s="531"/>
      <c r="I26" s="534" t="s">
        <v>3098</v>
      </c>
      <c r="J26" s="531"/>
      <c r="K26" s="507"/>
      <c r="L26" s="1993"/>
      <c r="M26" s="1983"/>
      <c r="N26" s="1983"/>
      <c r="O26" s="1992"/>
      <c r="P26" s="3674"/>
      <c r="Q26" s="1479"/>
      <c r="R26" s="1480"/>
      <c r="S26" s="1481"/>
      <c r="T26" s="1480"/>
      <c r="U26" s="1481"/>
      <c r="V26" s="1480"/>
      <c r="W26" s="1481"/>
      <c r="X26" s="1474"/>
      <c r="Y26" s="3674"/>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74"/>
      <c r="Q27" s="1479" t="str">
        <f t="shared" si="8"/>
        <v>自然及人文环境状况</v>
      </c>
      <c r="R27" s="1480" t="s">
        <v>8</v>
      </c>
      <c r="S27" s="1481">
        <f>F27</f>
        <v>100</v>
      </c>
      <c r="T27" s="1480" t="s">
        <v>8</v>
      </c>
      <c r="U27" s="1481">
        <f>H27</f>
        <v>100</v>
      </c>
      <c r="V27" s="1480" t="s">
        <v>8</v>
      </c>
      <c r="W27" s="1481">
        <f>J27</f>
        <v>100</v>
      </c>
      <c r="X27" s="1474"/>
      <c r="Y27" s="3674"/>
      <c r="Z27" s="1482" t="str">
        <f>Q27</f>
        <v>自然及人文环境状况</v>
      </c>
      <c r="AA27" s="1483">
        <f t="shared" si="3"/>
        <v>1</v>
      </c>
      <c r="AB27" s="1483">
        <f t="shared" si="4"/>
        <v>1</v>
      </c>
      <c r="AC27" s="1483">
        <f t="shared" si="5"/>
        <v>1</v>
      </c>
    </row>
    <row r="28" spans="1:29" ht="20.25">
      <c r="A28" s="491"/>
      <c r="B28" s="542"/>
      <c r="C28" s="530" t="s">
        <v>3098</v>
      </c>
      <c r="D28" s="533"/>
      <c r="E28" s="530" t="s">
        <v>3098</v>
      </c>
      <c r="F28" s="531"/>
      <c r="G28" s="530" t="s">
        <v>3098</v>
      </c>
      <c r="H28" s="531"/>
      <c r="I28" s="530" t="s">
        <v>3098</v>
      </c>
      <c r="J28" s="531"/>
      <c r="K28" s="507"/>
      <c r="L28" s="1993"/>
      <c r="M28" s="1983"/>
      <c r="N28" s="1983"/>
      <c r="O28" s="1992"/>
      <c r="P28" s="3674"/>
      <c r="Q28" s="1479"/>
      <c r="R28" s="1480"/>
      <c r="S28" s="1481"/>
      <c r="T28" s="1480"/>
      <c r="U28" s="1481"/>
      <c r="V28" s="1480"/>
      <c r="W28" s="1481"/>
      <c r="X28" s="1474"/>
      <c r="Y28" s="3674"/>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74"/>
      <c r="Q29" s="1115" t="str">
        <f t="shared" si="8"/>
        <v>公共配套设施</v>
      </c>
      <c r="R29" s="1475" t="s">
        <v>8</v>
      </c>
      <c r="S29" s="1476">
        <f>F29</f>
        <v>100</v>
      </c>
      <c r="T29" s="1475" t="s">
        <v>8</v>
      </c>
      <c r="U29" s="1476">
        <f>H29</f>
        <v>100</v>
      </c>
      <c r="V29" s="1475" t="s">
        <v>8</v>
      </c>
      <c r="W29" s="1476">
        <f>J29</f>
        <v>100</v>
      </c>
      <c r="X29" s="1477"/>
      <c r="Y29" s="3674"/>
      <c r="Z29" s="1114" t="str">
        <f>Q29</f>
        <v>公共配套设施</v>
      </c>
      <c r="AA29" s="1483">
        <f>D29/F29</f>
        <v>1</v>
      </c>
      <c r="AB29" s="1483">
        <f>D29/H29</f>
        <v>1</v>
      </c>
      <c r="AC29" s="1483">
        <f>D29/J29</f>
        <v>1</v>
      </c>
    </row>
    <row r="30" spans="1:29" s="1184" customFormat="1" ht="20.25">
      <c r="A30" s="553"/>
      <c r="B30" s="542"/>
      <c r="C30" s="555" t="s">
        <v>3099</v>
      </c>
      <c r="D30" s="533"/>
      <c r="E30" s="530" t="s">
        <v>3099</v>
      </c>
      <c r="F30" s="531"/>
      <c r="G30" s="530" t="s">
        <v>3099</v>
      </c>
      <c r="H30" s="531"/>
      <c r="I30" s="530" t="s">
        <v>3099</v>
      </c>
      <c r="J30" s="531"/>
      <c r="K30" s="507"/>
      <c r="L30" s="1986"/>
      <c r="M30" s="1983"/>
      <c r="N30" s="1983"/>
      <c r="O30" s="1988"/>
      <c r="P30" s="3674"/>
      <c r="Q30" s="1115"/>
      <c r="R30" s="1475"/>
      <c r="S30" s="1476"/>
      <c r="T30" s="1475"/>
      <c r="U30" s="1476"/>
      <c r="V30" s="1475"/>
      <c r="W30" s="1476"/>
      <c r="X30" s="1477"/>
      <c r="Y30" s="3674"/>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74"/>
      <c r="Q31" s="2365" t="str">
        <f t="shared" ref="Q31" si="9">B31</f>
        <v>基础设施水平</v>
      </c>
      <c r="R31" s="1475" t="s">
        <v>8</v>
      </c>
      <c r="S31" s="1476">
        <f>F31</f>
        <v>100</v>
      </c>
      <c r="T31" s="1475" t="s">
        <v>8</v>
      </c>
      <c r="U31" s="1476">
        <f>H31</f>
        <v>100</v>
      </c>
      <c r="V31" s="1475" t="s">
        <v>8</v>
      </c>
      <c r="W31" s="1476">
        <f>J31</f>
        <v>100</v>
      </c>
      <c r="X31" s="1477"/>
      <c r="Y31" s="3674"/>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74"/>
      <c r="Q32" s="2365"/>
      <c r="R32" s="1475"/>
      <c r="S32" s="1476"/>
      <c r="T32" s="1475"/>
      <c r="U32" s="1476"/>
      <c r="V32" s="1475"/>
      <c r="W32" s="1476"/>
      <c r="X32" s="1477"/>
      <c r="Y32" s="3674"/>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74"/>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74"/>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74"/>
      <c r="Q34" s="1479" t="str">
        <f t="shared" si="8"/>
        <v>毗邻道路的类型与等级</v>
      </c>
      <c r="R34" s="1480" t="s">
        <v>8</v>
      </c>
      <c r="S34" s="1481">
        <f t="shared" si="10"/>
        <v>100</v>
      </c>
      <c r="T34" s="1480" t="s">
        <v>8</v>
      </c>
      <c r="U34" s="1481">
        <f t="shared" si="11"/>
        <v>100</v>
      </c>
      <c r="V34" s="1480" t="s">
        <v>8</v>
      </c>
      <c r="W34" s="1481">
        <f t="shared" si="12"/>
        <v>100</v>
      </c>
      <c r="X34" s="1474"/>
      <c r="Y34" s="3674"/>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74"/>
      <c r="Q35" s="1479"/>
      <c r="R35" s="1480"/>
      <c r="S35" s="1481"/>
      <c r="T35" s="1480"/>
      <c r="U35" s="1481"/>
      <c r="V35" s="1480"/>
      <c r="W35" s="1481"/>
      <c r="X35" s="1474"/>
      <c r="Y35" s="3674"/>
      <c r="Z35" s="1482"/>
      <c r="AA35" s="1483">
        <v>1</v>
      </c>
      <c r="AB35" s="1483">
        <v>1</v>
      </c>
      <c r="AC35" s="1483">
        <v>1</v>
      </c>
    </row>
    <row r="36" spans="1:29" ht="20.25">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3"/>
      <c r="M36" s="1983"/>
      <c r="N36" s="1983"/>
      <c r="O36" s="1992"/>
      <c r="P36" s="3674"/>
      <c r="Q36" s="1479" t="str">
        <f t="shared" si="8"/>
        <v>土地级别</v>
      </c>
      <c r="R36" s="1480" t="s">
        <v>8</v>
      </c>
      <c r="S36" s="1481">
        <f t="shared" si="10"/>
        <v>100</v>
      </c>
      <c r="T36" s="1480" t="s">
        <v>8</v>
      </c>
      <c r="U36" s="1481">
        <f t="shared" si="11"/>
        <v>100</v>
      </c>
      <c r="V36" s="1480" t="s">
        <v>8</v>
      </c>
      <c r="W36" s="1481">
        <f t="shared" si="12"/>
        <v>100</v>
      </c>
      <c r="X36" s="1474"/>
      <c r="Y36" s="3674"/>
      <c r="Z36" s="1482" t="str">
        <f t="shared" si="13"/>
        <v>土地级别</v>
      </c>
      <c r="AA36" s="1483">
        <f t="shared" si="3"/>
        <v>1</v>
      </c>
      <c r="AB36" s="1483">
        <f t="shared" si="4"/>
        <v>1</v>
      </c>
      <c r="AC36" s="1483">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74"/>
      <c r="Q37" s="1479">
        <f t="shared" si="8"/>
        <v>111</v>
      </c>
      <c r="R37" s="1480" t="s">
        <v>8</v>
      </c>
      <c r="S37" s="1481">
        <f t="shared" si="10"/>
        <v>100</v>
      </c>
      <c r="T37" s="1480" t="s">
        <v>8</v>
      </c>
      <c r="U37" s="1481">
        <f t="shared" si="11"/>
        <v>100</v>
      </c>
      <c r="V37" s="1480" t="s">
        <v>8</v>
      </c>
      <c r="W37" s="1481">
        <f t="shared" si="12"/>
        <v>100</v>
      </c>
      <c r="X37" s="1474"/>
      <c r="Y37" s="3674"/>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75" t="s">
        <v>533</v>
      </c>
      <c r="Q38" s="1479">
        <f t="shared" si="8"/>
        <v>111</v>
      </c>
      <c r="R38" s="1480" t="s">
        <v>8</v>
      </c>
      <c r="S38" s="1481">
        <f t="shared" si="10"/>
        <v>100</v>
      </c>
      <c r="T38" s="1480" t="s">
        <v>8</v>
      </c>
      <c r="U38" s="1481">
        <f t="shared" si="11"/>
        <v>100</v>
      </c>
      <c r="V38" s="1480" t="s">
        <v>8</v>
      </c>
      <c r="W38" s="1481">
        <f t="shared" si="12"/>
        <v>100</v>
      </c>
      <c r="X38" s="1474"/>
      <c r="Y38" s="3676"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76"/>
      <c r="Q39" s="1479">
        <f t="shared" si="8"/>
        <v>111</v>
      </c>
      <c r="R39" s="1484" t="s">
        <v>8</v>
      </c>
      <c r="S39" s="1485">
        <f t="shared" si="10"/>
        <v>100</v>
      </c>
      <c r="T39" s="1484" t="s">
        <v>8</v>
      </c>
      <c r="U39" s="1485">
        <f t="shared" si="11"/>
        <v>100</v>
      </c>
      <c r="V39" s="1484" t="s">
        <v>8</v>
      </c>
      <c r="W39" s="1485">
        <f t="shared" si="12"/>
        <v>100</v>
      </c>
      <c r="X39" s="1486"/>
      <c r="Y39" s="3676"/>
      <c r="Z39" s="1487">
        <f t="shared" si="13"/>
        <v>111</v>
      </c>
      <c r="AA39" s="1483">
        <f t="shared" si="3"/>
        <v>1</v>
      </c>
      <c r="AB39" s="1483">
        <f t="shared" si="4"/>
        <v>1</v>
      </c>
      <c r="AC39" s="1483">
        <f t="shared" si="5"/>
        <v>1</v>
      </c>
    </row>
    <row r="40" spans="1:29" ht="20.25">
      <c r="A40" s="2561" t="s">
        <v>2654</v>
      </c>
      <c r="B40" s="571" t="s">
        <v>535</v>
      </c>
      <c r="C40" s="572">
        <f>'数据-汇总表'!D3</f>
        <v>42450.9</v>
      </c>
      <c r="D40" s="573">
        <v>100</v>
      </c>
      <c r="E40" s="572">
        <f>土地案例!$E$5</f>
        <v>94973.86</v>
      </c>
      <c r="F40" s="573">
        <f>LOOKUP(E40,119:119,120:120)-LOOKUP(C40,119:119,120:120)+100</f>
        <v>102</v>
      </c>
      <c r="G40" s="572">
        <f>土地案例!$E$10</f>
        <v>56860.73</v>
      </c>
      <c r="H40" s="573">
        <f>LOOKUP(G40,119:119,120:120)-LOOKUP(C40,119:119,120:120)+100</f>
        <v>101</v>
      </c>
      <c r="I40" s="574">
        <f>土地案例!E18</f>
        <v>78681.47</v>
      </c>
      <c r="J40" s="573">
        <f>LOOKUP(I40,119:119,120:120)-LOOKUP(C40,119:119,120:120)+100</f>
        <v>101</v>
      </c>
      <c r="K40" s="557"/>
      <c r="L40" s="1993"/>
      <c r="M40" s="1983"/>
      <c r="N40" s="1983"/>
      <c r="O40" s="1992"/>
      <c r="P40" s="3676"/>
      <c r="Q40" s="1479" t="str">
        <f>B40</f>
        <v>宗地面积</v>
      </c>
      <c r="R40" s="1480" t="s">
        <v>8</v>
      </c>
      <c r="S40" s="1481">
        <f t="shared" si="10"/>
        <v>102</v>
      </c>
      <c r="T40" s="1480" t="s">
        <v>8</v>
      </c>
      <c r="U40" s="1481">
        <f t="shared" si="11"/>
        <v>101</v>
      </c>
      <c r="V40" s="1480" t="s">
        <v>8</v>
      </c>
      <c r="W40" s="1481">
        <f t="shared" si="12"/>
        <v>101</v>
      </c>
      <c r="X40" s="1474"/>
      <c r="Y40" s="3676"/>
      <c r="Z40" s="1482" t="str">
        <f t="shared" si="13"/>
        <v>宗地面积</v>
      </c>
      <c r="AA40" s="1483">
        <f t="shared" si="3"/>
        <v>0.98039215686274506</v>
      </c>
      <c r="AB40" s="1483">
        <f t="shared" si="4"/>
        <v>0.99009900990099009</v>
      </c>
      <c r="AC40" s="1483">
        <f t="shared" si="5"/>
        <v>0.99009900990099009</v>
      </c>
    </row>
    <row r="41" spans="1:29" ht="20.25">
      <c r="A41" s="570"/>
      <c r="B41" s="503" t="s">
        <v>536</v>
      </c>
      <c r="C41" s="575" t="s">
        <v>3157</v>
      </c>
      <c r="D41" s="516">
        <v>100</v>
      </c>
      <c r="E41" s="575" t="s">
        <v>3157</v>
      </c>
      <c r="F41" s="516">
        <f>SUMIF(121:121,E41,122:122)-SUMIF(121:121,C41,122:122)+100</f>
        <v>100</v>
      </c>
      <c r="G41" s="575" t="s">
        <v>3157</v>
      </c>
      <c r="H41" s="516">
        <f>SUMIF(121:121,G41,122:122)-SUMIF(121:121,C41,122:122)+100</f>
        <v>100</v>
      </c>
      <c r="I41" s="575" t="s">
        <v>3157</v>
      </c>
      <c r="J41" s="516">
        <f>SUMIF(121:121,I41,122:122)-SUMIF(121:121,C41,122:122)+100</f>
        <v>100</v>
      </c>
      <c r="K41" s="560">
        <v>1</v>
      </c>
      <c r="L41" s="1993"/>
      <c r="M41" s="1983"/>
      <c r="N41" s="1983"/>
      <c r="O41" s="1992"/>
      <c r="P41" s="3676"/>
      <c r="Q41" s="1479" t="str">
        <f t="shared" ref="Q41:Q47" si="14">B41</f>
        <v>宗地形状</v>
      </c>
      <c r="R41" s="1480" t="s">
        <v>8</v>
      </c>
      <c r="S41" s="1481">
        <f t="shared" si="10"/>
        <v>100</v>
      </c>
      <c r="T41" s="1480" t="s">
        <v>8</v>
      </c>
      <c r="U41" s="1481">
        <f t="shared" si="11"/>
        <v>100</v>
      </c>
      <c r="V41" s="1480" t="s">
        <v>8</v>
      </c>
      <c r="W41" s="1481">
        <f t="shared" si="12"/>
        <v>100</v>
      </c>
      <c r="X41" s="1474"/>
      <c r="Y41" s="3676"/>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76"/>
      <c r="Q42" s="1479" t="str">
        <f t="shared" si="14"/>
        <v>临街宽度及深度</v>
      </c>
      <c r="R42" s="1480" t="s">
        <v>8</v>
      </c>
      <c r="S42" s="1481">
        <f t="shared" si="10"/>
        <v>100</v>
      </c>
      <c r="T42" s="1480" t="s">
        <v>8</v>
      </c>
      <c r="U42" s="1481">
        <f t="shared" si="11"/>
        <v>100</v>
      </c>
      <c r="V42" s="1480" t="s">
        <v>8</v>
      </c>
      <c r="W42" s="1481">
        <f t="shared" si="12"/>
        <v>100</v>
      </c>
      <c r="X42" s="1474"/>
      <c r="Y42" s="3676"/>
      <c r="Z42" s="1482" t="str">
        <f t="shared" si="13"/>
        <v>临街宽度及深度</v>
      </c>
      <c r="AA42" s="1483">
        <f t="shared" si="3"/>
        <v>1</v>
      </c>
      <c r="AB42" s="1483">
        <f t="shared" si="4"/>
        <v>1</v>
      </c>
      <c r="AC42" s="1483">
        <f t="shared" si="5"/>
        <v>1</v>
      </c>
    </row>
    <row r="43" spans="1:29" s="1184" customFormat="1" ht="20.25">
      <c r="A43" s="576"/>
      <c r="B43" s="1779" t="s">
        <v>2393</v>
      </c>
      <c r="C43" s="577" t="s">
        <v>3155</v>
      </c>
      <c r="D43" s="252">
        <v>100</v>
      </c>
      <c r="E43" s="577" t="s">
        <v>3152</v>
      </c>
      <c r="F43" s="516">
        <f>SUMIF(125:125,E43,126:126)-SUMIF(125:125,C43,126:126)+100</f>
        <v>102</v>
      </c>
      <c r="G43" s="577" t="s">
        <v>3150</v>
      </c>
      <c r="H43" s="516">
        <f>SUMIF(125:125,G43,126:126)-SUMIF(125:125,C43,126:126)+100</f>
        <v>103</v>
      </c>
      <c r="I43" s="577" t="s">
        <v>3152</v>
      </c>
      <c r="J43" s="516">
        <f>SUMIF(125:125,I43,126:126)-SUMIF(125:125,C43,126:126)+100</f>
        <v>102</v>
      </c>
      <c r="K43" s="560">
        <v>1</v>
      </c>
      <c r="L43" s="1986"/>
      <c r="M43" s="1983"/>
      <c r="N43" s="1983"/>
      <c r="O43" s="1988"/>
      <c r="P43" s="3676"/>
      <c r="Q43" s="1479" t="str">
        <f t="shared" si="14"/>
        <v>宗地开发程度</v>
      </c>
      <c r="R43" s="1475" t="s">
        <v>8</v>
      </c>
      <c r="S43" s="1476">
        <f t="shared" si="10"/>
        <v>102</v>
      </c>
      <c r="T43" s="1475" t="s">
        <v>8</v>
      </c>
      <c r="U43" s="1476">
        <f t="shared" si="11"/>
        <v>103</v>
      </c>
      <c r="V43" s="1475" t="s">
        <v>8</v>
      </c>
      <c r="W43" s="1476">
        <f t="shared" si="12"/>
        <v>102</v>
      </c>
      <c r="X43" s="1477"/>
      <c r="Y43" s="3676"/>
      <c r="Z43" s="1114" t="str">
        <f t="shared" si="13"/>
        <v>宗地开发程度</v>
      </c>
      <c r="AA43" s="1478">
        <f t="shared" si="3"/>
        <v>0.98039215686274506</v>
      </c>
      <c r="AB43" s="1478">
        <f t="shared" si="4"/>
        <v>0.970873786407767</v>
      </c>
      <c r="AC43" s="1478">
        <f t="shared" si="5"/>
        <v>0.98039215686274506</v>
      </c>
    </row>
    <row r="44" spans="1:29" ht="20.25">
      <c r="A44" s="570"/>
      <c r="B44" s="503" t="s">
        <v>538</v>
      </c>
      <c r="C44" s="575" t="s">
        <v>3098</v>
      </c>
      <c r="D44" s="516">
        <v>100</v>
      </c>
      <c r="E44" s="575" t="s">
        <v>3098</v>
      </c>
      <c r="F44" s="516">
        <f>SUMIF(127:127,E44,128:128)-SUMIF(127:127,C44,128:128)+100</f>
        <v>100</v>
      </c>
      <c r="G44" s="575" t="s">
        <v>3098</v>
      </c>
      <c r="H44" s="516">
        <f>SUMIF(127:127,G44,128:128)-SUMIF(127:127,C44,128:128)+100</f>
        <v>100</v>
      </c>
      <c r="I44" s="575" t="s">
        <v>3098</v>
      </c>
      <c r="J44" s="516">
        <f>SUMIF(127:127,I44,128:128)-SUMIF(127:127,C44,128:128)+100</f>
        <v>100</v>
      </c>
      <c r="K44" s="560">
        <v>1</v>
      </c>
      <c r="L44" s="1993"/>
      <c r="M44" s="1983"/>
      <c r="N44" s="1983"/>
      <c r="O44" s="1992"/>
      <c r="P44" s="3676" t="s">
        <v>533</v>
      </c>
      <c r="Q44" s="1479" t="str">
        <f t="shared" si="14"/>
        <v>工程地质条件</v>
      </c>
      <c r="R44" s="1480" t="s">
        <v>8</v>
      </c>
      <c r="S44" s="1481">
        <f t="shared" si="10"/>
        <v>100</v>
      </c>
      <c r="T44" s="1480" t="s">
        <v>8</v>
      </c>
      <c r="U44" s="1481">
        <f t="shared" si="11"/>
        <v>100</v>
      </c>
      <c r="V44" s="1480" t="s">
        <v>8</v>
      </c>
      <c r="W44" s="1481">
        <f t="shared" si="12"/>
        <v>100</v>
      </c>
      <c r="X44" s="1474"/>
      <c r="Y44" s="3676"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76"/>
      <c r="Q45" s="1479">
        <f t="shared" si="14"/>
        <v>111</v>
      </c>
      <c r="R45" s="1480" t="s">
        <v>8</v>
      </c>
      <c r="S45" s="1481">
        <f t="shared" si="10"/>
        <v>100</v>
      </c>
      <c r="T45" s="1480" t="s">
        <v>8</v>
      </c>
      <c r="U45" s="1481">
        <f t="shared" si="11"/>
        <v>100</v>
      </c>
      <c r="V45" s="1480" t="s">
        <v>8</v>
      </c>
      <c r="W45" s="1481">
        <f t="shared" si="12"/>
        <v>100</v>
      </c>
      <c r="X45" s="1474"/>
      <c r="Y45" s="3676"/>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76"/>
      <c r="Q46" s="1479">
        <f t="shared" si="14"/>
        <v>111</v>
      </c>
      <c r="R46" s="1480" t="s">
        <v>8</v>
      </c>
      <c r="S46" s="1481">
        <f t="shared" si="10"/>
        <v>100</v>
      </c>
      <c r="T46" s="1480" t="s">
        <v>8</v>
      </c>
      <c r="U46" s="1481">
        <f t="shared" si="11"/>
        <v>100</v>
      </c>
      <c r="V46" s="1480" t="s">
        <v>8</v>
      </c>
      <c r="W46" s="1481">
        <f t="shared" si="12"/>
        <v>100</v>
      </c>
      <c r="X46" s="1474"/>
      <c r="Y46" s="3676"/>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76"/>
      <c r="Q47" s="1479">
        <f t="shared" si="14"/>
        <v>111</v>
      </c>
      <c r="R47" s="1484" t="s">
        <v>8</v>
      </c>
      <c r="S47" s="1485">
        <f t="shared" si="10"/>
        <v>100</v>
      </c>
      <c r="T47" s="1484" t="s">
        <v>8</v>
      </c>
      <c r="U47" s="1485">
        <f t="shared" si="11"/>
        <v>100</v>
      </c>
      <c r="V47" s="1484" t="s">
        <v>8</v>
      </c>
      <c r="W47" s="1485">
        <f t="shared" si="12"/>
        <v>100</v>
      </c>
      <c r="X47" s="1486"/>
      <c r="Y47" s="3676"/>
      <c r="Z47" s="1487">
        <f t="shared" si="13"/>
        <v>111</v>
      </c>
      <c r="AA47" s="1483">
        <f t="shared" si="3"/>
        <v>1</v>
      </c>
      <c r="AB47" s="1483">
        <f t="shared" si="4"/>
        <v>1</v>
      </c>
      <c r="AC47" s="1483">
        <f t="shared" si="5"/>
        <v>1</v>
      </c>
    </row>
    <row r="48" spans="1:29" ht="20.25">
      <c r="A48" s="583" t="s">
        <v>539</v>
      </c>
      <c r="B48" s="584" t="s">
        <v>3145</v>
      </c>
      <c r="C48" s="585" t="s">
        <v>1</v>
      </c>
      <c r="D48" s="586"/>
      <c r="E48" s="587">
        <f>土地案例!$S$5</f>
        <v>32400</v>
      </c>
      <c r="F48" s="588"/>
      <c r="G48" s="589">
        <f>土地案例!$S$10</f>
        <v>34998</v>
      </c>
      <c r="H48" s="590"/>
      <c r="I48" s="587">
        <f>土地案例!S18</f>
        <v>35632</v>
      </c>
      <c r="J48" s="590"/>
      <c r="K48" s="1267"/>
      <c r="L48" s="1995"/>
      <c r="M48" s="1983"/>
      <c r="N48" s="1983"/>
      <c r="O48" s="1996"/>
      <c r="P48" s="3638" t="str">
        <f>A48</f>
        <v>成交单价</v>
      </c>
      <c r="Q48" s="3638"/>
      <c r="R48" s="3639">
        <f>E48</f>
        <v>32400</v>
      </c>
      <c r="S48" s="3639"/>
      <c r="T48" s="3639">
        <f>G48</f>
        <v>34998</v>
      </c>
      <c r="U48" s="3639"/>
      <c r="V48" s="3639">
        <f>I48</f>
        <v>35632</v>
      </c>
      <c r="W48" s="3639"/>
      <c r="X48" s="1469"/>
      <c r="Y48" s="1488"/>
      <c r="Z48" s="1469"/>
      <c r="AA48" s="1469"/>
      <c r="AB48" s="1469"/>
      <c r="AC48" s="1469"/>
    </row>
    <row r="49" spans="1:29" ht="21" thickBot="1">
      <c r="A49" s="591" t="s">
        <v>2592</v>
      </c>
      <c r="B49" s="592"/>
      <c r="C49" s="593">
        <f>R50</f>
        <v>33408</v>
      </c>
      <c r="D49" s="2946" t="s">
        <v>2886</v>
      </c>
      <c r="E49" s="593">
        <f>R49</f>
        <v>34715</v>
      </c>
      <c r="F49" s="2947"/>
      <c r="G49" s="594">
        <f>T49</f>
        <v>33008</v>
      </c>
      <c r="H49" s="2947"/>
      <c r="I49" s="593">
        <f>V49</f>
        <v>32501</v>
      </c>
      <c r="J49" s="2947"/>
      <c r="K49" s="2948">
        <f>F49+H49+J49</f>
        <v>0</v>
      </c>
      <c r="L49" s="1995"/>
      <c r="M49" s="1983"/>
      <c r="N49" s="1983"/>
      <c r="O49" s="1996"/>
      <c r="P49" s="3638" t="str">
        <f>A49</f>
        <v>比较价格（元/平方米）</v>
      </c>
      <c r="Q49" s="3638"/>
      <c r="R49" s="3640">
        <f>ROUND(PRODUCT(R48,AA9:AA47),0)</f>
        <v>34715</v>
      </c>
      <c r="S49" s="3640"/>
      <c r="T49" s="3640">
        <f>ROUND(PRODUCT(T48,AB9:AB47),0)</f>
        <v>33008</v>
      </c>
      <c r="U49" s="3640"/>
      <c r="V49" s="3640">
        <f>ROUND(PRODUCT(V48,AC9:AC47),0)</f>
        <v>32501</v>
      </c>
      <c r="W49" s="3640"/>
      <c r="X49" s="1469"/>
      <c r="Y49" s="1469"/>
      <c r="Z49" s="1469"/>
      <c r="AA49" s="1469"/>
      <c r="AB49" s="1469"/>
      <c r="AC49" s="1469"/>
    </row>
    <row r="50" spans="1:29" ht="21" thickBot="1">
      <c r="A50" s="595" t="s">
        <v>2819</v>
      </c>
      <c r="B50" s="596"/>
      <c r="C50" s="597">
        <f>R50</f>
        <v>33408</v>
      </c>
      <c r="D50" s="597"/>
      <c r="E50" s="597"/>
      <c r="F50" s="597"/>
      <c r="G50" s="597"/>
      <c r="H50" s="597"/>
      <c r="I50" s="597"/>
      <c r="J50" s="597"/>
      <c r="K50" s="1268"/>
      <c r="L50" s="1995"/>
      <c r="M50" s="1983"/>
      <c r="N50" s="1983"/>
      <c r="O50" s="1996"/>
      <c r="P50" s="3635" t="str">
        <f>A50</f>
        <v>估价对象XX用房的比较价格（楼面单价，元/平方米）</v>
      </c>
      <c r="Q50" s="3636"/>
      <c r="R50" s="3637">
        <f>ROUND(IF(D49="简单平均",AVERAGE(R49:W49),R49*F49+T49*H49+V49*J49),0)</f>
        <v>33408</v>
      </c>
      <c r="S50" s="3637"/>
      <c r="T50" s="3637"/>
      <c r="U50" s="3637"/>
      <c r="V50" s="3637"/>
      <c r="W50" s="3637"/>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7.1450617283950635E-2</v>
      </c>
      <c r="F53" s="601" t="str">
        <f>IF(OR(E53&gt;=0.3,E53&lt;=-0.3),"超过30%","")</f>
        <v/>
      </c>
      <c r="G53" s="600">
        <f>IF(G48&lt;G49,G49/G48-1,G48/G49-1)</f>
        <v>6.028841492971404E-2</v>
      </c>
      <c r="H53" s="601" t="str">
        <f>IF(OR(G53&gt;=0.3,G53&lt;=-0.3),"超过30%","")</f>
        <v/>
      </c>
      <c r="I53" s="600">
        <f>IF(I48&lt;I49,I49/I48-1,I48/I49-1)</f>
        <v>9.6335497369311796E-2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5.1714735821619007E-2</v>
      </c>
      <c r="F54" s="601" t="str">
        <f>IF(OR(E54&gt;=0.2,E54&lt;=-0.2),"超过20%","")</f>
        <v/>
      </c>
      <c r="G54" s="600">
        <f>IF(G49&lt;I49,I49/G49-1,G49/I49-1)</f>
        <v>1.559952001476872E-2</v>
      </c>
      <c r="H54" s="601" t="str">
        <f>IF(OR(G54&gt;=0.2,G54&lt;=-0.2),"超过20%","")</f>
        <v/>
      </c>
      <c r="I54" s="600">
        <f>IF(I49&lt;E49,E49/I49-1,I49/E49-1)</f>
        <v>6.8120980892895533E-2</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8.0185185185185137E-2</v>
      </c>
      <c r="F55" s="601" t="str">
        <f>IF(OR(E55&gt;=0.3,E55&lt;=-0.3),"超过30%","")</f>
        <v/>
      </c>
      <c r="G55" s="600">
        <f>IF(G48&lt;I48,I48/G48-1,G48/I48-1)</f>
        <v>1.8115320875478513E-2</v>
      </c>
      <c r="H55" s="601" t="str">
        <f>IF(OR(G55&gt;=0.3,G55&lt;=-0.3),"超过30%","")</f>
        <v/>
      </c>
      <c r="I55" s="600">
        <f>IF(I48&lt;E48,E48/I48-1,I48/E48-1)</f>
        <v>9.9753086419753112E-2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65" t="s">
        <v>2254</v>
      </c>
      <c r="H57" s="3666"/>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33408</v>
      </c>
      <c r="C58" s="609">
        <v>1</v>
      </c>
      <c r="D58" s="2077">
        <v>1</v>
      </c>
      <c r="E58" s="609">
        <f>'数据-汇总表'!E8+'数据-汇总表'!E9</f>
        <v>109549.45</v>
      </c>
      <c r="F58" s="610">
        <f t="shared" ref="F58:F67" si="15">ROUND(B58*E58/10000,0)</f>
        <v>365983</v>
      </c>
      <c r="G58" s="3667"/>
      <c r="H58" s="3668"/>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5011</v>
      </c>
      <c r="C59" s="371">
        <f t="shared" ref="C59:C67" si="16">IF($C$57="北京市系数",I59,J59)</f>
        <v>0.6</v>
      </c>
      <c r="D59" s="2078">
        <v>0.25</v>
      </c>
      <c r="E59" s="613">
        <v>0</v>
      </c>
      <c r="F59" s="610">
        <f t="shared" si="15"/>
        <v>0</v>
      </c>
      <c r="G59" s="3669" t="s">
        <v>2255</v>
      </c>
      <c r="H59" s="1832" t="str">
        <f>项目基本情况!B43</f>
        <v>八级</v>
      </c>
      <c r="I59" s="1467">
        <f>SUMIF(修正!$A$45:$A$56,H59,修正!B45:B56)</f>
        <v>0.6</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2506</v>
      </c>
      <c r="C60" s="371">
        <f t="shared" si="16"/>
        <v>0.3</v>
      </c>
      <c r="D60" s="2078">
        <v>0.25</v>
      </c>
      <c r="E60" s="613">
        <v>0</v>
      </c>
      <c r="F60" s="610">
        <f t="shared" si="15"/>
        <v>0</v>
      </c>
      <c r="G60" s="3669"/>
      <c r="H60" s="1832" t="str">
        <f>项目基本情况!B43</f>
        <v>八级</v>
      </c>
      <c r="I60" s="1467">
        <f>SUMIF(修正!$A$45:$A$56,H60,修正!C45:C56)</f>
        <v>0.3</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1670</v>
      </c>
      <c r="C61" s="371">
        <f t="shared" si="16"/>
        <v>0.2</v>
      </c>
      <c r="D61" s="2078">
        <v>0.25</v>
      </c>
      <c r="E61" s="613">
        <v>0</v>
      </c>
      <c r="F61" s="610">
        <f t="shared" si="15"/>
        <v>0</v>
      </c>
      <c r="G61" s="3669"/>
      <c r="H61" s="1832" t="str">
        <f>项目基本情况!B43</f>
        <v>八级</v>
      </c>
      <c r="I61" s="1467">
        <f>SUMIF(修正!$A$45:$A$56,H61,修正!D45:D56)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1670</v>
      </c>
      <c r="C62" s="371">
        <f t="shared" si="16"/>
        <v>0.2</v>
      </c>
      <c r="D62" s="2078">
        <v>0.25</v>
      </c>
      <c r="E62" s="613">
        <v>0</v>
      </c>
      <c r="F62" s="610">
        <f t="shared" si="15"/>
        <v>0</v>
      </c>
      <c r="G62" s="3669"/>
      <c r="H62" s="1832" t="str">
        <f>项目基本情况!B43</f>
        <v>八级</v>
      </c>
      <c r="I62" s="1467">
        <f>SUMIF(修正!$A$45:$A$56,H62,修正!E45:E56)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1670</v>
      </c>
      <c r="C63" s="371">
        <f t="shared" si="16"/>
        <v>0.2</v>
      </c>
      <c r="D63" s="2078">
        <v>0.25</v>
      </c>
      <c r="E63" s="615">
        <f>'数据-汇总表'!E11</f>
        <v>50.06</v>
      </c>
      <c r="F63" s="610">
        <f t="shared" si="15"/>
        <v>8</v>
      </c>
      <c r="G63" s="1829" t="s">
        <v>2256</v>
      </c>
      <c r="H63" s="1832" t="str">
        <f>项目基本情况!C43</f>
        <v>八级</v>
      </c>
      <c r="I63" s="1467">
        <f>SUMIF(修正!$A$45:$A$56,H63,修正!F45:F56)</f>
        <v>0.2</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1670</v>
      </c>
      <c r="C64" s="371">
        <f t="shared" si="16"/>
        <v>0.2</v>
      </c>
      <c r="D64" s="2078">
        <v>0.25</v>
      </c>
      <c r="E64" s="615">
        <f>'数据-汇总表'!E12</f>
        <v>7871.7900000000009</v>
      </c>
      <c r="F64" s="610">
        <f t="shared" si="15"/>
        <v>1315</v>
      </c>
      <c r="G64" s="1830" t="s">
        <v>1657</v>
      </c>
      <c r="H64" s="1828" t="str">
        <f>IF(G64="商业",项目基本情况!B43,IF(G64="办公",项目基本情况!C43,IF(G64="住宅",项目基本情况!D43,项目基本情况!E43)))</f>
        <v>八级</v>
      </c>
      <c r="I64" s="1467">
        <f>SUMIF(修正!$A$45:$A$56,H64,修正!G45:G56)</f>
        <v>0.2</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1253</v>
      </c>
      <c r="C65" s="371">
        <f t="shared" si="16"/>
        <v>0.15</v>
      </c>
      <c r="D65" s="2078">
        <v>0.25</v>
      </c>
      <c r="E65" s="615">
        <f>'数据-汇总表'!E13</f>
        <v>32801.72</v>
      </c>
      <c r="F65" s="610">
        <f t="shared" si="15"/>
        <v>4110</v>
      </c>
      <c r="G65" s="1830" t="s">
        <v>903</v>
      </c>
      <c r="H65" s="1828" t="str">
        <f>IF(G65="商业",项目基本情况!B43,IF(G65="办公",项目基本情况!C43,IF(G65="住宅",项目基本情况!D43,项目基本情况!E43)))</f>
        <v>八级</v>
      </c>
      <c r="I65" s="1467">
        <f>SUMIF(修正!$A$45:$A$56,H65,修正!H45:H56)</f>
        <v>0.15</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1253</v>
      </c>
      <c r="C66" s="371">
        <f t="shared" si="16"/>
        <v>0.15</v>
      </c>
      <c r="D66" s="2078">
        <v>0.25</v>
      </c>
      <c r="E66" s="615">
        <f>'数据-汇总表'!E14</f>
        <v>0</v>
      </c>
      <c r="F66" s="610">
        <f t="shared" si="15"/>
        <v>0</v>
      </c>
      <c r="G66" s="1829" t="s">
        <v>2255</v>
      </c>
      <c r="H66" s="1832" t="str">
        <f>项目基本情况!B43</f>
        <v>八级</v>
      </c>
      <c r="I66" s="1467">
        <f>SUMIF(修正!$A$45:$A$56,H66,修正!H45:H56)</f>
        <v>0.15</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1253</v>
      </c>
      <c r="C67" s="371">
        <f t="shared" si="16"/>
        <v>0.15</v>
      </c>
      <c r="D67" s="2078">
        <v>0.25</v>
      </c>
      <c r="E67" s="615">
        <f>'数据-汇总表'!E15</f>
        <v>0</v>
      </c>
      <c r="F67" s="610">
        <f t="shared" si="15"/>
        <v>0</v>
      </c>
      <c r="G67" s="1831" t="s">
        <v>2256</v>
      </c>
      <c r="H67" s="1833" t="str">
        <f>项目基本情况!C43</f>
        <v>八级</v>
      </c>
      <c r="I67" s="1467">
        <f>SUMIF(修正!$A$45:$A$56,H67,修正!H45:H56)</f>
        <v>0.15</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150273.01999999999</v>
      </c>
      <c r="F68" s="618">
        <f>IF(B48="楼面地价",SUM(F58:F67),ROUND(C50*E68/10000,0))</f>
        <v>371416</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3146</v>
      </c>
      <c r="D77" s="574" t="s">
        <v>3348</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3352</v>
      </c>
      <c r="D84" s="1299" t="s">
        <v>3357</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t="s">
        <v>3161</v>
      </c>
      <c r="D86" s="662">
        <v>57000</v>
      </c>
      <c r="E86" s="662">
        <v>59000</v>
      </c>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95</v>
      </c>
      <c r="E87" s="666">
        <v>95</v>
      </c>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8" t="s">
        <v>3354</v>
      </c>
      <c r="D88" s="635" t="s">
        <v>3358</v>
      </c>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v>100</v>
      </c>
      <c r="D89" s="674">
        <v>95</v>
      </c>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95</v>
      </c>
      <c r="E91" s="653">
        <f>D91-$K17</f>
        <v>90</v>
      </c>
      <c r="F91" s="653">
        <f>E91-$K17</f>
        <v>85</v>
      </c>
      <c r="G91" s="653">
        <f>F91-$K17</f>
        <v>80</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97</v>
      </c>
      <c r="E97" s="653">
        <f>D97-$K23</f>
        <v>94</v>
      </c>
      <c r="F97" s="653">
        <f>E97-$K23</f>
        <v>91</v>
      </c>
      <c r="G97" s="653">
        <f>F97-$K23</f>
        <v>88</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692"/>
      <c r="D110" s="692"/>
      <c r="E110" s="692"/>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3158</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3149</v>
      </c>
      <c r="D125" s="1299" t="s">
        <v>3151</v>
      </c>
      <c r="E125" s="1299" t="s">
        <v>3153</v>
      </c>
      <c r="F125" s="1299" t="s">
        <v>3154</v>
      </c>
      <c r="G125" s="1299" t="s">
        <v>3156</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3159</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44" t="s">
        <v>505</v>
      </c>
      <c r="D6" s="3645"/>
      <c r="E6" s="3679" t="s">
        <v>506</v>
      </c>
      <c r="F6" s="3680"/>
      <c r="G6" s="3644" t="s">
        <v>507</v>
      </c>
      <c r="H6" s="3645"/>
      <c r="I6" s="3644" t="s">
        <v>508</v>
      </c>
      <c r="J6" s="3645"/>
      <c r="K6" s="490" t="s">
        <v>509</v>
      </c>
      <c r="L6" s="1984"/>
      <c r="M6" s="1985"/>
      <c r="N6" s="1985"/>
      <c r="O6" s="1985"/>
      <c r="P6" s="3646" t="s">
        <v>510</v>
      </c>
      <c r="Q6" s="3647"/>
      <c r="R6" s="3652" t="s">
        <v>506</v>
      </c>
      <c r="S6" s="3653"/>
      <c r="T6" s="3652" t="s">
        <v>507</v>
      </c>
      <c r="U6" s="3653"/>
      <c r="V6" s="3639" t="s">
        <v>508</v>
      </c>
      <c r="W6" s="3639"/>
      <c r="X6" s="1474"/>
      <c r="Y6" s="3652" t="s">
        <v>510</v>
      </c>
      <c r="Z6" s="3653"/>
      <c r="AA6" s="3641" t="s">
        <v>506</v>
      </c>
      <c r="AB6" s="3642" t="s">
        <v>507</v>
      </c>
      <c r="AC6" s="3641" t="s">
        <v>508</v>
      </c>
    </row>
    <row r="7" spans="1:29" ht="15">
      <c r="A7" s="491"/>
      <c r="B7" s="492"/>
      <c r="C7" s="3660" t="s">
        <v>2813</v>
      </c>
      <c r="D7" s="3661"/>
      <c r="E7" s="3681" t="s">
        <v>2814</v>
      </c>
      <c r="F7" s="3682"/>
      <c r="G7" s="3660" t="s">
        <v>2815</v>
      </c>
      <c r="H7" s="3661"/>
      <c r="I7" s="3660" t="s">
        <v>2816</v>
      </c>
      <c r="J7" s="3661"/>
      <c r="K7" s="490"/>
      <c r="L7" s="1984"/>
      <c r="M7" s="1985"/>
      <c r="N7" s="1985"/>
      <c r="O7" s="1985"/>
      <c r="P7" s="3648"/>
      <c r="Q7" s="3649"/>
      <c r="R7" s="3654"/>
      <c r="S7" s="3655"/>
      <c r="T7" s="3654"/>
      <c r="U7" s="3655"/>
      <c r="V7" s="3639"/>
      <c r="W7" s="3639"/>
      <c r="X7" s="1474"/>
      <c r="Y7" s="3654"/>
      <c r="Z7" s="3655"/>
      <c r="AA7" s="3642"/>
      <c r="AB7" s="3642"/>
      <c r="AC7" s="3642"/>
    </row>
    <row r="8" spans="1:29" ht="15.75" thickBot="1">
      <c r="A8" s="493"/>
      <c r="B8" s="494"/>
      <c r="C8" s="3658" t="s">
        <v>2817</v>
      </c>
      <c r="D8" s="3659"/>
      <c r="E8" s="3677" t="s">
        <v>2817</v>
      </c>
      <c r="F8" s="3678"/>
      <c r="G8" s="3658" t="s">
        <v>2817</v>
      </c>
      <c r="H8" s="3659"/>
      <c r="I8" s="3658" t="s">
        <v>2817</v>
      </c>
      <c r="J8" s="3659"/>
      <c r="K8" s="490" t="s">
        <v>511</v>
      </c>
      <c r="L8" s="1984"/>
      <c r="M8" s="1985"/>
      <c r="N8" s="1985"/>
      <c r="O8" s="1985"/>
      <c r="P8" s="3650"/>
      <c r="Q8" s="3651"/>
      <c r="R8" s="3654"/>
      <c r="S8" s="3655"/>
      <c r="T8" s="3656"/>
      <c r="U8" s="3657"/>
      <c r="V8" s="3639"/>
      <c r="W8" s="3639"/>
      <c r="X8" s="1474"/>
      <c r="Y8" s="3656"/>
      <c r="Z8" s="3657"/>
      <c r="AA8" s="3643"/>
      <c r="AB8" s="3643"/>
      <c r="AC8" s="3643"/>
    </row>
    <row r="9" spans="1:29" s="1184" customFormat="1" ht="15.75" thickBot="1">
      <c r="A9" s="2566"/>
      <c r="B9" s="2573" t="s">
        <v>512</v>
      </c>
      <c r="C9" s="495">
        <f>'数据-取费表'!B2</f>
        <v>44580</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70" t="s">
        <v>513</v>
      </c>
      <c r="Q9" s="3672"/>
      <c r="R9" s="1475" t="s">
        <v>8</v>
      </c>
      <c r="S9" s="1476">
        <f t="shared" ref="S9:S17" si="0">F9</f>
        <v>0</v>
      </c>
      <c r="T9" s="1475" t="s">
        <v>8</v>
      </c>
      <c r="U9" s="1476">
        <f t="shared" ref="U9:U17" si="1">H9</f>
        <v>0</v>
      </c>
      <c r="V9" s="1475" t="s">
        <v>8</v>
      </c>
      <c r="W9" s="1476">
        <f t="shared" ref="W9:W17" si="2">J9</f>
        <v>0</v>
      </c>
      <c r="X9" s="1477"/>
      <c r="Y9" s="3670" t="s">
        <v>513</v>
      </c>
      <c r="Z9" s="3671"/>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70" t="s">
        <v>516</v>
      </c>
      <c r="Q10" s="3671"/>
      <c r="R10" s="1475" t="s">
        <v>8</v>
      </c>
      <c r="S10" s="1476">
        <f t="shared" si="0"/>
        <v>0</v>
      </c>
      <c r="T10" s="1475" t="s">
        <v>8</v>
      </c>
      <c r="U10" s="1476">
        <f t="shared" si="1"/>
        <v>0</v>
      </c>
      <c r="V10" s="1475" t="s">
        <v>8</v>
      </c>
      <c r="W10" s="1476">
        <f t="shared" si="2"/>
        <v>0</v>
      </c>
      <c r="X10" s="1477"/>
      <c r="Y10" s="3670" t="s">
        <v>516</v>
      </c>
      <c r="Z10" s="3671"/>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38" t="s">
        <v>518</v>
      </c>
      <c r="Q11" s="1115" t="str">
        <f t="shared" ref="Q11:Q17" si="6">B11</f>
        <v>用途</v>
      </c>
      <c r="R11" s="1475" t="s">
        <v>8</v>
      </c>
      <c r="S11" s="1476">
        <f t="shared" si="0"/>
        <v>100</v>
      </c>
      <c r="T11" s="1475" t="s">
        <v>8</v>
      </c>
      <c r="U11" s="1476">
        <f t="shared" si="1"/>
        <v>100</v>
      </c>
      <c r="V11" s="1475" t="s">
        <v>8</v>
      </c>
      <c r="W11" s="1476">
        <f t="shared" si="2"/>
        <v>100</v>
      </c>
      <c r="X11" s="1477"/>
      <c r="Y11" s="3580"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38"/>
      <c r="Q12" s="1115" t="str">
        <f t="shared" si="6"/>
        <v>土地使用年限（年）</v>
      </c>
      <c r="R12" s="1475" t="s">
        <v>8</v>
      </c>
      <c r="S12" s="1476">
        <f t="shared" si="0"/>
        <v>100</v>
      </c>
      <c r="T12" s="1475" t="s">
        <v>8</v>
      </c>
      <c r="U12" s="1476">
        <f t="shared" si="1"/>
        <v>100</v>
      </c>
      <c r="V12" s="1475" t="s">
        <v>8</v>
      </c>
      <c r="W12" s="1476">
        <f t="shared" si="2"/>
        <v>100</v>
      </c>
      <c r="X12" s="1477"/>
      <c r="Y12" s="3580"/>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38"/>
      <c r="Q13" s="1115" t="str">
        <f t="shared" si="6"/>
        <v>容积率</v>
      </c>
      <c r="R13" s="1475" t="s">
        <v>8</v>
      </c>
      <c r="S13" s="1476" t="e">
        <f t="shared" si="0"/>
        <v>#N/A</v>
      </c>
      <c r="T13" s="1475" t="s">
        <v>8</v>
      </c>
      <c r="U13" s="1476" t="e">
        <f t="shared" si="1"/>
        <v>#N/A</v>
      </c>
      <c r="V13" s="1475" t="s">
        <v>8</v>
      </c>
      <c r="W13" s="1476" t="e">
        <f t="shared" si="2"/>
        <v>#N/A</v>
      </c>
      <c r="X13" s="1477"/>
      <c r="Y13" s="3580"/>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38"/>
      <c r="Q14" s="1115">
        <f t="shared" si="6"/>
        <v>111</v>
      </c>
      <c r="R14" s="1475" t="s">
        <v>8</v>
      </c>
      <c r="S14" s="1476">
        <f t="shared" si="0"/>
        <v>100</v>
      </c>
      <c r="T14" s="1475" t="s">
        <v>8</v>
      </c>
      <c r="U14" s="1476">
        <f t="shared" si="1"/>
        <v>100</v>
      </c>
      <c r="V14" s="1475" t="s">
        <v>8</v>
      </c>
      <c r="W14" s="1476">
        <f t="shared" si="2"/>
        <v>100</v>
      </c>
      <c r="X14" s="1477"/>
      <c r="Y14" s="3580"/>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38"/>
      <c r="Q15" s="1115">
        <f t="shared" si="6"/>
        <v>111</v>
      </c>
      <c r="R15" s="1475" t="s">
        <v>8</v>
      </c>
      <c r="S15" s="1476">
        <f t="shared" si="0"/>
        <v>100</v>
      </c>
      <c r="T15" s="1475" t="s">
        <v>8</v>
      </c>
      <c r="U15" s="1476">
        <f t="shared" si="1"/>
        <v>100</v>
      </c>
      <c r="V15" s="1475" t="s">
        <v>8</v>
      </c>
      <c r="W15" s="1476">
        <f t="shared" si="2"/>
        <v>100</v>
      </c>
      <c r="X15" s="1477"/>
      <c r="Y15" s="3580"/>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38"/>
      <c r="Q16" s="1115">
        <f t="shared" si="6"/>
        <v>111</v>
      </c>
      <c r="R16" s="1475" t="s">
        <v>8</v>
      </c>
      <c r="S16" s="1476">
        <f t="shared" si="0"/>
        <v>100</v>
      </c>
      <c r="T16" s="1475" t="s">
        <v>8</v>
      </c>
      <c r="U16" s="1476">
        <f t="shared" si="1"/>
        <v>100</v>
      </c>
      <c r="V16" s="1475" t="s">
        <v>8</v>
      </c>
      <c r="W16" s="1476">
        <f t="shared" si="2"/>
        <v>100</v>
      </c>
      <c r="X16" s="1477"/>
      <c r="Y16" s="3580"/>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73" t="s">
        <v>523</v>
      </c>
      <c r="Q17" s="1479" t="str">
        <f t="shared" si="6"/>
        <v>产业集聚程度</v>
      </c>
      <c r="R17" s="1480" t="s">
        <v>8</v>
      </c>
      <c r="S17" s="1481">
        <f t="shared" si="0"/>
        <v>100</v>
      </c>
      <c r="T17" s="1480" t="s">
        <v>8</v>
      </c>
      <c r="U17" s="1481">
        <f t="shared" si="1"/>
        <v>100</v>
      </c>
      <c r="V17" s="1480" t="s">
        <v>8</v>
      </c>
      <c r="W17" s="1481">
        <f t="shared" si="2"/>
        <v>100</v>
      </c>
      <c r="X17" s="1474"/>
      <c r="Y17" s="3673"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74"/>
      <c r="Q18" s="1479"/>
      <c r="R18" s="1480"/>
      <c r="S18" s="1481"/>
      <c r="T18" s="1480"/>
      <c r="U18" s="1481"/>
      <c r="V18" s="1480"/>
      <c r="W18" s="1481"/>
      <c r="X18" s="1474"/>
      <c r="Y18" s="3674"/>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74"/>
      <c r="Q19" s="1479" t="str">
        <f>B19</f>
        <v>交通便捷度</v>
      </c>
      <c r="R19" s="1480" t="s">
        <v>8</v>
      </c>
      <c r="S19" s="1481">
        <f>F19</f>
        <v>100</v>
      </c>
      <c r="T19" s="1480" t="s">
        <v>8</v>
      </c>
      <c r="U19" s="1481">
        <f>H19</f>
        <v>100</v>
      </c>
      <c r="V19" s="1480" t="s">
        <v>8</v>
      </c>
      <c r="W19" s="1481">
        <f>J19</f>
        <v>100</v>
      </c>
      <c r="X19" s="1474"/>
      <c r="Y19" s="3674"/>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74"/>
      <c r="Q20" s="1479"/>
      <c r="R20" s="1480"/>
      <c r="S20" s="1481"/>
      <c r="T20" s="1480"/>
      <c r="U20" s="1481"/>
      <c r="V20" s="1480"/>
      <c r="W20" s="1481"/>
      <c r="X20" s="1474"/>
      <c r="Y20" s="3674"/>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74"/>
      <c r="Q21" s="1479" t="str">
        <f t="shared" ref="Q21:Q35" si="8">B21</f>
        <v>区域土地利用方向</v>
      </c>
      <c r="R21" s="1480" t="s">
        <v>8</v>
      </c>
      <c r="S21" s="1481">
        <f>F21</f>
        <v>100</v>
      </c>
      <c r="T21" s="1480" t="s">
        <v>8</v>
      </c>
      <c r="U21" s="1481">
        <f>H21</f>
        <v>100</v>
      </c>
      <c r="V21" s="1480" t="s">
        <v>8</v>
      </c>
      <c r="W21" s="1481">
        <f>J21</f>
        <v>100</v>
      </c>
      <c r="X21" s="1474"/>
      <c r="Y21" s="3674"/>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74"/>
      <c r="Q22" s="1479"/>
      <c r="R22" s="1480"/>
      <c r="S22" s="1481"/>
      <c r="T22" s="1480"/>
      <c r="U22" s="1481"/>
      <c r="V22" s="1480"/>
      <c r="W22" s="1481"/>
      <c r="X22" s="1474"/>
      <c r="Y22" s="3674"/>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74"/>
      <c r="Q23" s="1479" t="str">
        <f t="shared" si="8"/>
        <v>环境状况</v>
      </c>
      <c r="R23" s="1480" t="s">
        <v>8</v>
      </c>
      <c r="S23" s="1481">
        <f>F23</f>
        <v>100</v>
      </c>
      <c r="T23" s="1480" t="s">
        <v>8</v>
      </c>
      <c r="U23" s="1481">
        <f>H23</f>
        <v>100</v>
      </c>
      <c r="V23" s="1480" t="s">
        <v>8</v>
      </c>
      <c r="W23" s="1481">
        <f>J23</f>
        <v>100</v>
      </c>
      <c r="X23" s="1474"/>
      <c r="Y23" s="3674"/>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74"/>
      <c r="Q24" s="1479"/>
      <c r="R24" s="1480"/>
      <c r="S24" s="1481"/>
      <c r="T24" s="1480"/>
      <c r="U24" s="1481"/>
      <c r="V24" s="1480"/>
      <c r="W24" s="1481"/>
      <c r="X24" s="1474"/>
      <c r="Y24" s="3674"/>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74"/>
      <c r="Q25" s="1115" t="str">
        <f t="shared" si="8"/>
        <v>公共配套设施</v>
      </c>
      <c r="R25" s="1475" t="s">
        <v>8</v>
      </c>
      <c r="S25" s="1476">
        <f>F25</f>
        <v>100</v>
      </c>
      <c r="T25" s="1475" t="s">
        <v>8</v>
      </c>
      <c r="U25" s="1476">
        <f>H25</f>
        <v>100</v>
      </c>
      <c r="V25" s="1475" t="s">
        <v>8</v>
      </c>
      <c r="W25" s="1476">
        <f>J25</f>
        <v>100</v>
      </c>
      <c r="X25" s="1477"/>
      <c r="Y25" s="3674"/>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74"/>
      <c r="Q26" s="1115"/>
      <c r="R26" s="1475"/>
      <c r="S26" s="1476"/>
      <c r="T26" s="1475"/>
      <c r="U26" s="1476"/>
      <c r="V26" s="1475"/>
      <c r="W26" s="1476"/>
      <c r="X26" s="1477"/>
      <c r="Y26" s="3674"/>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74"/>
      <c r="Q27" s="2365" t="str">
        <f t="shared" ref="Q27" si="9">B27</f>
        <v>基础设施水平</v>
      </c>
      <c r="R27" s="1475" t="s">
        <v>8</v>
      </c>
      <c r="S27" s="1476">
        <f>F27</f>
        <v>100</v>
      </c>
      <c r="T27" s="1475" t="s">
        <v>8</v>
      </c>
      <c r="U27" s="1476">
        <f>H27</f>
        <v>100</v>
      </c>
      <c r="V27" s="1475" t="s">
        <v>8</v>
      </c>
      <c r="W27" s="1476">
        <f>J27</f>
        <v>100</v>
      </c>
      <c r="X27" s="1477"/>
      <c r="Y27" s="3674"/>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74"/>
      <c r="Q28" s="2365"/>
      <c r="R28" s="1475"/>
      <c r="S28" s="1476"/>
      <c r="T28" s="1475"/>
      <c r="U28" s="1476"/>
      <c r="V28" s="1475"/>
      <c r="W28" s="1476"/>
      <c r="X28" s="1477"/>
      <c r="Y28" s="3674"/>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74"/>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74"/>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74"/>
      <c r="Q30" s="1479" t="str">
        <f t="shared" si="8"/>
        <v>毗邻道路的类型与等级</v>
      </c>
      <c r="R30" s="1480" t="s">
        <v>8</v>
      </c>
      <c r="S30" s="1481">
        <f t="shared" si="10"/>
        <v>100</v>
      </c>
      <c r="T30" s="1480" t="s">
        <v>8</v>
      </c>
      <c r="U30" s="1481">
        <f t="shared" si="11"/>
        <v>100</v>
      </c>
      <c r="V30" s="1480" t="s">
        <v>8</v>
      </c>
      <c r="W30" s="1481">
        <f t="shared" si="12"/>
        <v>100</v>
      </c>
      <c r="X30" s="1474"/>
      <c r="Y30" s="3674"/>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74"/>
      <c r="Q31" s="1479"/>
      <c r="R31" s="1480"/>
      <c r="S31" s="1481"/>
      <c r="T31" s="1480"/>
      <c r="U31" s="1481"/>
      <c r="V31" s="1480"/>
      <c r="W31" s="1481"/>
      <c r="X31" s="1474"/>
      <c r="Y31" s="3674"/>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74"/>
      <c r="Q32" s="1479" t="str">
        <f t="shared" si="8"/>
        <v>土地级别</v>
      </c>
      <c r="R32" s="1480" t="s">
        <v>8</v>
      </c>
      <c r="S32" s="1481">
        <f t="shared" si="10"/>
        <v>100</v>
      </c>
      <c r="T32" s="1480" t="s">
        <v>8</v>
      </c>
      <c r="U32" s="1481">
        <f t="shared" si="11"/>
        <v>100</v>
      </c>
      <c r="V32" s="1480" t="s">
        <v>8</v>
      </c>
      <c r="W32" s="1481">
        <f t="shared" si="12"/>
        <v>100</v>
      </c>
      <c r="X32" s="1474"/>
      <c r="Y32" s="3674"/>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74"/>
      <c r="Q33" s="1479">
        <f t="shared" si="8"/>
        <v>111</v>
      </c>
      <c r="R33" s="1480" t="s">
        <v>8</v>
      </c>
      <c r="S33" s="1481">
        <f t="shared" si="10"/>
        <v>100</v>
      </c>
      <c r="T33" s="1480" t="s">
        <v>8</v>
      </c>
      <c r="U33" s="1481">
        <f t="shared" si="11"/>
        <v>100</v>
      </c>
      <c r="V33" s="1480" t="s">
        <v>8</v>
      </c>
      <c r="W33" s="1481">
        <f t="shared" si="12"/>
        <v>100</v>
      </c>
      <c r="X33" s="1474"/>
      <c r="Y33" s="3674"/>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75" t="s">
        <v>533</v>
      </c>
      <c r="Q34" s="1479">
        <f t="shared" si="8"/>
        <v>111</v>
      </c>
      <c r="R34" s="1480" t="s">
        <v>8</v>
      </c>
      <c r="S34" s="1481">
        <f t="shared" si="10"/>
        <v>100</v>
      </c>
      <c r="T34" s="1480" t="s">
        <v>8</v>
      </c>
      <c r="U34" s="1481">
        <f t="shared" si="11"/>
        <v>100</v>
      </c>
      <c r="V34" s="1480" t="s">
        <v>8</v>
      </c>
      <c r="W34" s="1481">
        <f t="shared" si="12"/>
        <v>100</v>
      </c>
      <c r="X34" s="1474"/>
      <c r="Y34" s="3676"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76"/>
      <c r="Q35" s="1479">
        <f t="shared" si="8"/>
        <v>111</v>
      </c>
      <c r="R35" s="1484" t="s">
        <v>8</v>
      </c>
      <c r="S35" s="1485">
        <f t="shared" si="10"/>
        <v>100</v>
      </c>
      <c r="T35" s="1484" t="s">
        <v>8</v>
      </c>
      <c r="U35" s="1485">
        <f t="shared" si="11"/>
        <v>100</v>
      </c>
      <c r="V35" s="1484" t="s">
        <v>8</v>
      </c>
      <c r="W35" s="1485">
        <f t="shared" si="12"/>
        <v>100</v>
      </c>
      <c r="X35" s="1486"/>
      <c r="Y35" s="3676"/>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76"/>
      <c r="Q36" s="1479" t="str">
        <f>B36</f>
        <v>宗地面积</v>
      </c>
      <c r="R36" s="1480" t="s">
        <v>8</v>
      </c>
      <c r="S36" s="1481" t="e">
        <f t="shared" si="10"/>
        <v>#N/A</v>
      </c>
      <c r="T36" s="1480" t="s">
        <v>8</v>
      </c>
      <c r="U36" s="1481" t="e">
        <f t="shared" si="11"/>
        <v>#N/A</v>
      </c>
      <c r="V36" s="1480" t="s">
        <v>8</v>
      </c>
      <c r="W36" s="1481" t="e">
        <f t="shared" si="12"/>
        <v>#N/A</v>
      </c>
      <c r="X36" s="1474"/>
      <c r="Y36" s="3676"/>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76"/>
      <c r="Q37" s="1479" t="str">
        <f t="shared" ref="Q37:Q42" si="14">B37</f>
        <v>宗地形状</v>
      </c>
      <c r="R37" s="1480" t="s">
        <v>8</v>
      </c>
      <c r="S37" s="1481">
        <f t="shared" si="10"/>
        <v>100</v>
      </c>
      <c r="T37" s="1480" t="s">
        <v>8</v>
      </c>
      <c r="U37" s="1481">
        <f t="shared" si="11"/>
        <v>100</v>
      </c>
      <c r="V37" s="1480" t="s">
        <v>8</v>
      </c>
      <c r="W37" s="1481">
        <f t="shared" si="12"/>
        <v>100</v>
      </c>
      <c r="X37" s="1474"/>
      <c r="Y37" s="3676"/>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76"/>
      <c r="Q38" s="1479" t="str">
        <f t="shared" si="14"/>
        <v>宗地开发程度</v>
      </c>
      <c r="R38" s="1475" t="s">
        <v>8</v>
      </c>
      <c r="S38" s="1476">
        <f t="shared" si="10"/>
        <v>100</v>
      </c>
      <c r="T38" s="1475" t="s">
        <v>8</v>
      </c>
      <c r="U38" s="1476">
        <f t="shared" si="11"/>
        <v>100</v>
      </c>
      <c r="V38" s="1475" t="s">
        <v>8</v>
      </c>
      <c r="W38" s="1476">
        <f t="shared" si="12"/>
        <v>100</v>
      </c>
      <c r="X38" s="1477"/>
      <c r="Y38" s="3676"/>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76" t="s">
        <v>584</v>
      </c>
      <c r="Q39" s="1479" t="str">
        <f t="shared" si="14"/>
        <v>工程地质条件</v>
      </c>
      <c r="R39" s="1480" t="s">
        <v>8</v>
      </c>
      <c r="S39" s="1481">
        <f t="shared" si="10"/>
        <v>100</v>
      </c>
      <c r="T39" s="1480" t="s">
        <v>8</v>
      </c>
      <c r="U39" s="1481">
        <f t="shared" si="11"/>
        <v>100</v>
      </c>
      <c r="V39" s="1480" t="s">
        <v>8</v>
      </c>
      <c r="W39" s="1481">
        <f t="shared" si="12"/>
        <v>100</v>
      </c>
      <c r="X39" s="1474"/>
      <c r="Y39" s="3676"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76"/>
      <c r="Q40" s="1479">
        <f t="shared" si="14"/>
        <v>111</v>
      </c>
      <c r="R40" s="1480" t="s">
        <v>8</v>
      </c>
      <c r="S40" s="1481">
        <f t="shared" si="10"/>
        <v>100</v>
      </c>
      <c r="T40" s="1480" t="s">
        <v>8</v>
      </c>
      <c r="U40" s="1481">
        <f t="shared" si="11"/>
        <v>100</v>
      </c>
      <c r="V40" s="1480" t="s">
        <v>8</v>
      </c>
      <c r="W40" s="1481">
        <f t="shared" si="12"/>
        <v>100</v>
      </c>
      <c r="X40" s="1474"/>
      <c r="Y40" s="3676"/>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76"/>
      <c r="Q41" s="1479">
        <f t="shared" si="14"/>
        <v>111</v>
      </c>
      <c r="R41" s="1480" t="s">
        <v>8</v>
      </c>
      <c r="S41" s="1481">
        <f t="shared" si="10"/>
        <v>100</v>
      </c>
      <c r="T41" s="1480" t="s">
        <v>8</v>
      </c>
      <c r="U41" s="1481">
        <f t="shared" si="11"/>
        <v>100</v>
      </c>
      <c r="V41" s="1480" t="s">
        <v>8</v>
      </c>
      <c r="W41" s="1481">
        <f t="shared" si="12"/>
        <v>100</v>
      </c>
      <c r="X41" s="1474"/>
      <c r="Y41" s="3676"/>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76"/>
      <c r="Q42" s="1479">
        <f t="shared" si="14"/>
        <v>111</v>
      </c>
      <c r="R42" s="1484" t="s">
        <v>8</v>
      </c>
      <c r="S42" s="1485">
        <f t="shared" si="10"/>
        <v>100</v>
      </c>
      <c r="T42" s="1484" t="s">
        <v>8</v>
      </c>
      <c r="U42" s="1485">
        <f t="shared" si="11"/>
        <v>100</v>
      </c>
      <c r="V42" s="1484" t="s">
        <v>8</v>
      </c>
      <c r="W42" s="1485">
        <f t="shared" si="12"/>
        <v>100</v>
      </c>
      <c r="X42" s="1486"/>
      <c r="Y42" s="3676"/>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38" t="str">
        <f>A43</f>
        <v>成交单价</v>
      </c>
      <c r="Q43" s="3638"/>
      <c r="R43" s="3639">
        <f>E43</f>
        <v>0</v>
      </c>
      <c r="S43" s="3639"/>
      <c r="T43" s="3639">
        <f>G43</f>
        <v>0</v>
      </c>
      <c r="U43" s="3639"/>
      <c r="V43" s="3639">
        <f>I43</f>
        <v>0</v>
      </c>
      <c r="W43" s="3639"/>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38" t="str">
        <f>A44</f>
        <v>比较价格（元/平方米）</v>
      </c>
      <c r="Q44" s="3638"/>
      <c r="R44" s="3640" t="e">
        <f>ROUND(PRODUCT(R43,AA9:AA42),0)</f>
        <v>#DIV/0!</v>
      </c>
      <c r="S44" s="3640"/>
      <c r="T44" s="3640" t="e">
        <f>ROUND(PRODUCT(T43,AB9:AB42),0)</f>
        <v>#DIV/0!</v>
      </c>
      <c r="U44" s="3640"/>
      <c r="V44" s="3640" t="e">
        <f>ROUND(PRODUCT(V43,AC9:AC42),0)</f>
        <v>#DIV/0!</v>
      </c>
      <c r="W44" s="3640"/>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35" t="str">
        <f>A45</f>
        <v>估价对象XX用房的比较价格（楼面单价，元/平方米）</v>
      </c>
      <c r="Q45" s="3636"/>
      <c r="R45" s="3688" t="e">
        <f>ROUND(IF(D44="简单平均",AVERAGE(R44:W44),R44*F44+T44*H44+V44*J44),0)</f>
        <v>#DIV/0!</v>
      </c>
      <c r="S45" s="3688"/>
      <c r="T45" s="3688"/>
      <c r="U45" s="3688"/>
      <c r="V45" s="3688"/>
      <c r="W45" s="3688"/>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83" t="s">
        <v>2257</v>
      </c>
      <c r="H52" s="3684"/>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109549.45</v>
      </c>
      <c r="F53" s="1834" t="e">
        <f t="shared" ref="F53:F62" si="15">ROUND(B53*E53/10000,0)</f>
        <v>#DIV/0!</v>
      </c>
      <c r="G53" s="3685"/>
      <c r="H53" s="3686"/>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0.6</v>
      </c>
      <c r="D54" s="2078">
        <v>0.25</v>
      </c>
      <c r="E54" s="613"/>
      <c r="F54" s="1834" t="e">
        <f t="shared" si="15"/>
        <v>#DIV/0!</v>
      </c>
      <c r="G54" s="3687" t="s">
        <v>2258</v>
      </c>
      <c r="H54" s="1838" t="str">
        <f>项目基本情况!B43</f>
        <v>八级</v>
      </c>
      <c r="I54" s="1837">
        <f>SUMIF(修正!$A$45:$A$56,H54,修正!B45:B56)</f>
        <v>0.6</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0.3</v>
      </c>
      <c r="D55" s="2078">
        <v>0.25</v>
      </c>
      <c r="E55" s="613"/>
      <c r="F55" s="1834" t="e">
        <f t="shared" si="15"/>
        <v>#DIV/0!</v>
      </c>
      <c r="G55" s="3687"/>
      <c r="H55" s="1839" t="str">
        <f>项目基本情况!B43</f>
        <v>八级</v>
      </c>
      <c r="I55" s="1837">
        <f>SUMIF(修正!$A$45:$A$56,H55,修正!C45:C56)</f>
        <v>0.3</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v>
      </c>
      <c r="D56" s="2078">
        <v>0.25</v>
      </c>
      <c r="E56" s="613"/>
      <c r="F56" s="1834" t="e">
        <f t="shared" si="15"/>
        <v>#DIV/0!</v>
      </c>
      <c r="G56" s="3687"/>
      <c r="H56" s="1839" t="str">
        <f>项目基本情况!B43</f>
        <v>八级</v>
      </c>
      <c r="I56" s="1837">
        <f>SUMIF(修正!$A$45:$A$56,H56,修正!D45:D56)</f>
        <v>0.2</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v>
      </c>
      <c r="D57" s="2078">
        <v>0.25</v>
      </c>
      <c r="E57" s="613"/>
      <c r="F57" s="1834" t="e">
        <f t="shared" si="15"/>
        <v>#DIV/0!</v>
      </c>
      <c r="G57" s="3687"/>
      <c r="H57" s="1839" t="str">
        <f>项目基本情况!B43</f>
        <v>八级</v>
      </c>
      <c r="I57" s="1837">
        <f>SUMIF(修正!$A$45:$A$56,H57,修正!E45:E56)</f>
        <v>0.2</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v>
      </c>
      <c r="D58" s="2078">
        <v>0.25</v>
      </c>
      <c r="E58" s="615">
        <f>'数据-汇总表'!E11</f>
        <v>50.06</v>
      </c>
      <c r="F58" s="1834" t="e">
        <f t="shared" si="15"/>
        <v>#DIV/0!</v>
      </c>
      <c r="G58" s="1840" t="s">
        <v>2259</v>
      </c>
      <c r="H58" s="1839" t="str">
        <f>项目基本情况!C43</f>
        <v>八级</v>
      </c>
      <c r="I58" s="1837">
        <f>SUMIF(修正!$A$45:$A$56,H58,修正!F45:F56)</f>
        <v>0.2</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v>
      </c>
      <c r="D59" s="2078">
        <v>0.25</v>
      </c>
      <c r="E59" s="615">
        <f>'数据-汇总表'!E12</f>
        <v>7871.7900000000009</v>
      </c>
      <c r="F59" s="1834" t="e">
        <f t="shared" si="15"/>
        <v>#DIV/0!</v>
      </c>
      <c r="G59" s="1830" t="s">
        <v>1657</v>
      </c>
      <c r="H59" s="1838" t="str">
        <f>IF(G59="商业",项目基本情况!B43,IF(G59="办公",项目基本情况!C43,IF(G59="住宅",项目基本情况!D43,项目基本情况!E43)))</f>
        <v>八级</v>
      </c>
      <c r="I59" s="1837">
        <f>SUMIF(修正!$A$45:$A$56,H59,修正!G45:G56)</f>
        <v>0.2</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0.15</v>
      </c>
      <c r="D60" s="2078">
        <v>0.25</v>
      </c>
      <c r="E60" s="615">
        <f>'数据-汇总表'!E13</f>
        <v>32801.72</v>
      </c>
      <c r="F60" s="1834" t="e">
        <f t="shared" si="15"/>
        <v>#DIV/0!</v>
      </c>
      <c r="G60" s="1830" t="s">
        <v>903</v>
      </c>
      <c r="H60" s="1838" t="str">
        <f>IF(G60="商业",项目基本情况!B43,IF(G60="办公",项目基本情况!C43,IF(G60="住宅",项目基本情况!D43,项目基本情况!E43)))</f>
        <v>八级</v>
      </c>
      <c r="I60" s="1837">
        <f>SUMIF(修正!$A$45:$A$56,H60,修正!H45:H56)</f>
        <v>0.15</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0.15</v>
      </c>
      <c r="D61" s="2078">
        <v>0.25</v>
      </c>
      <c r="E61" s="615">
        <f>'数据-汇总表'!E14</f>
        <v>0</v>
      </c>
      <c r="F61" s="1834" t="e">
        <f t="shared" si="15"/>
        <v>#DIV/0!</v>
      </c>
      <c r="G61" s="1840" t="s">
        <v>2258</v>
      </c>
      <c r="H61" s="1839" t="str">
        <f>项目基本情况!B43</f>
        <v>八级</v>
      </c>
      <c r="I61" s="1837">
        <f>SUMIF(修正!$A$45:$A$56,H61,修正!H45:H56)</f>
        <v>0.15</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0.15</v>
      </c>
      <c r="D62" s="2078">
        <v>0.25</v>
      </c>
      <c r="E62" s="615">
        <f>'数据-汇总表'!E15</f>
        <v>0</v>
      </c>
      <c r="F62" s="1834" t="e">
        <f t="shared" si="15"/>
        <v>#DIV/0!</v>
      </c>
      <c r="G62" s="1841" t="s">
        <v>2259</v>
      </c>
      <c r="H62" s="1842" t="str">
        <f>项目基本情况!C43</f>
        <v>八级</v>
      </c>
      <c r="I62" s="1837">
        <f>SUMIF(修正!$A$45:$A$56,H62,修正!H45:H56)</f>
        <v>0.15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42450.9</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f>ROUND(IF(G3&gt;1,IF(R2&lt;7,SUMPRODUCT((B93:B98=R2)*(C92:N92=G2)*(C93:N98)),SUMIF(C92:N92,G2,C100:N100)),IF(R2&lt;7,SUMPRODUCT((B102:B107=R2)*(C92:N92=G2)*(C102:N107)),SUMIF(C92:N92,G2,C109:N109))),4)</f>
        <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4</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f>ROUND(IF(G3&gt;1,IF(R3&lt;7,SUMPRODUCT((B93:B98=R3)*(C92:N92=G2)*(C93:N98)),SUMIF(C92:N92,G2,C100:N100)),IF(R3&lt;7,SUMPRODUCT((B102:B107=R3)*(C92:N92=G2)*(C102:N107)),SUMIF(C92:N92,G2,C109:N109))),4)</f>
        <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f>ROUND(IF(G3&gt;1,IF(R4&lt;7,SUMPRODUCT((B93:B98=R4)*(C92:N92=G2)*(C93:N98)),SUMIF(C92:N92,G2,C100:N100)),IF(R4&lt;7,SUMPRODUCT((B102:B107=R4)*(C92:N92=G2)*(C102:N107)),SUMIF(C92:N92,G2,C109:N109))),4)</f>
        <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f>ROUND(IF(G3&gt;1,IF(R5&lt;7,SUMPRODUCT((B93:B98=R5)*(C92:N92=G2)*(C93:N98)),SUMIF(C92:N92,G2,C100:N100)),IF(R5&lt;7,SUMPRODUCT((B102:B107=R5)*(C92:N92=G2)*(C102:N107)),SUMIF(C92:N92,G2,C109:N109))),4)</f>
        <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f>ROUND(IF(G3&gt;1,IF(R6&lt;7,SUMPRODUCT((B93:B98=R6)*(C92:N92=G2)*(C93:N98)),SUMIF(C92:N92,G2,C100:N100)),IF(R6&lt;7,SUMPRODUCT((B102:B107=R6)*(C92:N92=G2)*(C102:N107)),SUMIF(C92:N92,G2,C109:N109))),4)</f>
        <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703"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f>ROUND(IF(G3&gt;1,IF(R7&lt;7,SUMPRODUCT((B93:B98=R7)*(C92:N92=G2)*(C93:N98)),SUMIF(C92:N92,G2,C100:N100)),IF(R7&lt;7,SUMPRODUCT((B102:B107=R7)*(C92:N92=G2)*(C102:N107)),SUMIF(C92:N92,G2,C109:N109))),4)</f>
        <v>0</v>
      </c>
      <c r="T7" s="2591" t="e">
        <f t="shared" si="0"/>
        <v>#DIV/0!</v>
      </c>
      <c r="U7" s="2580"/>
      <c r="V7" s="2591" t="e">
        <f t="shared" si="1"/>
        <v>#DIV/0!</v>
      </c>
      <c r="W7" s="2589" t="s">
        <v>2663</v>
      </c>
      <c r="X7" s="2581">
        <f>G2</f>
        <v>0</v>
      </c>
      <c r="Y7" s="2581" t="s">
        <v>2664</v>
      </c>
      <c r="Z7" s="2582">
        <f>G3</f>
        <v>4</v>
      </c>
      <c r="AA7" s="2042"/>
      <c r="AB7" s="2042"/>
      <c r="AC7" s="2043"/>
      <c r="AD7" s="2583"/>
      <c r="AE7" s="2583"/>
      <c r="AF7" s="2583"/>
      <c r="AG7" s="2583"/>
      <c r="AH7" s="2583"/>
      <c r="AI7" s="2583"/>
      <c r="AJ7" s="2584"/>
    </row>
    <row r="8" spans="1:39" ht="15">
      <c r="A8" s="3704"/>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690" t="s">
        <v>2681</v>
      </c>
      <c r="X8" s="3691"/>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704"/>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689"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704"/>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689"/>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704"/>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689" t="s">
        <v>2679</v>
      </c>
      <c r="X11" s="1016" t="s">
        <v>2664</v>
      </c>
      <c r="Y11" s="1553">
        <f>$G$3</f>
        <v>4</v>
      </c>
      <c r="Z11" s="1553">
        <f t="shared" ref="Z11:AJ11" si="3">$G$3</f>
        <v>4</v>
      </c>
      <c r="AA11" s="1553">
        <f t="shared" si="3"/>
        <v>4</v>
      </c>
      <c r="AB11" s="1553">
        <f t="shared" si="3"/>
        <v>4</v>
      </c>
      <c r="AC11" s="1553">
        <f t="shared" si="3"/>
        <v>4</v>
      </c>
      <c r="AD11" s="1553">
        <f t="shared" si="3"/>
        <v>4</v>
      </c>
      <c r="AE11" s="1553">
        <f t="shared" si="3"/>
        <v>4</v>
      </c>
      <c r="AF11" s="1553">
        <f t="shared" si="3"/>
        <v>4</v>
      </c>
      <c r="AG11" s="1553">
        <f t="shared" si="3"/>
        <v>4</v>
      </c>
      <c r="AH11" s="1553">
        <f t="shared" si="3"/>
        <v>4</v>
      </c>
      <c r="AI11" s="1553">
        <f t="shared" si="3"/>
        <v>4</v>
      </c>
      <c r="AJ11" s="1553">
        <f t="shared" si="3"/>
        <v>4</v>
      </c>
    </row>
    <row r="12" spans="1:39" ht="25.5" thickBot="1">
      <c r="A12" s="3703"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689"/>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705"/>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689"/>
      <c r="X13" s="2588"/>
      <c r="Y13" s="2587">
        <f>(-0.163*(Y12^2)-0.59*Y12+7617)*(10^(-4))/Y11</f>
        <v>0.19042500000000001</v>
      </c>
      <c r="Z13" s="2587">
        <f t="shared" ref="Z13:AJ13" si="5">(-0.163*(Z12^2)-0.59*Z12+7617)*(10^(-4))/Z11</f>
        <v>0.19042500000000001</v>
      </c>
      <c r="AA13" s="2587">
        <f t="shared" si="5"/>
        <v>0.19042500000000001</v>
      </c>
      <c r="AB13" s="2587">
        <f t="shared" si="5"/>
        <v>0.19042500000000001</v>
      </c>
      <c r="AC13" s="2587">
        <f t="shared" si="5"/>
        <v>0.19042500000000001</v>
      </c>
      <c r="AD13" s="2587">
        <f t="shared" si="5"/>
        <v>0.19042500000000001</v>
      </c>
      <c r="AE13" s="2587">
        <f t="shared" si="5"/>
        <v>0.19042500000000001</v>
      </c>
      <c r="AF13" s="2587">
        <f t="shared" si="5"/>
        <v>0.19042500000000001</v>
      </c>
      <c r="AG13" s="2587">
        <f t="shared" si="5"/>
        <v>0.19042500000000001</v>
      </c>
      <c r="AH13" s="2587">
        <f t="shared" si="5"/>
        <v>0.19042500000000001</v>
      </c>
      <c r="AI13" s="2587">
        <f t="shared" si="5"/>
        <v>0.19042500000000001</v>
      </c>
      <c r="AJ13" s="2587">
        <f t="shared" si="5"/>
        <v>0.19042500000000001</v>
      </c>
    </row>
    <row r="14" spans="1:39" ht="12.75" customHeight="1">
      <c r="A14" s="3705"/>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706"/>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703" t="s">
        <v>1818</v>
      </c>
      <c r="B16" s="1348" t="s">
        <v>930</v>
      </c>
      <c r="C16" s="1020" t="e">
        <f>ROUND(IF(F17="与级别开发程度一致",0,(G17-E17)/C17),0)</f>
        <v>#DIV/0!</v>
      </c>
      <c r="D16" s="3697" t="s">
        <v>934</v>
      </c>
      <c r="E16" s="3698"/>
      <c r="F16" s="3697" t="s">
        <v>931</v>
      </c>
      <c r="G16" s="3698"/>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707"/>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44580</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9"/>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9"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700"/>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700"/>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700"/>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700"/>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701"/>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701"/>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708" t="s">
        <v>1613</v>
      </c>
      <c r="B90" s="3708"/>
      <c r="C90" s="3708"/>
      <c r="D90" s="3708"/>
      <c r="E90" s="3708"/>
      <c r="F90" s="3708"/>
      <c r="G90" s="3708"/>
      <c r="H90" s="3708"/>
      <c r="I90" s="3708"/>
      <c r="J90" s="3708"/>
      <c r="K90" s="2274"/>
      <c r="L90" s="2274"/>
      <c r="M90" s="2274"/>
      <c r="N90" s="2274"/>
    </row>
    <row r="91" spans="1:40">
      <c r="A91" s="3709" t="s">
        <v>1423</v>
      </c>
      <c r="B91" s="3709" t="s">
        <v>1614</v>
      </c>
      <c r="C91" s="1104" t="s">
        <v>1615</v>
      </c>
      <c r="D91" s="1105"/>
      <c r="E91" s="1105"/>
      <c r="F91" s="1105"/>
      <c r="G91" s="1105"/>
      <c r="H91" s="1105"/>
      <c r="I91" s="1105"/>
      <c r="J91" s="1106"/>
      <c r="K91" s="1098"/>
      <c r="L91" s="1098"/>
      <c r="M91" s="1098"/>
      <c r="N91" s="1098"/>
    </row>
    <row r="92" spans="1:40">
      <c r="A92" s="3709"/>
      <c r="B92" s="3709"/>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692"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3"/>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3"/>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3"/>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3"/>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3"/>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3"/>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94"/>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92" t="s">
        <v>1617</v>
      </c>
      <c r="B101" s="1111" t="s">
        <v>886</v>
      </c>
      <c r="C101" s="1112">
        <f>$G$3</f>
        <v>4</v>
      </c>
      <c r="D101" s="1112">
        <f t="shared" ref="D101:N101" si="31">$G$3</f>
        <v>4</v>
      </c>
      <c r="E101" s="1112">
        <f t="shared" si="31"/>
        <v>4</v>
      </c>
      <c r="F101" s="1112">
        <f t="shared" si="31"/>
        <v>4</v>
      </c>
      <c r="G101" s="1112">
        <f t="shared" si="31"/>
        <v>4</v>
      </c>
      <c r="H101" s="1112">
        <f t="shared" si="31"/>
        <v>4</v>
      </c>
      <c r="I101" s="1112">
        <f t="shared" si="31"/>
        <v>4</v>
      </c>
      <c r="J101" s="1112">
        <f t="shared" si="31"/>
        <v>4</v>
      </c>
      <c r="K101" s="1112">
        <f t="shared" si="31"/>
        <v>4</v>
      </c>
      <c r="L101" s="1112">
        <f t="shared" si="31"/>
        <v>4</v>
      </c>
      <c r="M101" s="1112">
        <f t="shared" si="31"/>
        <v>4</v>
      </c>
      <c r="N101" s="1112">
        <f t="shared" si="31"/>
        <v>4</v>
      </c>
    </row>
    <row r="102" spans="1:14">
      <c r="A102" s="3693"/>
      <c r="B102" s="1107">
        <v>1</v>
      </c>
      <c r="C102" s="1108">
        <f>1.9362/C101</f>
        <v>0.48404999999999998</v>
      </c>
      <c r="D102" s="1108">
        <f>1.9362/D101</f>
        <v>0.48404999999999998</v>
      </c>
      <c r="E102" s="1108">
        <f>1.8629/E101</f>
        <v>0.465725</v>
      </c>
      <c r="F102" s="1108">
        <f>1.8629/F101</f>
        <v>0.465725</v>
      </c>
      <c r="G102" s="1108">
        <f>1.8629/G101</f>
        <v>0.465725</v>
      </c>
      <c r="H102" s="1108">
        <f>1.8629/H101</f>
        <v>0.465725</v>
      </c>
      <c r="I102" s="1108">
        <f>1.8629/I101</f>
        <v>0.465725</v>
      </c>
      <c r="J102" s="1108">
        <f>1.942/J101</f>
        <v>0.48549999999999999</v>
      </c>
      <c r="K102" s="1108">
        <f>1.942/K101</f>
        <v>0.48549999999999999</v>
      </c>
      <c r="L102" s="1108">
        <f>1.942/L101</f>
        <v>0.48549999999999999</v>
      </c>
      <c r="M102" s="1108">
        <f>1.942/M101</f>
        <v>0.48549999999999999</v>
      </c>
      <c r="N102" s="1108">
        <f>1.942/N101</f>
        <v>0.48549999999999999</v>
      </c>
    </row>
    <row r="103" spans="1:14">
      <c r="A103" s="3693"/>
      <c r="B103" s="1107">
        <v>2</v>
      </c>
      <c r="C103" s="1108">
        <f>1.4198/C101</f>
        <v>0.35494999999999999</v>
      </c>
      <c r="D103" s="1108">
        <f>1.4198/D101</f>
        <v>0.35494999999999999</v>
      </c>
      <c r="E103" s="1108">
        <f>1.3372/E101</f>
        <v>0.33429999999999999</v>
      </c>
      <c r="F103" s="1108">
        <f>1.3372/F101</f>
        <v>0.33429999999999999</v>
      </c>
      <c r="G103" s="1108">
        <f>1.3372/G101</f>
        <v>0.33429999999999999</v>
      </c>
      <c r="H103" s="1108">
        <f>1.3372/H101</f>
        <v>0.33429999999999999</v>
      </c>
      <c r="I103" s="1108">
        <f>1.3372/I101</f>
        <v>0.33429999999999999</v>
      </c>
      <c r="J103" s="1108">
        <f>1.2799/J101</f>
        <v>0.31997500000000001</v>
      </c>
      <c r="K103" s="1108">
        <f>1.2799/K101</f>
        <v>0.31997500000000001</v>
      </c>
      <c r="L103" s="1108">
        <f>1.2799/L101</f>
        <v>0.31997500000000001</v>
      </c>
      <c r="M103" s="1108">
        <f>1.2799/M101</f>
        <v>0.31997500000000001</v>
      </c>
      <c r="N103" s="1108">
        <f>1.2799/N101</f>
        <v>0.31997500000000001</v>
      </c>
    </row>
    <row r="104" spans="1:14">
      <c r="A104" s="3693"/>
      <c r="B104" s="1107">
        <v>3</v>
      </c>
      <c r="C104" s="1108">
        <f>1.1594/C101</f>
        <v>0.28985</v>
      </c>
      <c r="D104" s="1108">
        <f>1.1594/D101</f>
        <v>0.28985</v>
      </c>
      <c r="E104" s="1108">
        <f>1.0788/E101</f>
        <v>0.2697</v>
      </c>
      <c r="F104" s="1108">
        <f>1.0788/F101</f>
        <v>0.2697</v>
      </c>
      <c r="G104" s="1108">
        <f>1.0788/G101</f>
        <v>0.2697</v>
      </c>
      <c r="H104" s="1108">
        <f>1.0788/H101</f>
        <v>0.2697</v>
      </c>
      <c r="I104" s="1108">
        <f>1.0788/I101</f>
        <v>0.2697</v>
      </c>
      <c r="J104" s="1108">
        <f>1.0072/J101</f>
        <v>0.25180000000000002</v>
      </c>
      <c r="K104" s="1108">
        <f>1.0072/K101</f>
        <v>0.25180000000000002</v>
      </c>
      <c r="L104" s="1108">
        <f>1.0072/L101</f>
        <v>0.25180000000000002</v>
      </c>
      <c r="M104" s="1108">
        <f>1.0072/M101</f>
        <v>0.25180000000000002</v>
      </c>
      <c r="N104" s="1108">
        <f>1.0072/N101</f>
        <v>0.25180000000000002</v>
      </c>
    </row>
    <row r="105" spans="1:14">
      <c r="A105" s="3693"/>
      <c r="B105" s="1107">
        <v>4</v>
      </c>
      <c r="C105" s="1108">
        <f>0.9622/C101</f>
        <v>0.24055000000000001</v>
      </c>
      <c r="D105" s="1108">
        <f>0.9622/D101</f>
        <v>0.24055000000000001</v>
      </c>
      <c r="E105" s="1108">
        <f>0.8656/E101</f>
        <v>0.21640000000000001</v>
      </c>
      <c r="F105" s="1108">
        <f>0.8656/F101</f>
        <v>0.21640000000000001</v>
      </c>
      <c r="G105" s="1108">
        <f>0.8656/G101</f>
        <v>0.21640000000000001</v>
      </c>
      <c r="H105" s="1108">
        <f>0.8656/H101</f>
        <v>0.21640000000000001</v>
      </c>
      <c r="I105" s="1108">
        <f>0.8656/I101</f>
        <v>0.21640000000000001</v>
      </c>
      <c r="J105" s="1108">
        <f>0.7525/J101</f>
        <v>0.18812499999999999</v>
      </c>
      <c r="K105" s="1108">
        <f>0.7525/K101</f>
        <v>0.18812499999999999</v>
      </c>
      <c r="L105" s="1108">
        <f>0.7525/L101</f>
        <v>0.18812499999999999</v>
      </c>
      <c r="M105" s="1108">
        <f>0.7525/M101</f>
        <v>0.18812499999999999</v>
      </c>
      <c r="N105" s="1108">
        <f>0.7525/N101</f>
        <v>0.18812499999999999</v>
      </c>
    </row>
    <row r="106" spans="1:14">
      <c r="A106" s="3693"/>
      <c r="B106" s="1107">
        <v>5</v>
      </c>
      <c r="C106" s="1108">
        <f>0.8417/C101</f>
        <v>0.210425</v>
      </c>
      <c r="D106" s="1108">
        <f>0.8417/D101</f>
        <v>0.210425</v>
      </c>
      <c r="E106" s="1108">
        <f>0.7371/E101</f>
        <v>0.18427499999999999</v>
      </c>
      <c r="F106" s="1108">
        <f>0.7371/F101</f>
        <v>0.18427499999999999</v>
      </c>
      <c r="G106" s="1108">
        <f>0.7371/G101</f>
        <v>0.18427499999999999</v>
      </c>
      <c r="H106" s="1108">
        <f>0.7371/H101</f>
        <v>0.18427499999999999</v>
      </c>
      <c r="I106" s="1108">
        <f>0.7371/I101</f>
        <v>0.18427499999999999</v>
      </c>
      <c r="J106" s="1108">
        <f>0.5659/J101</f>
        <v>0.14147499999999999</v>
      </c>
      <c r="K106" s="1108">
        <f>0.5659/K101</f>
        <v>0.14147499999999999</v>
      </c>
      <c r="L106" s="1108">
        <f>0.5659/L101</f>
        <v>0.14147499999999999</v>
      </c>
      <c r="M106" s="1108">
        <f>0.5659/M101</f>
        <v>0.14147499999999999</v>
      </c>
      <c r="N106" s="1108">
        <f>0.5659/N101</f>
        <v>0.14147499999999999</v>
      </c>
    </row>
    <row r="107" spans="1:14">
      <c r="A107" s="3693"/>
      <c r="B107" s="1107">
        <v>6</v>
      </c>
      <c r="C107" s="1108">
        <f>0.7608/C101</f>
        <v>0.19020000000000001</v>
      </c>
      <c r="D107" s="1108">
        <f>0.7608/D101</f>
        <v>0.19020000000000001</v>
      </c>
      <c r="E107" s="1108">
        <f>0.6482/E101</f>
        <v>0.16205</v>
      </c>
      <c r="F107" s="1108">
        <f>0.6482/F101</f>
        <v>0.16205</v>
      </c>
      <c r="G107" s="1108">
        <f>0.6482/G101</f>
        <v>0.16205</v>
      </c>
      <c r="H107" s="1108">
        <f>0.6482/H101</f>
        <v>0.16205</v>
      </c>
      <c r="I107" s="1108">
        <f>0.6482/I101</f>
        <v>0.16205</v>
      </c>
      <c r="J107" s="1108">
        <f>0.4525/J101</f>
        <v>0.113125</v>
      </c>
      <c r="K107" s="1108">
        <f>0.4525/K101</f>
        <v>0.113125</v>
      </c>
      <c r="L107" s="1108">
        <f>0.4525/L101</f>
        <v>0.113125</v>
      </c>
      <c r="M107" s="1108">
        <f>0.4525/M101</f>
        <v>0.113125</v>
      </c>
      <c r="N107" s="1108">
        <f>0.4525/N101</f>
        <v>0.113125</v>
      </c>
    </row>
    <row r="108" spans="1:14">
      <c r="A108" s="3693"/>
      <c r="B108" s="3695"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94"/>
      <c r="B109" s="3696"/>
      <c r="C109" s="1110">
        <f>(-0.163*(C108^2)-0.59*C108+7617)*(10^(-4))/C101</f>
        <v>0.1900462</v>
      </c>
      <c r="D109" s="1110">
        <f>(-0.163*(D108^2)-0.59*D108+7617)*(10^(-4))/D101</f>
        <v>0.1900462</v>
      </c>
      <c r="E109" s="1110">
        <f>(-0.161*(E108^2)-7.509*E108+6533)*(10^(-4))/E101</f>
        <v>0.1615656</v>
      </c>
      <c r="F109" s="1110">
        <f>(-0.161*(F108^2)-7.509*F108+6533)*(10^(-4))/F101</f>
        <v>0.1615656</v>
      </c>
      <c r="G109" s="1110">
        <f>(-0.161*(G108^2)-7.509*G108+6533)*(10^(-4))/G101</f>
        <v>0.1615656</v>
      </c>
      <c r="H109" s="1110">
        <f>(-0.161*(H108^2)-7.509*H108+6533)*(10^(-4))/H101</f>
        <v>0.1615656</v>
      </c>
      <c r="I109" s="1110">
        <f>(-0.161*(I108^2)-7.509*I108+6533)*(10^(-4))/I101</f>
        <v>0.1615656</v>
      </c>
      <c r="J109" s="1110">
        <f>(-0.214*(J108^2)-21.991*J108+4665)*(10^(-4))/J101</f>
        <v>0.11188440000000001</v>
      </c>
      <c r="K109" s="1110">
        <f>(-0.214*(K108^2)-21.991*K108+4665)*(10^(-4))/K101</f>
        <v>0.11188440000000001</v>
      </c>
      <c r="L109" s="1110">
        <f>(-0.214*(L108^2)-21.991*L108+4665)*(10^(-4))/L101</f>
        <v>0.11188440000000001</v>
      </c>
      <c r="M109" s="1110">
        <f>(-0.214*(M108^2)-21.991*M108+4665)*(10^(-4))/M101</f>
        <v>0.11188440000000001</v>
      </c>
      <c r="N109" s="1110">
        <f>(-0.214*(N108^2)-21.991*N108+4665)*(10^(-4))/N101</f>
        <v>0.11188440000000001</v>
      </c>
    </row>
    <row r="110" spans="1:14">
      <c r="A110" s="3702" t="s">
        <v>1619</v>
      </c>
      <c r="B110" s="3702"/>
      <c r="C110" s="3702"/>
      <c r="D110" s="3702"/>
      <c r="E110" s="3702"/>
      <c r="F110" s="3702"/>
      <c r="G110" s="3702"/>
      <c r="H110" s="3702"/>
      <c r="I110" s="3702"/>
      <c r="J110" s="3702"/>
      <c r="K110" s="2272"/>
      <c r="L110" s="2272"/>
      <c r="M110" s="2272"/>
      <c r="N110" s="2272"/>
    </row>
    <row r="112" spans="1:14" ht="12.75" thickBot="1"/>
    <row r="113" spans="1:13" ht="25.5" thickBot="1">
      <c r="A113" s="984" t="s">
        <v>876</v>
      </c>
      <c r="B113" s="2275">
        <f>G3</f>
        <v>4</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881</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882</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883</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709" t="s">
        <v>987</v>
      </c>
      <c r="B18" s="1118" t="s">
        <v>1426</v>
      </c>
      <c r="C18" s="1095" t="s">
        <v>1427</v>
      </c>
      <c r="D18" s="1096"/>
      <c r="E18" s="1118">
        <v>1</v>
      </c>
      <c r="F18" s="1097" t="s">
        <v>1428</v>
      </c>
      <c r="G18" s="1098"/>
      <c r="H18" s="1069"/>
      <c r="I18" s="1069"/>
    </row>
    <row r="19" spans="1:9" s="1502" customFormat="1" ht="19.5" customHeight="1">
      <c r="A19" s="3709"/>
      <c r="B19" s="3709" t="s">
        <v>1429</v>
      </c>
      <c r="C19" s="1095" t="s">
        <v>1430</v>
      </c>
      <c r="D19" s="1096"/>
      <c r="E19" s="1118">
        <v>0.9</v>
      </c>
      <c r="F19" s="1097" t="s">
        <v>1431</v>
      </c>
      <c r="G19" s="1098"/>
      <c r="H19" s="1069"/>
      <c r="I19" s="1069"/>
    </row>
    <row r="20" spans="1:9" s="1502" customFormat="1" ht="19.5" customHeight="1">
      <c r="A20" s="3709"/>
      <c r="B20" s="3709"/>
      <c r="C20" s="1095" t="s">
        <v>1432</v>
      </c>
      <c r="D20" s="1096"/>
      <c r="E20" s="1118">
        <v>1.1000000000000001</v>
      </c>
      <c r="F20" s="1097" t="s">
        <v>1433</v>
      </c>
      <c r="G20" s="1098"/>
      <c r="H20" s="1069"/>
      <c r="I20" s="1069"/>
    </row>
    <row r="21" spans="1:9" s="1502" customFormat="1" ht="19.5" customHeight="1">
      <c r="A21" s="3709"/>
      <c r="B21" s="3709"/>
      <c r="C21" s="1095" t="s">
        <v>1434</v>
      </c>
      <c r="D21" s="1096"/>
      <c r="E21" s="1118">
        <v>0.8</v>
      </c>
      <c r="F21" s="1097" t="s">
        <v>1435</v>
      </c>
      <c r="G21" s="1098"/>
      <c r="H21" s="1069"/>
      <c r="I21" s="1069"/>
    </row>
    <row r="22" spans="1:9" s="1502" customFormat="1" ht="19.5" customHeight="1">
      <c r="A22" s="3709"/>
      <c r="B22" s="3709"/>
      <c r="C22" s="1095" t="s">
        <v>1436</v>
      </c>
      <c r="D22" s="1096"/>
      <c r="E22" s="1118">
        <v>0.5</v>
      </c>
      <c r="F22" s="1097"/>
      <c r="G22" s="1098"/>
      <c r="H22" s="1069"/>
      <c r="I22" s="1069"/>
    </row>
    <row r="23" spans="1:9" s="1502" customFormat="1" ht="19.5" customHeight="1">
      <c r="A23" s="3709" t="s">
        <v>1009</v>
      </c>
      <c r="B23" s="1118" t="s">
        <v>1426</v>
      </c>
      <c r="C23" s="1095" t="s">
        <v>1437</v>
      </c>
      <c r="D23" s="1096"/>
      <c r="E23" s="1118">
        <v>1</v>
      </c>
      <c r="F23" s="1097" t="s">
        <v>1438</v>
      </c>
      <c r="G23" s="1098"/>
      <c r="H23" s="1069"/>
      <c r="I23" s="1069"/>
    </row>
    <row r="24" spans="1:9" s="1502" customFormat="1" ht="19.5" customHeight="1">
      <c r="A24" s="3709"/>
      <c r="B24" s="3709" t="s">
        <v>1429</v>
      </c>
      <c r="C24" s="1095" t="s">
        <v>1439</v>
      </c>
      <c r="D24" s="1096"/>
      <c r="E24" s="1118">
        <v>0.5</v>
      </c>
      <c r="F24" s="1097"/>
      <c r="G24" s="1098"/>
      <c r="H24" s="1069"/>
      <c r="I24" s="1069"/>
    </row>
    <row r="25" spans="1:9" s="1502" customFormat="1" ht="19.5" customHeight="1">
      <c r="A25" s="3709"/>
      <c r="B25" s="3709"/>
      <c r="C25" s="1095" t="s">
        <v>1440</v>
      </c>
      <c r="D25" s="1096"/>
      <c r="E25" s="1118">
        <v>1.1000000000000001</v>
      </c>
      <c r="F25" s="1097"/>
      <c r="G25" s="1098"/>
      <c r="H25" s="1069"/>
      <c r="I25" s="1069"/>
    </row>
    <row r="26" spans="1:9" s="1502" customFormat="1" ht="19.5" customHeight="1">
      <c r="A26" s="3709"/>
      <c r="B26" s="3709"/>
      <c r="C26" s="1095" t="s">
        <v>1441</v>
      </c>
      <c r="D26" s="1096"/>
      <c r="E26" s="1118">
        <v>1.1000000000000001</v>
      </c>
      <c r="F26" s="1097"/>
      <c r="G26" s="1098"/>
      <c r="H26" s="1069"/>
      <c r="I26" s="1069"/>
    </row>
    <row r="27" spans="1:9" s="1502" customFormat="1" ht="19.5" customHeight="1">
      <c r="A27" s="3709"/>
      <c r="B27" s="3709"/>
      <c r="C27" s="1095" t="s">
        <v>1442</v>
      </c>
      <c r="D27" s="1096"/>
      <c r="E27" s="1118">
        <v>0.9</v>
      </c>
      <c r="F27" s="1097" t="s">
        <v>1443</v>
      </c>
      <c r="G27" s="1098"/>
      <c r="H27" s="1069"/>
      <c r="I27" s="1069"/>
    </row>
    <row r="28" spans="1:9" s="1502" customFormat="1" ht="19.5" customHeight="1">
      <c r="A28" s="3709"/>
      <c r="B28" s="3709"/>
      <c r="C28" s="1095" t="s">
        <v>1444</v>
      </c>
      <c r="D28" s="1096"/>
      <c r="E28" s="1118">
        <v>0.9</v>
      </c>
      <c r="F28" s="1097" t="s">
        <v>1445</v>
      </c>
      <c r="G28" s="1098"/>
      <c r="H28" s="1069"/>
      <c r="I28" s="1069"/>
    </row>
    <row r="29" spans="1:9" s="1502" customFormat="1" ht="19.5" customHeight="1">
      <c r="A29" s="3709"/>
      <c r="B29" s="3709"/>
      <c r="C29" s="1095" t="s">
        <v>1446</v>
      </c>
      <c r="D29" s="1096"/>
      <c r="E29" s="1118">
        <v>0.9</v>
      </c>
      <c r="F29" s="1097" t="s">
        <v>1447</v>
      </c>
      <c r="G29" s="1098"/>
      <c r="H29" s="1069"/>
      <c r="I29" s="1069"/>
    </row>
    <row r="30" spans="1:9" s="1502" customFormat="1" ht="19.5" customHeight="1">
      <c r="A30" s="3709"/>
      <c r="B30" s="3709"/>
      <c r="C30" s="1095" t="s">
        <v>1448</v>
      </c>
      <c r="D30" s="1096"/>
      <c r="E30" s="1118">
        <v>0.9</v>
      </c>
      <c r="F30" s="1097" t="s">
        <v>1449</v>
      </c>
      <c r="G30" s="1098"/>
      <c r="H30" s="1069"/>
      <c r="I30" s="1069"/>
    </row>
    <row r="31" spans="1:9" s="1502" customFormat="1" ht="19.5" customHeight="1">
      <c r="A31" s="3709"/>
      <c r="B31" s="3709"/>
      <c r="C31" s="1095" t="s">
        <v>1450</v>
      </c>
      <c r="D31" s="1096"/>
      <c r="E31" s="1118">
        <v>0.8</v>
      </c>
      <c r="F31" s="1097" t="s">
        <v>1451</v>
      </c>
      <c r="G31" s="1098"/>
      <c r="H31" s="1069"/>
      <c r="I31" s="1069"/>
    </row>
    <row r="32" spans="1:9" s="1502" customFormat="1" ht="19.5" customHeight="1">
      <c r="A32" s="3709"/>
      <c r="B32" s="3709"/>
      <c r="C32" s="1095" t="s">
        <v>1452</v>
      </c>
      <c r="D32" s="1096"/>
      <c r="E32" s="1118">
        <v>0.8</v>
      </c>
      <c r="F32" s="1097" t="s">
        <v>1453</v>
      </c>
      <c r="G32" s="1098"/>
      <c r="H32" s="1069"/>
      <c r="I32" s="1069"/>
    </row>
    <row r="33" spans="1:9" s="1502" customFormat="1" ht="19.5" customHeight="1">
      <c r="A33" s="3709" t="s">
        <v>1454</v>
      </c>
      <c r="B33" s="1118" t="s">
        <v>1426</v>
      </c>
      <c r="C33" s="1095" t="s">
        <v>1455</v>
      </c>
      <c r="D33" s="1096"/>
      <c r="E33" s="1118">
        <v>1</v>
      </c>
      <c r="F33" s="1097" t="s">
        <v>1456</v>
      </c>
      <c r="G33" s="1098"/>
      <c r="H33" s="1069"/>
      <c r="I33" s="1069"/>
    </row>
    <row r="34" spans="1:9" s="1502" customFormat="1" ht="19.5" customHeight="1">
      <c r="A34" s="3709"/>
      <c r="B34" s="1118" t="s">
        <v>1429</v>
      </c>
      <c r="C34" s="1095" t="s">
        <v>1457</v>
      </c>
      <c r="D34" s="1096"/>
      <c r="E34" s="1118">
        <v>1.5</v>
      </c>
      <c r="F34" s="1097" t="s">
        <v>1458</v>
      </c>
      <c r="G34" s="1098"/>
      <c r="H34" s="1069"/>
      <c r="I34" s="1069"/>
    </row>
    <row r="35" spans="1:9" s="1502" customFormat="1" ht="19.5" customHeight="1">
      <c r="A35" s="3709" t="s">
        <v>1412</v>
      </c>
      <c r="B35" s="1118" t="s">
        <v>1426</v>
      </c>
      <c r="C35" s="1095" t="s">
        <v>1459</v>
      </c>
      <c r="D35" s="1096"/>
      <c r="E35" s="1118">
        <v>1</v>
      </c>
      <c r="F35" s="1097" t="s">
        <v>1460</v>
      </c>
      <c r="G35" s="1098"/>
      <c r="H35" s="1069"/>
      <c r="I35" s="1069"/>
    </row>
    <row r="36" spans="1:9" s="1502" customFormat="1" ht="19.5" customHeight="1">
      <c r="A36" s="3709"/>
      <c r="B36" s="3709" t="s">
        <v>1429</v>
      </c>
      <c r="C36" s="1095" t="s">
        <v>1461</v>
      </c>
      <c r="D36" s="1096"/>
      <c r="E36" s="1118">
        <v>1</v>
      </c>
      <c r="F36" s="1097" t="s">
        <v>1462</v>
      </c>
      <c r="G36" s="1098"/>
      <c r="H36" s="1069"/>
      <c r="I36" s="1069"/>
    </row>
    <row r="37" spans="1:9" s="1502" customFormat="1" ht="19.5" customHeight="1">
      <c r="A37" s="3709"/>
      <c r="B37" s="3709"/>
      <c r="C37" s="1095" t="s">
        <v>1463</v>
      </c>
      <c r="D37" s="1096"/>
      <c r="E37" s="1118">
        <v>1.5</v>
      </c>
      <c r="F37" s="1097" t="s">
        <v>1464</v>
      </c>
      <c r="G37" s="1098"/>
      <c r="H37" s="1069"/>
      <c r="I37" s="1069"/>
    </row>
    <row r="38" spans="1:9" s="1502" customFormat="1" ht="19.5" customHeight="1">
      <c r="A38" s="3709"/>
      <c r="B38" s="3709"/>
      <c r="C38" s="1095" t="s">
        <v>1465</v>
      </c>
      <c r="D38" s="1096"/>
      <c r="E38" s="1118">
        <v>1</v>
      </c>
      <c r="F38" s="1097" t="s">
        <v>1466</v>
      </c>
      <c r="G38" s="1098"/>
      <c r="H38" s="1069"/>
      <c r="I38" s="1069"/>
    </row>
    <row r="39" spans="1:9" s="1502" customFormat="1" ht="19.5" customHeight="1">
      <c r="A39" s="3709"/>
      <c r="B39" s="3709"/>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709" t="s">
        <v>1481</v>
      </c>
      <c r="C61" s="1032" t="s">
        <v>1482</v>
      </c>
      <c r="D61" s="1032" t="s">
        <v>1483</v>
      </c>
      <c r="E61" s="1103">
        <v>0.5</v>
      </c>
      <c r="F61" s="1118">
        <v>80</v>
      </c>
      <c r="H61" s="1069">
        <f>SUMIF(C59:C119,基准地价!C8,E59:E119)</f>
        <v>0</v>
      </c>
    </row>
    <row r="62" spans="1:8" s="1069" customFormat="1" ht="24">
      <c r="A62" s="1118">
        <v>2</v>
      </c>
      <c r="B62" s="3709"/>
      <c r="C62" s="1032" t="s">
        <v>1484</v>
      </c>
      <c r="D62" s="1032" t="s">
        <v>1485</v>
      </c>
      <c r="E62" s="1103">
        <v>0.5</v>
      </c>
      <c r="F62" s="1118">
        <v>80</v>
      </c>
    </row>
    <row r="63" spans="1:8" s="1069" customFormat="1" ht="36">
      <c r="A63" s="1118">
        <v>3</v>
      </c>
      <c r="B63" s="3709"/>
      <c r="C63" s="1032" t="s">
        <v>1486</v>
      </c>
      <c r="D63" s="1032" t="s">
        <v>1487</v>
      </c>
      <c r="E63" s="1103">
        <v>0.5</v>
      </c>
      <c r="F63" s="1118">
        <v>80</v>
      </c>
    </row>
    <row r="64" spans="1:8" s="1069" customFormat="1" ht="36">
      <c r="A64" s="1118">
        <v>4</v>
      </c>
      <c r="B64" s="3709"/>
      <c r="C64" s="1032" t="s">
        <v>1488</v>
      </c>
      <c r="D64" s="1032" t="s">
        <v>1489</v>
      </c>
      <c r="E64" s="1103">
        <v>0.4</v>
      </c>
      <c r="F64" s="1118">
        <v>60</v>
      </c>
    </row>
    <row r="65" spans="1:6" s="1069" customFormat="1" ht="36">
      <c r="A65" s="1118">
        <v>5</v>
      </c>
      <c r="B65" s="3709"/>
      <c r="C65" s="1032" t="s">
        <v>1490</v>
      </c>
      <c r="D65" s="1032" t="s">
        <v>1491</v>
      </c>
      <c r="E65" s="1103">
        <v>0.2</v>
      </c>
      <c r="F65" s="1118">
        <v>30</v>
      </c>
    </row>
    <row r="66" spans="1:6" s="1069" customFormat="1" ht="36">
      <c r="A66" s="1118">
        <v>6</v>
      </c>
      <c r="B66" s="3709"/>
      <c r="C66" s="1032" t="s">
        <v>1492</v>
      </c>
      <c r="D66" s="1032" t="s">
        <v>1493</v>
      </c>
      <c r="E66" s="1103">
        <v>0.3</v>
      </c>
      <c r="F66" s="1118">
        <v>50</v>
      </c>
    </row>
    <row r="67" spans="1:6" s="1069" customFormat="1" ht="36">
      <c r="A67" s="1118">
        <v>7</v>
      </c>
      <c r="B67" s="3709"/>
      <c r="C67" s="1032" t="s">
        <v>1494</v>
      </c>
      <c r="D67" s="1032" t="s">
        <v>1495</v>
      </c>
      <c r="E67" s="1103">
        <v>0.2</v>
      </c>
      <c r="F67" s="1118">
        <v>30</v>
      </c>
    </row>
    <row r="68" spans="1:6" s="1069" customFormat="1" ht="36">
      <c r="A68" s="1118">
        <v>8</v>
      </c>
      <c r="B68" s="3709"/>
      <c r="C68" s="1032" t="s">
        <v>1496</v>
      </c>
      <c r="D68" s="1032" t="s">
        <v>1497</v>
      </c>
      <c r="E68" s="1103">
        <v>0.2</v>
      </c>
      <c r="F68" s="1118">
        <v>30</v>
      </c>
    </row>
    <row r="69" spans="1:6" s="1069" customFormat="1" ht="36">
      <c r="A69" s="1118">
        <v>9</v>
      </c>
      <c r="B69" s="3709"/>
      <c r="C69" s="1032" t="s">
        <v>1498</v>
      </c>
      <c r="D69" s="1032" t="s">
        <v>1499</v>
      </c>
      <c r="E69" s="1103">
        <v>0.2</v>
      </c>
      <c r="F69" s="1118">
        <v>30</v>
      </c>
    </row>
    <row r="70" spans="1:6" s="1069" customFormat="1" ht="48">
      <c r="A70" s="1118">
        <v>10</v>
      </c>
      <c r="B70" s="3709"/>
      <c r="C70" s="1032" t="s">
        <v>1500</v>
      </c>
      <c r="D70" s="1032" t="s">
        <v>1501</v>
      </c>
      <c r="E70" s="1103">
        <v>0.2</v>
      </c>
      <c r="F70" s="1118">
        <v>30</v>
      </c>
    </row>
    <row r="71" spans="1:6" s="1069" customFormat="1" ht="48">
      <c r="A71" s="1118">
        <v>11</v>
      </c>
      <c r="B71" s="3709"/>
      <c r="C71" s="1032" t="s">
        <v>1502</v>
      </c>
      <c r="D71" s="1032" t="s">
        <v>1503</v>
      </c>
      <c r="E71" s="1103">
        <v>0.2</v>
      </c>
      <c r="F71" s="1118">
        <v>30</v>
      </c>
    </row>
    <row r="72" spans="1:6" s="1069" customFormat="1" ht="36">
      <c r="A72" s="1118">
        <v>12</v>
      </c>
      <c r="B72" s="3709"/>
      <c r="C72" s="1032" t="s">
        <v>1504</v>
      </c>
      <c r="D72" s="1032" t="s">
        <v>1505</v>
      </c>
      <c r="E72" s="1103">
        <v>0.5</v>
      </c>
      <c r="F72" s="1118">
        <v>80</v>
      </c>
    </row>
    <row r="73" spans="1:6" s="1069" customFormat="1" ht="24">
      <c r="A73" s="1118">
        <v>13</v>
      </c>
      <c r="B73" s="3709"/>
      <c r="C73" s="1032" t="s">
        <v>1506</v>
      </c>
      <c r="D73" s="1032" t="s">
        <v>1507</v>
      </c>
      <c r="E73" s="1103">
        <v>0.4</v>
      </c>
      <c r="F73" s="1118">
        <v>60</v>
      </c>
    </row>
    <row r="74" spans="1:6" s="1069" customFormat="1" ht="24">
      <c r="A74" s="1118">
        <v>14</v>
      </c>
      <c r="B74" s="3709"/>
      <c r="C74" s="1032" t="s">
        <v>1508</v>
      </c>
      <c r="D74" s="1032" t="s">
        <v>1509</v>
      </c>
      <c r="E74" s="1103">
        <v>0.2</v>
      </c>
      <c r="F74" s="1118">
        <v>30</v>
      </c>
    </row>
    <row r="75" spans="1:6" s="1069" customFormat="1" ht="24">
      <c r="A75" s="1118">
        <v>15</v>
      </c>
      <c r="B75" s="3709"/>
      <c r="C75" s="1032" t="s">
        <v>1510</v>
      </c>
      <c r="D75" s="1032" t="s">
        <v>1511</v>
      </c>
      <c r="E75" s="1103">
        <v>0.2</v>
      </c>
      <c r="F75" s="1118">
        <v>30</v>
      </c>
    </row>
    <row r="76" spans="1:6" s="1069" customFormat="1" ht="24">
      <c r="A76" s="1118">
        <v>16</v>
      </c>
      <c r="B76" s="3709" t="s">
        <v>1512</v>
      </c>
      <c r="C76" s="1032" t="s">
        <v>1513</v>
      </c>
      <c r="D76" s="1032" t="s">
        <v>1514</v>
      </c>
      <c r="E76" s="1103">
        <v>0.5</v>
      </c>
      <c r="F76" s="1118">
        <v>80</v>
      </c>
    </row>
    <row r="77" spans="1:6" s="1069" customFormat="1" ht="24">
      <c r="A77" s="1118">
        <v>17</v>
      </c>
      <c r="B77" s="3709"/>
      <c r="C77" s="1032" t="s">
        <v>1515</v>
      </c>
      <c r="D77" s="1032" t="s">
        <v>1516</v>
      </c>
      <c r="E77" s="1103">
        <v>0.5</v>
      </c>
      <c r="F77" s="1118">
        <v>80</v>
      </c>
    </row>
    <row r="78" spans="1:6" s="1069" customFormat="1" ht="24">
      <c r="A78" s="1118">
        <v>18</v>
      </c>
      <c r="B78" s="3709"/>
      <c r="C78" s="1032" t="s">
        <v>1517</v>
      </c>
      <c r="D78" s="1032" t="s">
        <v>1518</v>
      </c>
      <c r="E78" s="1103">
        <v>0.2</v>
      </c>
      <c r="F78" s="1118">
        <v>30</v>
      </c>
    </row>
    <row r="79" spans="1:6" s="1069" customFormat="1" ht="24">
      <c r="A79" s="1118">
        <v>19</v>
      </c>
      <c r="B79" s="3709"/>
      <c r="C79" s="1032" t="s">
        <v>1519</v>
      </c>
      <c r="D79" s="1032" t="s">
        <v>1520</v>
      </c>
      <c r="E79" s="1103">
        <v>0.5</v>
      </c>
      <c r="F79" s="1118">
        <v>80</v>
      </c>
    </row>
    <row r="80" spans="1:6" s="1069" customFormat="1" ht="36">
      <c r="A80" s="1118">
        <v>20</v>
      </c>
      <c r="B80" s="3709"/>
      <c r="C80" s="1032" t="s">
        <v>1521</v>
      </c>
      <c r="D80" s="1032" t="s">
        <v>1522</v>
      </c>
      <c r="E80" s="1103">
        <v>0.2</v>
      </c>
      <c r="F80" s="1118">
        <v>30</v>
      </c>
    </row>
    <row r="81" spans="1:6" s="1069" customFormat="1" ht="36">
      <c r="A81" s="1118">
        <v>21</v>
      </c>
      <c r="B81" s="3709"/>
      <c r="C81" s="1032" t="s">
        <v>1523</v>
      </c>
      <c r="D81" s="1032" t="s">
        <v>1524</v>
      </c>
      <c r="E81" s="1103">
        <v>0.2</v>
      </c>
      <c r="F81" s="1118">
        <v>30</v>
      </c>
    </row>
    <row r="82" spans="1:6" s="1069" customFormat="1" ht="48">
      <c r="A82" s="1118">
        <v>22</v>
      </c>
      <c r="B82" s="3709"/>
      <c r="C82" s="1032" t="s">
        <v>1525</v>
      </c>
      <c r="D82" s="1032" t="s">
        <v>1526</v>
      </c>
      <c r="E82" s="1103">
        <v>0.2</v>
      </c>
      <c r="F82" s="1118">
        <v>30</v>
      </c>
    </row>
    <row r="83" spans="1:6" s="1069" customFormat="1" ht="48">
      <c r="A83" s="1118">
        <v>23</v>
      </c>
      <c r="B83" s="3709"/>
      <c r="C83" s="1032" t="s">
        <v>1527</v>
      </c>
      <c r="D83" s="1032" t="s">
        <v>1528</v>
      </c>
      <c r="E83" s="1103">
        <v>0.2</v>
      </c>
      <c r="F83" s="1118">
        <v>30</v>
      </c>
    </row>
    <row r="84" spans="1:6" s="1069" customFormat="1" ht="36">
      <c r="A84" s="1118">
        <v>24</v>
      </c>
      <c r="B84" s="3709"/>
      <c r="C84" s="1032" t="s">
        <v>1529</v>
      </c>
      <c r="D84" s="1032" t="s">
        <v>1530</v>
      </c>
      <c r="E84" s="1103">
        <v>0.2</v>
      </c>
      <c r="F84" s="1118">
        <v>30</v>
      </c>
    </row>
    <row r="85" spans="1:6" s="1069" customFormat="1" ht="36">
      <c r="A85" s="1118">
        <v>25</v>
      </c>
      <c r="B85" s="3709"/>
      <c r="C85" s="1032" t="s">
        <v>1531</v>
      </c>
      <c r="D85" s="1032" t="s">
        <v>1532</v>
      </c>
      <c r="E85" s="1103">
        <v>0.5</v>
      </c>
      <c r="F85" s="1118">
        <v>80</v>
      </c>
    </row>
    <row r="86" spans="1:6" s="1069" customFormat="1" ht="36">
      <c r="A86" s="1118">
        <v>26</v>
      </c>
      <c r="B86" s="3709"/>
      <c r="C86" s="1032" t="s">
        <v>1533</v>
      </c>
      <c r="D86" s="1032" t="s">
        <v>1534</v>
      </c>
      <c r="E86" s="1103">
        <v>0.2</v>
      </c>
      <c r="F86" s="1118">
        <v>30</v>
      </c>
    </row>
    <row r="87" spans="1:6" s="1069" customFormat="1" ht="36">
      <c r="A87" s="1118">
        <v>27</v>
      </c>
      <c r="B87" s="3709"/>
      <c r="C87" s="1032" t="s">
        <v>1535</v>
      </c>
      <c r="D87" s="1032" t="s">
        <v>1536</v>
      </c>
      <c r="E87" s="1103">
        <v>0.2</v>
      </c>
      <c r="F87" s="1118">
        <v>30</v>
      </c>
    </row>
    <row r="88" spans="1:6" s="1069" customFormat="1" ht="36">
      <c r="A88" s="1118">
        <v>28</v>
      </c>
      <c r="B88" s="3709"/>
      <c r="C88" s="1032" t="s">
        <v>1537</v>
      </c>
      <c r="D88" s="1032" t="s">
        <v>1538</v>
      </c>
      <c r="E88" s="1103">
        <v>0.2</v>
      </c>
      <c r="F88" s="1118">
        <v>30</v>
      </c>
    </row>
    <row r="89" spans="1:6" s="1069" customFormat="1" ht="24">
      <c r="A89" s="1118">
        <v>29</v>
      </c>
      <c r="B89" s="3709"/>
      <c r="C89" s="1032" t="s">
        <v>1539</v>
      </c>
      <c r="D89" s="1032" t="s">
        <v>1540</v>
      </c>
      <c r="E89" s="1103">
        <v>0.2</v>
      </c>
      <c r="F89" s="1118">
        <v>30</v>
      </c>
    </row>
    <row r="90" spans="1:6" s="1069" customFormat="1" ht="24">
      <c r="A90" s="1118">
        <v>30</v>
      </c>
      <c r="B90" s="3709"/>
      <c r="C90" s="1032" t="s">
        <v>1541</v>
      </c>
      <c r="D90" s="1032" t="s">
        <v>1542</v>
      </c>
      <c r="E90" s="1103">
        <v>0.2</v>
      </c>
      <c r="F90" s="1118">
        <v>30</v>
      </c>
    </row>
    <row r="91" spans="1:6" s="1069" customFormat="1" ht="36">
      <c r="A91" s="1118">
        <v>31</v>
      </c>
      <c r="B91" s="3709"/>
      <c r="C91" s="1032" t="s">
        <v>1543</v>
      </c>
      <c r="D91" s="1032" t="s">
        <v>1544</v>
      </c>
      <c r="E91" s="1103">
        <v>0.2</v>
      </c>
      <c r="F91" s="1118">
        <v>30</v>
      </c>
    </row>
    <row r="92" spans="1:6" s="1069" customFormat="1" ht="24">
      <c r="A92" s="1118">
        <v>32</v>
      </c>
      <c r="B92" s="3709" t="s">
        <v>1545</v>
      </c>
      <c r="C92" s="1118" t="s">
        <v>1546</v>
      </c>
      <c r="D92" s="1032" t="s">
        <v>1547</v>
      </c>
      <c r="E92" s="1103">
        <v>0.2</v>
      </c>
      <c r="F92" s="1118">
        <v>30</v>
      </c>
    </row>
    <row r="93" spans="1:6" s="1069" customFormat="1" ht="36">
      <c r="A93" s="1118">
        <v>33</v>
      </c>
      <c r="B93" s="3709"/>
      <c r="C93" s="1118" t="s">
        <v>1548</v>
      </c>
      <c r="D93" s="1032" t="s">
        <v>1549</v>
      </c>
      <c r="E93" s="1103">
        <v>0.2</v>
      </c>
      <c r="F93" s="1118">
        <v>30</v>
      </c>
    </row>
    <row r="94" spans="1:6" s="1069" customFormat="1" ht="48">
      <c r="A94" s="1118">
        <v>34</v>
      </c>
      <c r="B94" s="3709"/>
      <c r="C94" s="1118" t="s">
        <v>1550</v>
      </c>
      <c r="D94" s="1032" t="s">
        <v>1551</v>
      </c>
      <c r="E94" s="1103">
        <v>0.2</v>
      </c>
      <c r="F94" s="1118">
        <v>30</v>
      </c>
    </row>
    <row r="95" spans="1:6" s="1069" customFormat="1" ht="36">
      <c r="A95" s="1118">
        <v>35</v>
      </c>
      <c r="B95" s="3709"/>
      <c r="C95" s="1118" t="s">
        <v>1552</v>
      </c>
      <c r="D95" s="1032" t="s">
        <v>1553</v>
      </c>
      <c r="E95" s="1103">
        <v>0.2</v>
      </c>
      <c r="F95" s="1118">
        <v>30</v>
      </c>
    </row>
    <row r="96" spans="1:6" s="1069" customFormat="1" ht="48">
      <c r="A96" s="1118">
        <v>36</v>
      </c>
      <c r="B96" s="3709"/>
      <c r="C96" s="1032" t="s">
        <v>1554</v>
      </c>
      <c r="D96" s="1032" t="s">
        <v>1555</v>
      </c>
      <c r="E96" s="1103">
        <v>0.2</v>
      </c>
      <c r="F96" s="1118">
        <v>30</v>
      </c>
    </row>
    <row r="97" spans="1:6" s="1069" customFormat="1" ht="36">
      <c r="A97" s="1118">
        <v>37</v>
      </c>
      <c r="B97" s="3709"/>
      <c r="C97" s="1118" t="s">
        <v>1556</v>
      </c>
      <c r="D97" s="1032" t="s">
        <v>1557</v>
      </c>
      <c r="E97" s="1103">
        <v>0.2</v>
      </c>
      <c r="F97" s="1118">
        <v>30</v>
      </c>
    </row>
    <row r="98" spans="1:6" s="1069" customFormat="1" ht="36">
      <c r="A98" s="1118">
        <v>38</v>
      </c>
      <c r="B98" s="3709"/>
      <c r="C98" s="1118" t="s">
        <v>1558</v>
      </c>
      <c r="D98" s="1032" t="s">
        <v>1559</v>
      </c>
      <c r="E98" s="1103">
        <v>0.2</v>
      </c>
      <c r="F98" s="1118">
        <v>30</v>
      </c>
    </row>
    <row r="99" spans="1:6" s="1069" customFormat="1" ht="36">
      <c r="A99" s="1118">
        <v>39</v>
      </c>
      <c r="B99" s="3709" t="s">
        <v>1560</v>
      </c>
      <c r="C99" s="1118" t="s">
        <v>1561</v>
      </c>
      <c r="D99" s="1032" t="s">
        <v>1562</v>
      </c>
      <c r="E99" s="1103">
        <v>0.3</v>
      </c>
      <c r="F99" s="1118">
        <v>50</v>
      </c>
    </row>
    <row r="100" spans="1:6" s="1069" customFormat="1" ht="24">
      <c r="A100" s="1118">
        <v>40</v>
      </c>
      <c r="B100" s="3709"/>
      <c r="C100" s="1118" t="s">
        <v>1563</v>
      </c>
      <c r="D100" s="1032" t="s">
        <v>1564</v>
      </c>
      <c r="E100" s="1103">
        <v>0.2</v>
      </c>
      <c r="F100" s="1118">
        <v>30</v>
      </c>
    </row>
    <row r="101" spans="1:6" s="1069" customFormat="1" ht="36">
      <c r="A101" s="1118">
        <v>41</v>
      </c>
      <c r="B101" s="3709"/>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709" t="s">
        <v>1575</v>
      </c>
      <c r="C105" s="1118" t="s">
        <v>1576</v>
      </c>
      <c r="D105" s="1032" t="s">
        <v>1577</v>
      </c>
      <c r="E105" s="1103">
        <v>0.2</v>
      </c>
      <c r="F105" s="1118">
        <v>30</v>
      </c>
    </row>
    <row r="106" spans="1:6" s="1069" customFormat="1" ht="36">
      <c r="A106" s="1118">
        <v>46</v>
      </c>
      <c r="B106" s="3709"/>
      <c r="C106" s="1118" t="s">
        <v>1578</v>
      </c>
      <c r="D106" s="1032" t="s">
        <v>1579</v>
      </c>
      <c r="E106" s="1103">
        <v>0.2</v>
      </c>
      <c r="F106" s="1118">
        <v>30</v>
      </c>
    </row>
    <row r="107" spans="1:6" s="1069" customFormat="1" ht="36">
      <c r="A107" s="1118">
        <v>47</v>
      </c>
      <c r="B107" s="3709" t="s">
        <v>1580</v>
      </c>
      <c r="C107" s="1118" t="s">
        <v>1581</v>
      </c>
      <c r="D107" s="1032" t="s">
        <v>1582</v>
      </c>
      <c r="E107" s="1103">
        <v>0.3</v>
      </c>
      <c r="F107" s="1118">
        <v>50</v>
      </c>
    </row>
    <row r="108" spans="1:6" s="1069" customFormat="1" ht="36">
      <c r="A108" s="1118">
        <v>48</v>
      </c>
      <c r="B108" s="3709"/>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709" t="s">
        <v>1591</v>
      </c>
      <c r="C111" s="1118" t="s">
        <v>1592</v>
      </c>
      <c r="D111" s="1032" t="s">
        <v>1593</v>
      </c>
      <c r="E111" s="1103">
        <v>0.2</v>
      </c>
      <c r="F111" s="1118">
        <v>30</v>
      </c>
    </row>
    <row r="112" spans="1:6" s="1069" customFormat="1" ht="24">
      <c r="A112" s="1118">
        <v>52</v>
      </c>
      <c r="B112" s="3709"/>
      <c r="C112" s="1118" t="s">
        <v>1594</v>
      </c>
      <c r="D112" s="1032" t="s">
        <v>1595</v>
      </c>
      <c r="E112" s="1103">
        <v>0.2</v>
      </c>
      <c r="F112" s="1118">
        <v>30</v>
      </c>
    </row>
    <row r="113" spans="1:14" s="1069" customFormat="1" ht="24">
      <c r="A113" s="1118">
        <v>53</v>
      </c>
      <c r="B113" s="3709"/>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709" t="s">
        <v>1604</v>
      </c>
      <c r="C116" s="1118" t="s">
        <v>1605</v>
      </c>
      <c r="D116" s="1032" t="s">
        <v>1606</v>
      </c>
      <c r="E116" s="1103">
        <v>0.2</v>
      </c>
      <c r="F116" s="1118">
        <v>30</v>
      </c>
    </row>
    <row r="117" spans="1:14" ht="36">
      <c r="A117" s="1118">
        <v>57</v>
      </c>
      <c r="B117" s="3709"/>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708" t="s">
        <v>1613</v>
      </c>
      <c r="B121" s="3708"/>
      <c r="C121" s="3708"/>
      <c r="D121" s="3708"/>
      <c r="E121" s="3708"/>
      <c r="F121" s="3708"/>
      <c r="G121" s="3708"/>
      <c r="H121" s="3708"/>
      <c r="I121" s="3708"/>
      <c r="J121" s="3708"/>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10" t="s">
        <v>1019</v>
      </c>
      <c r="B1" s="3710"/>
      <c r="C1" s="3710"/>
      <c r="D1" s="3710"/>
      <c r="E1" s="3710"/>
      <c r="F1" s="3710"/>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11" t="s">
        <v>1032</v>
      </c>
      <c r="B2" s="3711"/>
      <c r="C2" s="3711"/>
      <c r="D2" s="3711"/>
      <c r="E2" s="3711"/>
      <c r="F2" s="3711"/>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12"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13"/>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14" t="s">
        <v>2053</v>
      </c>
      <c r="B1" s="3714"/>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22" t="s">
        <v>2475</v>
      </c>
      <c r="C1" s="3722"/>
      <c r="D1" s="3722"/>
      <c r="E1" s="3722"/>
      <c r="F1" s="3722"/>
      <c r="G1" s="3721" t="s">
        <v>2476</v>
      </c>
      <c r="H1" s="3721"/>
      <c r="I1" s="3721"/>
      <c r="J1" s="3721"/>
      <c r="K1" s="3721"/>
      <c r="L1" s="3721"/>
      <c r="N1" s="3721" t="s">
        <v>2477</v>
      </c>
      <c r="O1" s="3721"/>
      <c r="P1" s="3721"/>
      <c r="Q1" s="3721"/>
      <c r="S1" s="3721" t="s">
        <v>2478</v>
      </c>
      <c r="T1" s="3721"/>
      <c r="U1" s="3721"/>
      <c r="V1" s="3721"/>
      <c r="X1" s="3720" t="s">
        <v>2538</v>
      </c>
      <c r="Y1" s="3721"/>
      <c r="Z1" s="3721"/>
      <c r="AA1" s="3721"/>
      <c r="AB1" s="3721"/>
      <c r="AD1" s="3720" t="s">
        <v>2542</v>
      </c>
      <c r="AE1" s="3721"/>
      <c r="AF1" s="3721"/>
      <c r="AG1" s="3721"/>
      <c r="AH1" s="3721"/>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16">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16"/>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16"/>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17"/>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15">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16"/>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16"/>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17"/>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15">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16"/>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16"/>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19"/>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8">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16"/>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16"/>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19"/>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8">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16"/>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16"/>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19"/>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23">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24"/>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24"/>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25"/>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8">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16"/>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16"/>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19"/>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8">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16">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16">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19">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8">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16">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16">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19">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8">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16">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16">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19">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8">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16">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16">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19">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8">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16">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16">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19">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8">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16">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16">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19">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8">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16">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16">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19">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8">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16">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16">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19">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8">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16">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16">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19">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8">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16">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16">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19">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14日车库2071年10月14日、仓储2071年10月14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-3</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7" t="s">
        <v>2424</v>
      </c>
      <c r="C8" s="1711">
        <f ca="1">ROUND(F8*F10*F9*(1-F11)/10000,0)</f>
        <v>0</v>
      </c>
      <c r="D8" s="1708" t="s">
        <v>2434</v>
      </c>
      <c r="E8" s="60" t="s">
        <v>620</v>
      </c>
      <c r="F8" s="757">
        <f ca="1">INDIRECT("'数据-取费表'!u"&amp;$G$1)</f>
        <v>0</v>
      </c>
      <c r="G8" s="1499"/>
      <c r="H8" s="2324" t="s">
        <v>1804</v>
      </c>
      <c r="I8" s="3727" t="s">
        <v>2424</v>
      </c>
      <c r="J8" s="755">
        <f ca="1">ROUND(M8*M10*M9*(1-M11)/10000,0)</f>
        <v>0</v>
      </c>
      <c r="K8" s="338" t="s">
        <v>2434</v>
      </c>
      <c r="L8" s="756" t="s">
        <v>1718</v>
      </c>
      <c r="M8" s="757">
        <f ca="1">INDIRECT("'数据-取费表'!z"&amp;$G$1)</f>
        <v>0</v>
      </c>
    </row>
    <row r="9" spans="1:25" ht="18" customHeight="1">
      <c r="A9" s="2320"/>
      <c r="B9" s="3728"/>
      <c r="C9" s="1712"/>
      <c r="D9" s="1709"/>
      <c r="E9" s="60" t="s">
        <v>621</v>
      </c>
      <c r="F9" s="757">
        <f ca="1">IF(INDIRECT("'数据-取费表'!ah"&amp;$G$1)="",INDIRECT("'数据-取费表'!k"&amp;$G$1),INDIRECT("'数据-取费表'!ah"&amp;$G$1))</f>
        <v>0</v>
      </c>
      <c r="G9" s="1499"/>
      <c r="H9" s="2309"/>
      <c r="I9" s="3728"/>
      <c r="J9" s="760"/>
      <c r="K9" s="761"/>
      <c r="L9" s="756" t="s">
        <v>1719</v>
      </c>
      <c r="M9" s="757">
        <f ca="1">F9</f>
        <v>0</v>
      </c>
    </row>
    <row r="10" spans="1:25" ht="18" customHeight="1">
      <c r="A10" s="2313"/>
      <c r="B10" s="3729"/>
      <c r="C10" s="1712"/>
      <c r="D10" s="1709"/>
      <c r="E10" s="60" t="s">
        <v>622</v>
      </c>
      <c r="F10" s="757">
        <f ca="1">INDIRECT("'数据-取费表'!ai"&amp;$G$1)</f>
        <v>0</v>
      </c>
      <c r="G10" s="1499"/>
      <c r="H10" s="2309"/>
      <c r="I10" s="3729"/>
      <c r="J10" s="760"/>
      <c r="K10" s="761"/>
      <c r="L10" s="756" t="s">
        <v>1720</v>
      </c>
      <c r="M10" s="757">
        <f ca="1">INDIRECT("'数据-取费表'!ai"&amp;$G$1)</f>
        <v>0</v>
      </c>
    </row>
    <row r="11" spans="1:25" ht="18" customHeight="1">
      <c r="A11" s="758"/>
      <c r="B11" s="3730"/>
      <c r="C11" s="1712"/>
      <c r="D11" s="1709"/>
      <c r="E11" s="60" t="s">
        <v>623</v>
      </c>
      <c r="F11" s="766">
        <f ca="1">INDIRECT("'数据-取费表'!w"&amp;$G$1)</f>
        <v>0</v>
      </c>
      <c r="G11" s="1499"/>
      <c r="H11" s="2325"/>
      <c r="I11" s="3729"/>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5.5000000000000007E-2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1.5</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3</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1.2999999999999999E-3</v>
      </c>
      <c r="D26" s="2360" t="str">
        <f>IF(F25&lt;=1,"销售费用×利率×(建设周期÷2)","销售费用×((1+利率)^(建设周期÷2)-1)")</f>
        <v>销售费用×((1+利率)^(建设周期÷2)-1)</v>
      </c>
      <c r="E26" s="756" t="s">
        <v>665</v>
      </c>
      <c r="F26" s="790">
        <f ca="1">'数据-取费表'!B40</f>
        <v>4.2999999999999997E-2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5.2400000000000002E-2</v>
      </c>
      <c r="D30" s="783" t="s">
        <v>692</v>
      </c>
      <c r="E30" s="756" t="s">
        <v>632</v>
      </c>
      <c r="F30" s="781">
        <f>'数据-取费表'!B41</f>
        <v>5.5000000000000007E-2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5.5000000000000007E-2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1.5</v>
      </c>
      <c r="G36" s="1914"/>
      <c r="H36" s="1917"/>
      <c r="I36" s="3726"/>
      <c r="J36" s="1931"/>
      <c r="K36" s="1932"/>
      <c r="L36" s="1931"/>
      <c r="M36" s="1931"/>
    </row>
    <row r="37" spans="1:18" ht="18" customHeight="1">
      <c r="A37" s="786"/>
      <c r="B37" s="765"/>
      <c r="C37" s="68"/>
      <c r="D37" s="787"/>
      <c r="E37" s="756" t="s">
        <v>657</v>
      </c>
      <c r="F37" s="757">
        <f ca="1">INDIRECT("'数据-取费表'!r"&amp;$G$1)</f>
        <v>0</v>
      </c>
      <c r="G37" s="1914"/>
      <c r="H37" s="1917"/>
      <c r="I37" s="3726"/>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-3</v>
      </c>
      <c r="K54" s="3731"/>
      <c r="L54" s="3732"/>
      <c r="O54" s="2225" t="s">
        <v>2357</v>
      </c>
      <c r="P54" s="2223" t="s">
        <v>2358</v>
      </c>
      <c r="Q54" s="2224">
        <f ca="1">J54</f>
        <v>-3</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5" zoomScale="85" zoomScaleNormal="60" zoomScaleSheetLayoutView="85" workbookViewId="0">
      <selection activeCell="G40" sqref="G40"/>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3077</v>
      </c>
      <c r="D1" s="2731" t="s">
        <v>3366</v>
      </c>
      <c r="E1" s="2211" t="s">
        <v>2343</v>
      </c>
      <c r="F1" s="2212">
        <f ca="1">J53</f>
        <v>46.76</v>
      </c>
      <c r="G1" s="3191">
        <f>MATCH(C1,'数据-取费表'!A6:A16,0)+5</f>
        <v>8</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3677</v>
      </c>
      <c r="C2" s="3196"/>
      <c r="D2" s="3197"/>
      <c r="E2" s="3198"/>
      <c r="F2" s="3198"/>
      <c r="G2" s="3192"/>
      <c r="H2" s="1909"/>
      <c r="I2" s="1909"/>
      <c r="J2" s="1909"/>
      <c r="K2" s="1910"/>
      <c r="L2" s="1909"/>
      <c r="M2" s="1909"/>
    </row>
    <row r="3" spans="1:33" ht="18" customHeight="1" thickBot="1">
      <c r="A3" s="804" t="s">
        <v>1707</v>
      </c>
      <c r="B3" s="805">
        <f ca="1">IF(ISERROR(B2*10000/F43),0,ROUND(B2*10000/F43,0))</f>
        <v>1121</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1708</v>
      </c>
      <c r="I4" s="750" t="s">
        <v>1713</v>
      </c>
      <c r="J4" s="750" t="s">
        <v>1710</v>
      </c>
      <c r="K4" s="750" t="s">
        <v>1715</v>
      </c>
      <c r="L4" s="751" t="s">
        <v>1711</v>
      </c>
      <c r="M4" s="752"/>
    </row>
    <row r="5" spans="1:33" ht="18" customHeight="1">
      <c r="A5" s="753">
        <v>1</v>
      </c>
      <c r="B5" s="754" t="s">
        <v>2419</v>
      </c>
      <c r="C5" s="54">
        <f ca="1">C6+C10+C12</f>
        <v>568</v>
      </c>
      <c r="D5" s="2316" t="s">
        <v>2422</v>
      </c>
      <c r="E5" s="2310"/>
      <c r="F5" s="2311"/>
      <c r="G5" s="1914"/>
      <c r="H5" s="753">
        <v>1</v>
      </c>
      <c r="I5" s="754" t="s">
        <v>2419</v>
      </c>
      <c r="J5" s="54">
        <f ca="1">J6+J10+J12</f>
        <v>0</v>
      </c>
      <c r="K5" s="2316" t="s">
        <v>2422</v>
      </c>
      <c r="L5" s="2310"/>
      <c r="M5" s="2311"/>
    </row>
    <row r="6" spans="1:33" ht="18" customHeight="1">
      <c r="A6" s="1716" t="s">
        <v>1804</v>
      </c>
      <c r="B6" s="3727" t="s">
        <v>2424</v>
      </c>
      <c r="C6" s="755">
        <f ca="1">ROUND(F6*F8*F7*(1-F9)/10000,0)</f>
        <v>568</v>
      </c>
      <c r="D6" s="2317" t="s">
        <v>2423</v>
      </c>
      <c r="E6" s="756" t="s">
        <v>1718</v>
      </c>
      <c r="F6" s="757">
        <f ca="1">INDIRECT("'数据-取费表'!u"&amp;$G$1)</f>
        <v>500</v>
      </c>
      <c r="G6" s="1914"/>
      <c r="H6" s="2324" t="s">
        <v>1804</v>
      </c>
      <c r="I6" s="3727" t="s">
        <v>2424</v>
      </c>
      <c r="J6" s="755">
        <f ca="1">ROUND(M6*M8*M7*(1-M9)/10000,0)</f>
        <v>0</v>
      </c>
      <c r="K6" s="338" t="s">
        <v>1717</v>
      </c>
      <c r="L6" s="756" t="s">
        <v>1718</v>
      </c>
      <c r="M6" s="757">
        <f ca="1">INDIRECT("'数据-取费表'!z"&amp;$G$1)</f>
        <v>0</v>
      </c>
    </row>
    <row r="7" spans="1:33" ht="18" customHeight="1">
      <c r="A7" s="2320"/>
      <c r="B7" s="3728"/>
      <c r="C7" s="760"/>
      <c r="D7" s="761"/>
      <c r="E7" s="756" t="s">
        <v>1719</v>
      </c>
      <c r="F7" s="757">
        <f ca="1">IF(INDIRECT("'数据-取费表'!ah"&amp;$G$1)="",INDIRECT("'数据-取费表'!k"&amp;$G$1),INDIRECT("'数据-取费表'!ah"&amp;$G$1))</f>
        <v>1051</v>
      </c>
      <c r="G7" s="1914"/>
      <c r="H7" s="2309"/>
      <c r="I7" s="3728"/>
      <c r="J7" s="760"/>
      <c r="K7" s="761"/>
      <c r="L7" s="756" t="s">
        <v>1719</v>
      </c>
      <c r="M7" s="757">
        <f ca="1">F7</f>
        <v>1051</v>
      </c>
    </row>
    <row r="8" spans="1:33" ht="18" customHeight="1">
      <c r="A8" s="2313"/>
      <c r="B8" s="3729"/>
      <c r="C8" s="760"/>
      <c r="D8" s="761"/>
      <c r="E8" s="756" t="s">
        <v>1720</v>
      </c>
      <c r="F8" s="757">
        <f ca="1">INDIRECT("'数据-取费表'!ai"&amp;$G$1)</f>
        <v>12</v>
      </c>
      <c r="G8" s="1914"/>
      <c r="H8" s="2309"/>
      <c r="I8" s="3729"/>
      <c r="J8" s="760"/>
      <c r="K8" s="761"/>
      <c r="L8" s="756" t="s">
        <v>1720</v>
      </c>
      <c r="M8" s="757">
        <f ca="1">INDIRECT("'数据-取费表'!ai"&amp;$G$1)</f>
        <v>12</v>
      </c>
    </row>
    <row r="9" spans="1:33" ht="18" customHeight="1">
      <c r="A9" s="758"/>
      <c r="B9" s="3730"/>
      <c r="C9" s="760"/>
      <c r="D9" s="761"/>
      <c r="E9" s="756" t="s">
        <v>1721</v>
      </c>
      <c r="F9" s="766">
        <f ca="1">INDIRECT("'数据-取费表'!w"&amp;$G$1)</f>
        <v>0.1</v>
      </c>
      <c r="G9" s="1914"/>
      <c r="H9" s="2325"/>
      <c r="I9" s="3729"/>
      <c r="J9" s="760"/>
      <c r="K9" s="761"/>
      <c r="L9" s="767" t="s">
        <v>1721</v>
      </c>
      <c r="M9" s="768">
        <f ca="1">INDIRECT("'数据-取费表'!ab"&amp;$G$1)</f>
        <v>0</v>
      </c>
    </row>
    <row r="10" spans="1:33" ht="18" customHeight="1">
      <c r="A10" s="1716" t="s">
        <v>1805</v>
      </c>
      <c r="B10" s="2314" t="s">
        <v>2420</v>
      </c>
      <c r="C10" s="771">
        <f ca="1">ROUND(IF(F10="押一",C6/12*F11,IF(F10="押二",C6/12*2*F11,IF(F10="押三",C6/12*3*F11,C11*F11))),0)</f>
        <v>0</v>
      </c>
      <c r="D10" s="2321" t="s">
        <v>2854</v>
      </c>
      <c r="E10" s="2318" t="s">
        <v>2425</v>
      </c>
      <c r="F10" s="2402" t="s">
        <v>3369</v>
      </c>
      <c r="G10" s="1914"/>
      <c r="H10" s="2352" t="s">
        <v>1805</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2418</v>
      </c>
      <c r="F11" s="768">
        <f ca="1">'数据-取费表'!B39</f>
        <v>1.4999999999999999E-2</v>
      </c>
      <c r="G11" s="1914"/>
      <c r="H11" s="2353"/>
      <c r="I11" s="2315" t="s">
        <v>2473</v>
      </c>
      <c r="J11" s="2319"/>
      <c r="K11" s="2354"/>
      <c r="L11" s="2318" t="s">
        <v>2418</v>
      </c>
      <c r="M11" s="2312">
        <f ca="1">'数据-取费表'!B39</f>
        <v>1.4999999999999999E-2</v>
      </c>
    </row>
    <row r="12" spans="1:33" ht="18" customHeight="1" thickBot="1">
      <c r="A12" s="2328" t="s">
        <v>2428</v>
      </c>
      <c r="B12" s="2329" t="s">
        <v>2421</v>
      </c>
      <c r="C12" s="2330"/>
      <c r="D12" s="2331"/>
      <c r="E12" s="2332"/>
      <c r="F12" s="2333"/>
      <c r="G12" s="1914"/>
      <c r="H12" s="2342" t="s">
        <v>2428</v>
      </c>
      <c r="I12" s="2355" t="s">
        <v>2421</v>
      </c>
      <c r="J12" s="2356"/>
      <c r="K12" s="2331"/>
      <c r="L12" s="2332"/>
      <c r="M12" s="2345"/>
    </row>
    <row r="13" spans="1:33" ht="18" customHeight="1" thickTop="1">
      <c r="A13" s="1715">
        <v>2</v>
      </c>
      <c r="B13" s="1713" t="s">
        <v>1722</v>
      </c>
      <c r="C13" s="764">
        <f ca="1">ROUND(C29*F13,0)</f>
        <v>19870</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1811</v>
      </c>
      <c r="B14" s="756" t="s">
        <v>628</v>
      </c>
      <c r="C14" s="776">
        <f ca="1">INDIRECT("'数据-取费表'!m"&amp;$G$1)+INDIRECT("'数据-取费表'!t"&amp;$G$1)</f>
        <v>14762</v>
      </c>
      <c r="D14" s="3452" t="s">
        <v>1725</v>
      </c>
      <c r="E14" s="3453"/>
      <c r="F14" s="777"/>
      <c r="G14" s="1914"/>
      <c r="H14" s="1549" t="s">
        <v>1804</v>
      </c>
      <c r="I14" s="2080" t="s">
        <v>2724</v>
      </c>
      <c r="J14" s="52">
        <f ca="1">C29</f>
        <v>19870</v>
      </c>
      <c r="K14" s="25"/>
      <c r="L14" s="773"/>
      <c r="M14" s="774"/>
    </row>
    <row r="15" spans="1:33" s="1916" customFormat="1" ht="18" customHeight="1" thickBot="1">
      <c r="A15" s="1548" t="s">
        <v>1812</v>
      </c>
      <c r="B15" s="756" t="s">
        <v>630</v>
      </c>
      <c r="C15" s="52">
        <f ca="1">ROUND(C14*F15,0)</f>
        <v>443</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1856</v>
      </c>
      <c r="B16" s="756" t="s">
        <v>633</v>
      </c>
      <c r="C16" s="52">
        <f ca="1">ROUND(INDIRECT("'数据-取费表'!m"&amp;$G$1)*F16,0)</f>
        <v>0</v>
      </c>
      <c r="D16" s="756" t="s">
        <v>1726</v>
      </c>
      <c r="E16" s="756" t="s">
        <v>1727</v>
      </c>
      <c r="F16" s="781">
        <f ca="1">IF(INDIRECT("'数据-取费表'!c"&amp;$G$1)="住宅",'数据-取费表'!B34,0)</f>
        <v>0</v>
      </c>
      <c r="G16" s="1914"/>
      <c r="H16" s="1715" t="s">
        <v>7</v>
      </c>
      <c r="I16" s="1713" t="s">
        <v>1729</v>
      </c>
      <c r="J16" s="764">
        <f ca="1">ROUND(J17+J22+J23+J24,0)</f>
        <v>1968</v>
      </c>
      <c r="K16" s="1707" t="s">
        <v>1730</v>
      </c>
      <c r="L16" s="3454"/>
      <c r="M16" s="2311"/>
    </row>
    <row r="17" spans="1:33" s="1916" customFormat="1" ht="18" customHeight="1">
      <c r="A17" s="1548" t="s">
        <v>1863</v>
      </c>
      <c r="B17" s="756" t="s">
        <v>636</v>
      </c>
      <c r="C17" s="52">
        <f ca="1">ROUND(F17*(F43+INDIRECT("'数据-取费表'!S"&amp;$G$1))/10000,0)</f>
        <v>738</v>
      </c>
      <c r="D17" s="756" t="s">
        <v>637</v>
      </c>
      <c r="E17" s="756" t="s">
        <v>1732</v>
      </c>
      <c r="F17" s="55">
        <f>'数据-取费表'!B35</f>
        <v>200</v>
      </c>
      <c r="G17" s="3193"/>
      <c r="H17" s="1549" t="s">
        <v>1804</v>
      </c>
      <c r="I17" s="756" t="s">
        <v>639</v>
      </c>
      <c r="J17" s="2951">
        <f ca="1">ROUND(IF(AND(项目基本情况!B11="自然人",项目基本情况!B10="北京市"),J6*M17/(1+'数据-取费表'!C42),J18+J19+J20),0)</f>
        <v>1670</v>
      </c>
      <c r="K17" s="3452" t="s">
        <v>1733</v>
      </c>
      <c r="L17" s="3451"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221</v>
      </c>
      <c r="D18" s="756" t="s">
        <v>1726</v>
      </c>
      <c r="E18" s="756" t="s">
        <v>1727</v>
      </c>
      <c r="F18" s="781">
        <f>'数据-取费表'!B36</f>
        <v>1.4999999999999999E-2</v>
      </c>
      <c r="G18" s="3193"/>
      <c r="H18" s="1548" t="s">
        <v>1811</v>
      </c>
      <c r="I18" s="756" t="s">
        <v>1735</v>
      </c>
      <c r="J18" s="52">
        <f ca="1">ROUND(J6*M18/(1+'数据-取费表'!C42),1)</f>
        <v>0</v>
      </c>
      <c r="K18" s="3451"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1804</v>
      </c>
      <c r="B19" s="756" t="s">
        <v>645</v>
      </c>
      <c r="C19" s="52">
        <f ca="1">SUM(C14:C18)</f>
        <v>16164</v>
      </c>
      <c r="D19" s="258" t="s">
        <v>1737</v>
      </c>
      <c r="E19" s="3456"/>
      <c r="F19" s="55"/>
      <c r="G19" s="1914"/>
      <c r="H19" s="1548" t="s">
        <v>1812</v>
      </c>
      <c r="I19" s="756" t="s">
        <v>1738</v>
      </c>
      <c r="J19" s="52">
        <f ca="1">IF(K19="按租金收入计税",ROUND(J6*M19/(1+'数据-取费表'!C42),1),ROUND(C29*F33*0.7,1))</f>
        <v>1669.1</v>
      </c>
      <c r="K19" s="782" t="s">
        <v>648</v>
      </c>
      <c r="L19" s="756" t="s">
        <v>1727</v>
      </c>
      <c r="M19" s="781">
        <f>IF(K19="按租金收入计税",'数据-取费表'!B51,'数据-取费表'!B50)</f>
        <v>1.2E-2</v>
      </c>
    </row>
    <row r="20" spans="1:33" s="1916" customFormat="1" ht="18" customHeight="1">
      <c r="A20" s="1549" t="s">
        <v>1865</v>
      </c>
      <c r="B20" s="756" t="s">
        <v>649</v>
      </c>
      <c r="C20" s="52">
        <f ca="1">ROUND(C19*F20,0)</f>
        <v>323</v>
      </c>
      <c r="D20" s="783" t="s">
        <v>1739</v>
      </c>
      <c r="E20" s="756" t="s">
        <v>1727</v>
      </c>
      <c r="F20" s="781">
        <f>'数据-取费表'!B37</f>
        <v>0.02</v>
      </c>
      <c r="G20" s="3193"/>
      <c r="H20" s="1551" t="s">
        <v>1856</v>
      </c>
      <c r="I20" s="338" t="s">
        <v>1740</v>
      </c>
      <c r="J20" s="53">
        <f ca="1">ROUND(M20*M21/10000,0)</f>
        <v>1</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v>
      </c>
      <c r="D21" s="783" t="s">
        <v>2270</v>
      </c>
      <c r="E21" s="756" t="s">
        <v>1745</v>
      </c>
      <c r="F21" s="781">
        <f>'数据-取费表'!B38</f>
        <v>0.02</v>
      </c>
      <c r="G21" s="3193"/>
      <c r="H21" s="2326"/>
      <c r="I21" s="765"/>
      <c r="J21" s="68"/>
      <c r="K21" s="787"/>
      <c r="L21" s="756" t="s">
        <v>1746</v>
      </c>
      <c r="M21" s="757">
        <f ca="1">INDIRECT("'数据-取费表'!r"&amp;$G$1)</f>
        <v>9010.61</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3456"/>
      <c r="F22" s="55"/>
      <c r="G22" s="1914"/>
      <c r="H22" s="1549" t="s">
        <v>1865</v>
      </c>
      <c r="I22" s="756" t="s">
        <v>1748</v>
      </c>
      <c r="J22" s="52">
        <f ca="1">ROUND(J14*M22,0)</f>
        <v>298</v>
      </c>
      <c r="K22" s="3451" t="s">
        <v>1749</v>
      </c>
      <c r="L22" s="756" t="s">
        <v>1727</v>
      </c>
      <c r="M22" s="788">
        <f ca="1">INDIRECT("'数据-取费表'!Ak"&amp;$G$1)</f>
        <v>1.4999999999999999E-2</v>
      </c>
    </row>
    <row r="23" spans="1:33" s="1916" customFormat="1" ht="18" customHeight="1">
      <c r="A23" s="1548" t="s">
        <v>1811</v>
      </c>
      <c r="B23" s="756" t="s">
        <v>2401</v>
      </c>
      <c r="C23" s="52">
        <f ca="1">ROUND(IF('数据-取费表'!B22&lt;=1,(C19+C20)*F24*F23/2,(C19+C20)*(POWER((1+F24),F23/2)-1)),0)</f>
        <v>1075</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3451" t="s">
        <v>1751</v>
      </c>
      <c r="L23" s="756" t="s">
        <v>1727</v>
      </c>
      <c r="M23" s="789">
        <f ca="1">INDIRECT("'数据-取费表'!Al"&amp;$G$1)</f>
        <v>1.5E-3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1.4999999999999999E-2</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3456"/>
      <c r="F25" s="55"/>
      <c r="G25" s="1914"/>
      <c r="H25" s="1715" t="s">
        <v>1756</v>
      </c>
      <c r="I25" s="2659" t="s">
        <v>2720</v>
      </c>
      <c r="J25" s="764">
        <f ca="1">J5-J16</f>
        <v>-1968</v>
      </c>
      <c r="K25" s="2339" t="s">
        <v>1757</v>
      </c>
      <c r="L25" s="2340"/>
      <c r="M25" s="2341"/>
    </row>
    <row r="26" spans="1:33" ht="18" customHeight="1">
      <c r="A26" s="1548" t="s">
        <v>1811</v>
      </c>
      <c r="B26" s="756" t="s">
        <v>2402</v>
      </c>
      <c r="C26" s="52">
        <f ca="1">ROUND((C19+C20)*F26,0)</f>
        <v>824</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19870</v>
      </c>
      <c r="D29" s="2336"/>
      <c r="E29" s="2337"/>
      <c r="F29" s="2338"/>
      <c r="G29" s="3193"/>
      <c r="H29" s="794" t="s">
        <v>1767</v>
      </c>
      <c r="I29" s="795" t="s">
        <v>1768</v>
      </c>
      <c r="J29" s="796">
        <f ca="1">ROUND(J26/(1+F40)^F41,0)</f>
        <v>0</v>
      </c>
      <c r="K29" s="797" t="s">
        <v>1769</v>
      </c>
      <c r="L29" s="798"/>
      <c r="M29" s="799">
        <f ca="1">INDIRECT("'数据-取费表'!k"&amp;$G$1)</f>
        <v>32801.72</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7</v>
      </c>
      <c r="B30" s="1713" t="s">
        <v>1770</v>
      </c>
      <c r="C30" s="764">
        <f ca="1">ROUND(C31+C36+C37+C38,0)</f>
        <v>432</v>
      </c>
      <c r="D30" s="1707" t="s">
        <v>1730</v>
      </c>
      <c r="E30" s="3454"/>
      <c r="F30" s="2311"/>
      <c r="G30" s="1914"/>
      <c r="H30" s="1917"/>
      <c r="I30" s="1918"/>
      <c r="J30" s="1919"/>
      <c r="K30" s="1920"/>
      <c r="L30" s="1921"/>
      <c r="M30" s="1922"/>
    </row>
    <row r="31" spans="1:33" ht="18" customHeight="1">
      <c r="A31" s="1549" t="s">
        <v>1804</v>
      </c>
      <c r="B31" s="756" t="s">
        <v>639</v>
      </c>
      <c r="C31" s="2951">
        <f ca="1">ROUND(IF(AND(项目基本情况!B11="自然人",项目基本情况!B10="北京市"),C6*F31/(1+'数据-取费表'!C42),C32+C33+C34),0)</f>
        <v>96</v>
      </c>
      <c r="D31" s="3452" t="s">
        <v>1772</v>
      </c>
      <c r="E31" s="3451"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29.8</v>
      </c>
      <c r="D32" s="3451" t="s">
        <v>1736</v>
      </c>
      <c r="E32" s="756" t="s">
        <v>1765</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64.900000000000006</v>
      </c>
      <c r="D33" s="782" t="s">
        <v>3365</v>
      </c>
      <c r="E33" s="756" t="s">
        <v>1765</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1.4</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9010.61</v>
      </c>
      <c r="G35" s="1914"/>
      <c r="H35" s="1917"/>
      <c r="I35" s="808" t="s">
        <v>1794</v>
      </c>
      <c r="J35" s="809">
        <f ca="1">ROUND(C13*J36,0)</f>
        <v>1689</v>
      </c>
      <c r="K35" s="1930"/>
      <c r="L35" s="1929"/>
      <c r="M35" s="1929"/>
    </row>
    <row r="36" spans="1:18" ht="18" customHeight="1">
      <c r="A36" s="1549" t="s">
        <v>1865</v>
      </c>
      <c r="B36" s="756" t="s">
        <v>1748</v>
      </c>
      <c r="C36" s="52">
        <f ca="1">ROUND(C29*F36,1)</f>
        <v>298.10000000000002</v>
      </c>
      <c r="D36" s="3451" t="s">
        <v>1783</v>
      </c>
      <c r="E36" s="756" t="s">
        <v>1765</v>
      </c>
      <c r="F36" s="788">
        <f ca="1">INDIRECT("'数据-取费表'!Ak"&amp;$G$1)</f>
        <v>1.4999999999999999E-2</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29.8</v>
      </c>
      <c r="D37" s="3451" t="s">
        <v>1784</v>
      </c>
      <c r="E37" s="756" t="s">
        <v>1765</v>
      </c>
      <c r="F37" s="789">
        <f ca="1">INDIRECT("'数据-取费表'!Al"&amp;$G$1)</f>
        <v>1.5E-3</v>
      </c>
      <c r="G37" s="1914"/>
      <c r="H37" s="1929"/>
      <c r="I37" s="812" t="s">
        <v>1796</v>
      </c>
      <c r="J37" s="813"/>
      <c r="K37" s="1933"/>
      <c r="L37" s="1929"/>
      <c r="M37" s="1929"/>
    </row>
    <row r="38" spans="1:18" ht="18" customHeight="1" thickBot="1">
      <c r="A38" s="2342" t="s">
        <v>1867</v>
      </c>
      <c r="B38" s="2337" t="s">
        <v>649</v>
      </c>
      <c r="C38" s="2335">
        <f ca="1">ROUND(C5*F38,1)</f>
        <v>8.5</v>
      </c>
      <c r="D38" s="2336" t="s">
        <v>1785</v>
      </c>
      <c r="E38" s="2337" t="s">
        <v>1765</v>
      </c>
      <c r="F38" s="2333">
        <f ca="1">INDIRECT("'数据-取费表'!Am"&amp;$G$1)</f>
        <v>1.4999999999999999E-2</v>
      </c>
      <c r="G38" s="1914"/>
      <c r="H38" s="1929"/>
      <c r="I38" s="814" t="s">
        <v>1797</v>
      </c>
      <c r="J38" s="815"/>
      <c r="K38" s="1934"/>
      <c r="L38" s="1929"/>
      <c r="M38" s="1929"/>
    </row>
    <row r="39" spans="1:18" ht="24.6" customHeight="1" thickTop="1">
      <c r="A39" s="1715" t="s">
        <v>1756</v>
      </c>
      <c r="B39" s="2659" t="s">
        <v>2720</v>
      </c>
      <c r="C39" s="764">
        <f ca="1">C5-C30</f>
        <v>136</v>
      </c>
      <c r="D39" s="2339" t="s">
        <v>1786</v>
      </c>
      <c r="E39" s="2340"/>
      <c r="F39" s="2341"/>
      <c r="G39" s="1914"/>
      <c r="H39" s="1929"/>
      <c r="I39" s="808" t="s">
        <v>1798</v>
      </c>
      <c r="J39" s="816">
        <f ca="1">ROUND(J35/C39,3)</f>
        <v>12.419</v>
      </c>
      <c r="K39" s="1934"/>
      <c r="L39" s="1929"/>
      <c r="M39" s="1929"/>
    </row>
    <row r="40" spans="1:18" ht="18" customHeight="1">
      <c r="A40" s="753" t="s">
        <v>1871</v>
      </c>
      <c r="B40" s="2081" t="s">
        <v>2273</v>
      </c>
      <c r="C40" s="755">
        <f ca="1">ROUND(C39*(1-((1+F42)/(1+F40))^F41)/(F40-F42),0)</f>
        <v>3677</v>
      </c>
      <c r="D40" s="785" t="s">
        <v>1787</v>
      </c>
      <c r="E40" s="756" t="s">
        <v>2388</v>
      </c>
      <c r="F40" s="766">
        <f ca="1">INDIRECT("'数据-取费表'!I"&amp;$G$1)</f>
        <v>0.05</v>
      </c>
      <c r="G40" s="1914"/>
      <c r="H40" s="1914"/>
      <c r="I40" s="808" t="s">
        <v>1799</v>
      </c>
      <c r="J40" s="816">
        <f ca="1">1-J39</f>
        <v>-11.419</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46.76</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5.4039999999999999</v>
      </c>
      <c r="K42" s="1933"/>
      <c r="L42" s="1869"/>
      <c r="M42" s="1869"/>
    </row>
    <row r="43" spans="1:18" ht="18" customHeight="1" thickBot="1">
      <c r="A43" s="794" t="s">
        <v>1767</v>
      </c>
      <c r="B43" s="795" t="s">
        <v>1790</v>
      </c>
      <c r="C43" s="796">
        <f ca="1">ROUND(C40*10000/F43,0)</f>
        <v>1121</v>
      </c>
      <c r="D43" s="797" t="s">
        <v>1791</v>
      </c>
      <c r="E43" s="798" t="s">
        <v>1792</v>
      </c>
      <c r="F43" s="799">
        <f ca="1">INDIRECT("'数据-取费表'!k"&amp;$G$1)</f>
        <v>32801.72</v>
      </c>
      <c r="G43" s="1914"/>
      <c r="H43" s="1869"/>
      <c r="I43" s="818" t="s">
        <v>1802</v>
      </c>
      <c r="J43" s="819">
        <f ca="1">1-J42</f>
        <v>-4.4039999999999999</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-9585</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49.76</v>
      </c>
      <c r="M48" s="3195"/>
      <c r="O48" s="2222" t="s">
        <v>2348</v>
      </c>
      <c r="P48" s="2223" t="s">
        <v>2374</v>
      </c>
      <c r="Q48" s="2224">
        <f ca="1">C40+J29</f>
        <v>3677</v>
      </c>
      <c r="R48" s="2223" t="s">
        <v>2349</v>
      </c>
    </row>
    <row r="49" spans="1:18" s="1911" customFormat="1" ht="18" customHeight="1" thickBot="1">
      <c r="A49" s="758"/>
      <c r="B49" s="759"/>
      <c r="C49" s="760"/>
      <c r="D49" s="761"/>
      <c r="E49" s="756" t="s">
        <v>1719</v>
      </c>
      <c r="F49" s="757">
        <f ca="1">F7</f>
        <v>1051</v>
      </c>
      <c r="G49" s="1941"/>
      <c r="H49" s="1944"/>
      <c r="I49" s="2732" t="s">
        <v>2315</v>
      </c>
      <c r="J49" s="2207">
        <v>2024</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12</v>
      </c>
      <c r="G50" s="1946"/>
      <c r="H50" s="1944"/>
      <c r="I50" s="2732" t="s">
        <v>2316</v>
      </c>
      <c r="J50" s="2739">
        <f>SUMPRODUCT((I63:I65=J47)*(J62:L62=J48)*(J63:L65))</f>
        <v>60</v>
      </c>
      <c r="K50" s="2743" t="s">
        <v>2322</v>
      </c>
      <c r="L50" s="2208"/>
      <c r="M50" s="3195"/>
      <c r="O50" s="2225" t="s">
        <v>2352</v>
      </c>
      <c r="P50" s="2223" t="s">
        <v>2376</v>
      </c>
      <c r="Q50" s="2224">
        <f ca="1">C29</f>
        <v>19870</v>
      </c>
      <c r="R50" s="2223" t="s">
        <v>2349</v>
      </c>
    </row>
    <row r="51" spans="1:18" s="1911" customFormat="1" ht="18" customHeight="1" thickBot="1">
      <c r="A51" s="758"/>
      <c r="B51" s="759"/>
      <c r="C51" s="760"/>
      <c r="D51" s="761"/>
      <c r="E51" s="756" t="s">
        <v>623</v>
      </c>
      <c r="F51" s="2195"/>
      <c r="H51" s="1944"/>
      <c r="I51" s="2736" t="s">
        <v>2317</v>
      </c>
      <c r="J51" s="2740">
        <f>IF(J49="",J50,J49+J50-YEAR('数据-取费表'!B2))</f>
        <v>62</v>
      </c>
      <c r="K51" s="2732" t="s">
        <v>2323</v>
      </c>
      <c r="L51" s="2746">
        <f ca="1">ROUND(-PV(INDIRECT("'数据-取费表'!h"&amp;$G$1),J51,(C39-C13*J36),0),0)</f>
        <v>-32257</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46.76</v>
      </c>
      <c r="K53" s="3733" t="s">
        <v>2847</v>
      </c>
      <c r="L53" s="3734"/>
      <c r="M53" s="3195"/>
      <c r="O53" s="2225" t="s">
        <v>2357</v>
      </c>
      <c r="P53" s="2223" t="s">
        <v>2358</v>
      </c>
      <c r="Q53" s="2224">
        <f ca="1">J53</f>
        <v>46.76</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3677</v>
      </c>
      <c r="R54" s="2227" t="s">
        <v>2361</v>
      </c>
    </row>
    <row r="55" spans="1:18" s="1911" customFormat="1" ht="18" customHeight="1" thickTop="1" thickBot="1">
      <c r="A55" s="769">
        <v>2</v>
      </c>
      <c r="B55" s="770" t="s">
        <v>627</v>
      </c>
      <c r="C55" s="771">
        <f ca="1">C13</f>
        <v>19870</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19870</v>
      </c>
      <c r="D56" s="3451"/>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7</v>
      </c>
      <c r="B57" s="770" t="s">
        <v>634</v>
      </c>
      <c r="C57" s="771">
        <f ca="1">ROUND(C58+C63+C64+C65,0)</f>
        <v>329</v>
      </c>
      <c r="D57" s="25" t="s">
        <v>1730</v>
      </c>
      <c r="E57" s="3456"/>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3677</v>
      </c>
      <c r="R57" s="2223" t="s">
        <v>2349</v>
      </c>
    </row>
    <row r="58" spans="1:18" s="1911" customFormat="1" ht="28.5" customHeight="1" thickBot="1">
      <c r="A58" s="1549" t="s">
        <v>1804</v>
      </c>
      <c r="B58" s="756" t="s">
        <v>639</v>
      </c>
      <c r="C58" s="2951">
        <f ca="1">ROUND(IF(AND(项目基本情况!B11="自然人",项目基本情况!B10="北京市"),C48*F58/(1+'数据-取费表'!C42),C59+C60+C61),0)</f>
        <v>1</v>
      </c>
      <c r="D58" s="3452" t="s">
        <v>640</v>
      </c>
      <c r="E58" s="3451"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3451"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3451"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1.4</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9010.61</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298.10000000000002</v>
      </c>
      <c r="D63" s="3451" t="s">
        <v>1783</v>
      </c>
      <c r="E63" s="756" t="s">
        <v>1727</v>
      </c>
      <c r="F63" s="788">
        <f t="shared" ca="1" si="0"/>
        <v>1.4999999999999999E-2</v>
      </c>
      <c r="I63" s="2757" t="s">
        <v>2339</v>
      </c>
      <c r="J63" s="2758">
        <v>70</v>
      </c>
      <c r="K63" s="2758">
        <v>50</v>
      </c>
      <c r="L63" s="2758">
        <v>80</v>
      </c>
      <c r="M63" s="2760">
        <v>0.02</v>
      </c>
      <c r="O63" s="2222" t="s">
        <v>2360</v>
      </c>
      <c r="P63" s="2223" t="s">
        <v>2377</v>
      </c>
      <c r="Q63" s="2224">
        <f ca="1">Q57+Q58</f>
        <v>3677</v>
      </c>
      <c r="R63" s="2227" t="s">
        <v>2361</v>
      </c>
    </row>
    <row r="64" spans="1:18" s="1911" customFormat="1" ht="16.5" thickBot="1">
      <c r="A64" s="1549" t="s">
        <v>1866</v>
      </c>
      <c r="B64" s="756" t="s">
        <v>662</v>
      </c>
      <c r="C64" s="52">
        <f ca="1">ROUND(C55*F64,1)</f>
        <v>29.8</v>
      </c>
      <c r="D64" s="3451" t="s">
        <v>663</v>
      </c>
      <c r="E64" s="756" t="s">
        <v>1727</v>
      </c>
      <c r="F64" s="789">
        <f t="shared" ca="1" si="0"/>
        <v>1.5E-3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3451" t="s">
        <v>666</v>
      </c>
      <c r="E65" s="756" t="s">
        <v>1727</v>
      </c>
      <c r="F65" s="766">
        <f t="shared" ca="1" si="0"/>
        <v>1.4999999999999999E-2</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-329</v>
      </c>
      <c r="D66" s="3452" t="s">
        <v>683</v>
      </c>
      <c r="E66" s="3455"/>
      <c r="F66" s="791"/>
      <c r="K66" s="1937"/>
      <c r="O66" s="2222" t="s">
        <v>2348</v>
      </c>
      <c r="P66" s="2223" t="s">
        <v>2378</v>
      </c>
      <c r="Q66" s="2224">
        <f ca="1">C40+J29</f>
        <v>3677</v>
      </c>
      <c r="R66" s="2223" t="s">
        <v>2349</v>
      </c>
    </row>
    <row r="67" spans="1:18" s="1911" customFormat="1" ht="20.25" thickBot="1">
      <c r="A67" s="753" t="s">
        <v>1760</v>
      </c>
      <c r="B67" s="2081" t="s">
        <v>2273</v>
      </c>
      <c r="C67" s="755">
        <f ca="1">ROUND(C66*(1-((1+F69)/(1+F67))^F68)/(F67-F69),0)</f>
        <v>-5908</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46.76</v>
      </c>
      <c r="O68" s="2225" t="s">
        <v>2352</v>
      </c>
      <c r="P68" s="2223" t="s">
        <v>2382</v>
      </c>
      <c r="Q68" s="2229">
        <f ca="1">L51</f>
        <v>-32257</v>
      </c>
      <c r="R68" s="2230" t="s">
        <v>2385</v>
      </c>
    </row>
    <row r="69" spans="1:18" ht="20.25" thickBot="1">
      <c r="A69" s="762"/>
      <c r="B69" s="763"/>
      <c r="C69" s="764"/>
      <c r="D69" s="787"/>
      <c r="E69" s="756" t="s">
        <v>693</v>
      </c>
      <c r="F69" s="2195"/>
      <c r="O69" s="2225" t="s">
        <v>2353</v>
      </c>
      <c r="P69" s="2231" t="s">
        <v>2367</v>
      </c>
      <c r="Q69" s="2224">
        <f ca="1">ROUND(Q70-Q71*Q72,0)</f>
        <v>-1553</v>
      </c>
      <c r="R69" s="2227"/>
    </row>
    <row r="70" spans="1:18" ht="15.75" thickBot="1">
      <c r="A70" s="794" t="s">
        <v>1767</v>
      </c>
      <c r="B70" s="795" t="s">
        <v>1790</v>
      </c>
      <c r="C70" s="796">
        <f ca="1">ROUND(C67*10000/F70,0)</f>
        <v>-1801</v>
      </c>
      <c r="D70" s="797" t="s">
        <v>1791</v>
      </c>
      <c r="E70" s="798" t="s">
        <v>1792</v>
      </c>
      <c r="F70" s="799">
        <f ca="1">F43</f>
        <v>32801.72</v>
      </c>
      <c r="O70" s="2225" t="s">
        <v>2368</v>
      </c>
      <c r="P70" s="2231" t="s">
        <v>2369</v>
      </c>
      <c r="Q70" s="2224">
        <f ca="1">C39</f>
        <v>136</v>
      </c>
      <c r="R70" s="2223" t="s">
        <v>2349</v>
      </c>
    </row>
    <row r="71" spans="1:18" ht="15.75" thickBot="1">
      <c r="O71" s="2225" t="s">
        <v>2370</v>
      </c>
      <c r="P71" s="2231" t="s">
        <v>2371</v>
      </c>
      <c r="Q71" s="2224">
        <f ca="1">C13</f>
        <v>19870</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3677</v>
      </c>
      <c r="R76" s="2227" t="s">
        <v>2361</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70" zoomScaleNormal="60" zoomScaleSheetLayoutView="70" workbookViewId="0">
      <selection activeCell="D10" sqref="D10"/>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3076</v>
      </c>
      <c r="D1" s="2731" t="s">
        <v>3366</v>
      </c>
      <c r="E1" s="2211" t="s">
        <v>2343</v>
      </c>
      <c r="F1" s="2212">
        <f ca="1">J53</f>
        <v>46.76</v>
      </c>
      <c r="G1" s="3191">
        <f>MATCH(C1,'数据-取费表'!A6:A16,0)+5</f>
        <v>7</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8084</v>
      </c>
      <c r="C2" s="3196"/>
      <c r="D2" s="3197"/>
      <c r="E2" s="3198"/>
      <c r="F2" s="3198"/>
      <c r="G2" s="3192"/>
      <c r="H2" s="1909"/>
      <c r="I2" s="1909"/>
      <c r="J2" s="1909"/>
      <c r="K2" s="1910"/>
      <c r="L2" s="1909"/>
      <c r="M2" s="1909"/>
    </row>
    <row r="3" spans="1:33" ht="18" customHeight="1" thickBot="1">
      <c r="A3" s="804" t="s">
        <v>1707</v>
      </c>
      <c r="B3" s="805">
        <f ca="1">IF(ISERROR(B2*10000/F43),0,ROUND(B2*10000/F43,0))</f>
        <v>10270</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466</v>
      </c>
      <c r="D5" s="2316" t="s">
        <v>2422</v>
      </c>
      <c r="E5" s="2310"/>
      <c r="F5" s="2311"/>
      <c r="G5" s="1914"/>
      <c r="H5" s="753">
        <v>1</v>
      </c>
      <c r="I5" s="754" t="s">
        <v>2419</v>
      </c>
      <c r="J5" s="54">
        <f ca="1">J6+J10+J12</f>
        <v>0</v>
      </c>
      <c r="K5" s="2316" t="s">
        <v>2422</v>
      </c>
      <c r="L5" s="2310"/>
      <c r="M5" s="2311"/>
    </row>
    <row r="6" spans="1:33" ht="18" customHeight="1">
      <c r="A6" s="1716" t="s">
        <v>1804</v>
      </c>
      <c r="B6" s="3727" t="s">
        <v>2424</v>
      </c>
      <c r="C6" s="755">
        <f ca="1">ROUND(F6*F8*F7*(1-F9)/10000,0)</f>
        <v>465</v>
      </c>
      <c r="D6" s="2317" t="s">
        <v>2423</v>
      </c>
      <c r="E6" s="756" t="s">
        <v>1718</v>
      </c>
      <c r="F6" s="757">
        <f ca="1">INDIRECT("'数据-取费表'!u"&amp;$G$1)</f>
        <v>1.8</v>
      </c>
      <c r="G6" s="1914"/>
      <c r="H6" s="2324" t="s">
        <v>2429</v>
      </c>
      <c r="I6" s="3727" t="s">
        <v>2424</v>
      </c>
      <c r="J6" s="755">
        <f ca="1">ROUND(M6*M8*M7*(1-M9)/10000,0)</f>
        <v>0</v>
      </c>
      <c r="K6" s="338" t="s">
        <v>1717</v>
      </c>
      <c r="L6" s="756" t="s">
        <v>1718</v>
      </c>
      <c r="M6" s="757">
        <f ca="1">INDIRECT("'数据-取费表'!z"&amp;$G$1)</f>
        <v>0</v>
      </c>
    </row>
    <row r="7" spans="1:33" ht="18" customHeight="1">
      <c r="A7" s="2320"/>
      <c r="B7" s="3728"/>
      <c r="C7" s="760"/>
      <c r="D7" s="761"/>
      <c r="E7" s="756" t="s">
        <v>1719</v>
      </c>
      <c r="F7" s="757">
        <f ca="1">IF(INDIRECT("'数据-取费表'!ah"&amp;$G$1)="",INDIRECT("'数据-取费表'!k"&amp;$G$1),INDIRECT("'数据-取费表'!ah"&amp;$G$1))</f>
        <v>7871.7900000000009</v>
      </c>
      <c r="G7" s="1914"/>
      <c r="H7" s="2309"/>
      <c r="I7" s="3728"/>
      <c r="J7" s="760"/>
      <c r="K7" s="761"/>
      <c r="L7" s="756" t="s">
        <v>1719</v>
      </c>
      <c r="M7" s="757">
        <f ca="1">F7</f>
        <v>7871.7900000000009</v>
      </c>
    </row>
    <row r="8" spans="1:33" ht="18" customHeight="1">
      <c r="A8" s="2313"/>
      <c r="B8" s="3729"/>
      <c r="C8" s="760"/>
      <c r="D8" s="761"/>
      <c r="E8" s="756" t="s">
        <v>1720</v>
      </c>
      <c r="F8" s="757">
        <f ca="1">INDIRECT("'数据-取费表'!ai"&amp;$G$1)</f>
        <v>365</v>
      </c>
      <c r="G8" s="1914"/>
      <c r="H8" s="2309"/>
      <c r="I8" s="3729"/>
      <c r="J8" s="760"/>
      <c r="K8" s="761"/>
      <c r="L8" s="756" t="s">
        <v>1720</v>
      </c>
      <c r="M8" s="757">
        <f ca="1">INDIRECT("'数据-取费表'!ai"&amp;$G$1)</f>
        <v>365</v>
      </c>
    </row>
    <row r="9" spans="1:33" ht="18" customHeight="1">
      <c r="A9" s="758"/>
      <c r="B9" s="3730"/>
      <c r="C9" s="760"/>
      <c r="D9" s="761"/>
      <c r="E9" s="756" t="s">
        <v>1721</v>
      </c>
      <c r="F9" s="766">
        <f ca="1">INDIRECT("'数据-取费表'!w"&amp;$G$1)</f>
        <v>0.1</v>
      </c>
      <c r="G9" s="1914"/>
      <c r="H9" s="2325"/>
      <c r="I9" s="3729"/>
      <c r="J9" s="760"/>
      <c r="K9" s="761"/>
      <c r="L9" s="767" t="s">
        <v>1721</v>
      </c>
      <c r="M9" s="768">
        <f ca="1">INDIRECT("'数据-取费表'!ab"&amp;$G$1)</f>
        <v>0</v>
      </c>
    </row>
    <row r="10" spans="1:33" ht="18" customHeight="1">
      <c r="A10" s="1716" t="s">
        <v>2427</v>
      </c>
      <c r="B10" s="2314" t="s">
        <v>2420</v>
      </c>
      <c r="C10" s="771">
        <f ca="1">ROUND(IF(F10="押一",C6/12*F11,IF(F10="押二",C6/12*2*F11,IF(F10="押三",C6/12*3*F11,C11*F11))),0)</f>
        <v>1</v>
      </c>
      <c r="D10" s="2321" t="s">
        <v>2854</v>
      </c>
      <c r="E10" s="2318" t="s">
        <v>2425</v>
      </c>
      <c r="F10" s="2402" t="s">
        <v>3359</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4989</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3543</v>
      </c>
      <c r="D14" s="1862" t="s">
        <v>1725</v>
      </c>
      <c r="E14" s="1863"/>
      <c r="F14" s="777"/>
      <c r="G14" s="1914"/>
      <c r="H14" s="1549" t="s">
        <v>1810</v>
      </c>
      <c r="I14" s="2080" t="s">
        <v>2724</v>
      </c>
      <c r="J14" s="52">
        <f ca="1">C29</f>
        <v>4989</v>
      </c>
      <c r="K14" s="25"/>
      <c r="L14" s="773"/>
      <c r="M14" s="774"/>
    </row>
    <row r="15" spans="1:33" s="1916" customFormat="1" ht="18" customHeight="1" thickBot="1">
      <c r="A15" s="1548" t="s">
        <v>1861</v>
      </c>
      <c r="B15" s="756" t="s">
        <v>630</v>
      </c>
      <c r="C15" s="52">
        <f ca="1">ROUND(C14*F15,0)</f>
        <v>106</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494</v>
      </c>
      <c r="K16" s="1707" t="s">
        <v>1730</v>
      </c>
      <c r="L16" s="2306"/>
      <c r="M16" s="2311"/>
    </row>
    <row r="17" spans="1:33" s="1916" customFormat="1" ht="18" customHeight="1">
      <c r="A17" s="1548" t="s">
        <v>1863</v>
      </c>
      <c r="B17" s="756" t="s">
        <v>636</v>
      </c>
      <c r="C17" s="52">
        <f ca="1">ROUND(F17*(F43+INDIRECT("'数据-取费表'!S"&amp;$G$1))/10000,0)</f>
        <v>177</v>
      </c>
      <c r="D17" s="756" t="s">
        <v>1731</v>
      </c>
      <c r="E17" s="756" t="s">
        <v>1732</v>
      </c>
      <c r="F17" s="55">
        <f>'数据-取费表'!B35</f>
        <v>200</v>
      </c>
      <c r="G17" s="3193"/>
      <c r="H17" s="1549" t="s">
        <v>1810</v>
      </c>
      <c r="I17" s="756" t="s">
        <v>639</v>
      </c>
      <c r="J17" s="2951">
        <f ca="1">ROUND(IF(AND(项目基本情况!B11="自然人",项目基本情况!B10="北京市"),J6*M17/(1+'数据-取费表'!C42),J18+J19+J20),0)</f>
        <v>419</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53</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3879</v>
      </c>
      <c r="D19" s="258" t="s">
        <v>1737</v>
      </c>
      <c r="E19" s="1865"/>
      <c r="F19" s="55"/>
      <c r="G19" s="1914"/>
      <c r="H19" s="1548" t="s">
        <v>1861</v>
      </c>
      <c r="I19" s="756" t="s">
        <v>1738</v>
      </c>
      <c r="J19" s="52">
        <f ca="1">IF(K19="按租金收入计税",ROUND(J6*M19/(1+'数据-取费表'!C42),1),ROUND(C29*F33*0.7,1))</f>
        <v>419.1</v>
      </c>
      <c r="K19" s="782" t="s">
        <v>648</v>
      </c>
      <c r="L19" s="756" t="s">
        <v>1727</v>
      </c>
      <c r="M19" s="781">
        <f>IF(K19="按租金收入计税",'数据-取费表'!B51,'数据-取费表'!B50)</f>
        <v>1.2E-2</v>
      </c>
    </row>
    <row r="20" spans="1:33" s="1916" customFormat="1" ht="18" customHeight="1">
      <c r="A20" s="1549" t="s">
        <v>1865</v>
      </c>
      <c r="B20" s="756" t="s">
        <v>649</v>
      </c>
      <c r="C20" s="52">
        <f ca="1">ROUND(C19*F20,0)</f>
        <v>78</v>
      </c>
      <c r="D20" s="783" t="s">
        <v>1739</v>
      </c>
      <c r="E20" s="756" t="s">
        <v>1727</v>
      </c>
      <c r="F20" s="781">
        <f>'数据-取费表'!B37</f>
        <v>0.02</v>
      </c>
      <c r="G20" s="3193"/>
      <c r="H20" s="1551" t="s">
        <v>1856</v>
      </c>
      <c r="I20" s="338" t="s">
        <v>1740</v>
      </c>
      <c r="J20" s="53">
        <f ca="1">ROUND(M20*M21/10000,0)</f>
        <v>0</v>
      </c>
      <c r="K20" s="785" t="s">
        <v>1741</v>
      </c>
      <c r="L20" s="756" t="s">
        <v>1742</v>
      </c>
      <c r="M20" s="614">
        <f>'数据-取费表'!B52</f>
        <v>1.5</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2162.38</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75</v>
      </c>
      <c r="K22" s="2304" t="s">
        <v>1749</v>
      </c>
      <c r="L22" s="756" t="s">
        <v>1727</v>
      </c>
      <c r="M22" s="788">
        <f ca="1">INDIRECT("'数据-取费表'!Ak"&amp;$G$1)</f>
        <v>1.4999999999999999E-2</v>
      </c>
    </row>
    <row r="23" spans="1:33" s="1916" customFormat="1" ht="18" customHeight="1">
      <c r="A23" s="1548" t="s">
        <v>1811</v>
      </c>
      <c r="B23" s="756" t="s">
        <v>2435</v>
      </c>
      <c r="C23" s="52">
        <f ca="1">ROUND(IF('数据-取费表'!B22&lt;=1,(C19+C20)*F24*F23/2,(C19+C20)*(POWER((1+F24),F23/2)-1)),0)</f>
        <v>258</v>
      </c>
      <c r="D23" s="2360" t="str">
        <f>IF(F23&lt;=1,"(建造成本+管理费用)×利率×(建设周期÷2)","(建造成本+管理费用)×((1+利率)^(建设周期÷2)-1)")</f>
        <v>(建造成本+管理费用)×((1+利率)^(建设周期÷2)-1)</v>
      </c>
      <c r="E23" s="756" t="s">
        <v>1750</v>
      </c>
      <c r="F23" s="614">
        <f>'数据-取费表'!B20</f>
        <v>3</v>
      </c>
      <c r="G23" s="3193"/>
      <c r="H23" s="1549" t="s">
        <v>1866</v>
      </c>
      <c r="I23" s="756" t="s">
        <v>662</v>
      </c>
      <c r="J23" s="52">
        <f ca="1">ROUND(J13*M23,0)</f>
        <v>0</v>
      </c>
      <c r="K23" s="2304" t="s">
        <v>1751</v>
      </c>
      <c r="L23" s="756" t="s">
        <v>1727</v>
      </c>
      <c r="M23" s="789">
        <f ca="1">INDIRECT("'数据-取费表'!Al"&amp;$G$1)</f>
        <v>1.5E-3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1.2999999999999999E-3</v>
      </c>
      <c r="D24" s="2360" t="str">
        <f>IF(F23&lt;=1,"销售费用×利率×(建设周期÷2)","销售费用×((1+利率)^(建设周期÷2)-1)")</f>
        <v>销售费用×((1+利率)^(建设周期÷2)-1)</v>
      </c>
      <c r="E24" s="756" t="s">
        <v>1753</v>
      </c>
      <c r="F24" s="790">
        <f ca="1">'数据-取费表'!B40</f>
        <v>4.2999999999999997E-2</v>
      </c>
      <c r="G24" s="3193"/>
      <c r="H24" s="2342" t="s">
        <v>1867</v>
      </c>
      <c r="I24" s="2337" t="s">
        <v>649</v>
      </c>
      <c r="J24" s="2335">
        <f ca="1">ROUND(J5*M24,0)</f>
        <v>0</v>
      </c>
      <c r="K24" s="2336" t="s">
        <v>1754</v>
      </c>
      <c r="L24" s="2337" t="s">
        <v>1727</v>
      </c>
      <c r="M24" s="2333">
        <f ca="1">INDIRECT("'数据-取费表'!Am"&amp;$G$1)</f>
        <v>1.4999999999999999E-2</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-494</v>
      </c>
      <c r="K25" s="2339" t="s">
        <v>1757</v>
      </c>
      <c r="L25" s="2340"/>
      <c r="M25" s="2341"/>
    </row>
    <row r="26" spans="1:33" ht="18" customHeight="1">
      <c r="A26" s="1548" t="s">
        <v>1811</v>
      </c>
      <c r="B26" s="756" t="s">
        <v>2402</v>
      </c>
      <c r="C26" s="52">
        <f ca="1">ROUND((C19+C20)*F26,0)</f>
        <v>396</v>
      </c>
      <c r="D26" s="783" t="s">
        <v>1758</v>
      </c>
      <c r="E26" s="767" t="s">
        <v>1759</v>
      </c>
      <c r="F26" s="766">
        <f ca="1">INDIRECT("'数据-取费表'!q"&amp;$G$1)</f>
        <v>0.1</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2E-3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5.2400000000000002E-2</v>
      </c>
      <c r="D28" s="783" t="s">
        <v>2271</v>
      </c>
      <c r="E28" s="756" t="s">
        <v>1765</v>
      </c>
      <c r="F28" s="781">
        <f>'数据-取费表'!B41</f>
        <v>5.5000000000000007E-2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4989</v>
      </c>
      <c r="D29" s="2336"/>
      <c r="E29" s="2337"/>
      <c r="F29" s="2338"/>
      <c r="G29" s="3193"/>
      <c r="H29" s="794" t="s">
        <v>1767</v>
      </c>
      <c r="I29" s="795" t="s">
        <v>1768</v>
      </c>
      <c r="J29" s="796">
        <f ca="1">ROUND(J26/(1+F40)^F41,0)</f>
        <v>0</v>
      </c>
      <c r="K29" s="797" t="s">
        <v>1769</v>
      </c>
      <c r="L29" s="798"/>
      <c r="M29" s="799">
        <f ca="1">INDIRECT("'数据-取费表'!k"&amp;$G$1)</f>
        <v>7871.7900000000009</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167</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78</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24.4</v>
      </c>
      <c r="D32" s="1860" t="s">
        <v>1775</v>
      </c>
      <c r="E32" s="756" t="s">
        <v>1776</v>
      </c>
      <c r="F32" s="781">
        <f>'数据-取费表'!B41</f>
        <v>5.5000000000000007E-2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53.1</v>
      </c>
      <c r="D33" s="782" t="s">
        <v>3365</v>
      </c>
      <c r="E33" s="756" t="s">
        <v>1776</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0.3</v>
      </c>
      <c r="D34" s="785" t="s">
        <v>1779</v>
      </c>
      <c r="E34" s="756" t="s">
        <v>1780</v>
      </c>
      <c r="F34" s="614">
        <f>'数据-取费表'!B52</f>
        <v>1.5</v>
      </c>
      <c r="G34" s="1914"/>
      <c r="H34" s="1917"/>
      <c r="I34" s="806" t="s">
        <v>1793</v>
      </c>
      <c r="J34" s="807"/>
      <c r="K34" s="1932"/>
      <c r="L34" s="1931"/>
      <c r="M34" s="1931"/>
    </row>
    <row r="35" spans="1:18" ht="18" customHeight="1">
      <c r="A35" s="786"/>
      <c r="B35" s="765"/>
      <c r="C35" s="68"/>
      <c r="D35" s="787"/>
      <c r="E35" s="756" t="s">
        <v>1781</v>
      </c>
      <c r="F35" s="757">
        <f ca="1">INDIRECT("'数据-取费表'!r"&amp;$G$1)</f>
        <v>2162.38</v>
      </c>
      <c r="G35" s="1914"/>
      <c r="H35" s="1917"/>
      <c r="I35" s="808" t="s">
        <v>1794</v>
      </c>
      <c r="J35" s="809">
        <f ca="1">ROUND(C13*J36,0)</f>
        <v>424</v>
      </c>
      <c r="K35" s="1930"/>
      <c r="L35" s="1929"/>
      <c r="M35" s="1929"/>
    </row>
    <row r="36" spans="1:18" ht="18" customHeight="1">
      <c r="A36" s="1549" t="s">
        <v>1865</v>
      </c>
      <c r="B36" s="756" t="s">
        <v>1782</v>
      </c>
      <c r="C36" s="52">
        <f ca="1">ROUND(C29*F36,1)</f>
        <v>74.8</v>
      </c>
      <c r="D36" s="1860" t="s">
        <v>1783</v>
      </c>
      <c r="E36" s="756" t="s">
        <v>1776</v>
      </c>
      <c r="F36" s="788">
        <f ca="1">INDIRECT("'数据-取费表'!Ak"&amp;$G$1)</f>
        <v>1.4999999999999999E-2</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7.5</v>
      </c>
      <c r="D37" s="1860" t="s">
        <v>1784</v>
      </c>
      <c r="E37" s="756" t="s">
        <v>1776</v>
      </c>
      <c r="F37" s="789">
        <f ca="1">INDIRECT("'数据-取费表'!Al"&amp;$G$1)</f>
        <v>1.5E-3</v>
      </c>
      <c r="G37" s="1914"/>
      <c r="H37" s="1929"/>
      <c r="I37" s="812" t="s">
        <v>1796</v>
      </c>
      <c r="J37" s="813"/>
      <c r="K37" s="1933"/>
      <c r="L37" s="1929"/>
      <c r="M37" s="1929"/>
    </row>
    <row r="38" spans="1:18" ht="18" customHeight="1" thickBot="1">
      <c r="A38" s="2342" t="s">
        <v>1867</v>
      </c>
      <c r="B38" s="2337" t="s">
        <v>649</v>
      </c>
      <c r="C38" s="2335">
        <f ca="1">ROUND(C5*F38,1)</f>
        <v>7</v>
      </c>
      <c r="D38" s="2336" t="s">
        <v>1785</v>
      </c>
      <c r="E38" s="2337" t="s">
        <v>1776</v>
      </c>
      <c r="F38" s="2333">
        <f ca="1">INDIRECT("'数据-取费表'!Am"&amp;$G$1)</f>
        <v>1.4999999999999999E-2</v>
      </c>
      <c r="G38" s="1914"/>
      <c r="H38" s="1929"/>
      <c r="I38" s="814" t="s">
        <v>1797</v>
      </c>
      <c r="J38" s="815"/>
      <c r="K38" s="1934"/>
      <c r="L38" s="1929"/>
      <c r="M38" s="1929"/>
    </row>
    <row r="39" spans="1:18" ht="24.6" customHeight="1" thickTop="1">
      <c r="A39" s="1715" t="s">
        <v>1870</v>
      </c>
      <c r="B39" s="2659" t="s">
        <v>2720</v>
      </c>
      <c r="C39" s="764">
        <f ca="1">C5-C30</f>
        <v>299</v>
      </c>
      <c r="D39" s="2339" t="s">
        <v>1786</v>
      </c>
      <c r="E39" s="2340"/>
      <c r="F39" s="2341"/>
      <c r="G39" s="1914"/>
      <c r="H39" s="1929"/>
      <c r="I39" s="808" t="s">
        <v>1798</v>
      </c>
      <c r="J39" s="816">
        <f ca="1">ROUND(J35/C39,3)</f>
        <v>1.4179999999999999</v>
      </c>
      <c r="K39" s="1934"/>
      <c r="L39" s="1929"/>
      <c r="M39" s="1929"/>
    </row>
    <row r="40" spans="1:18" ht="18" customHeight="1">
      <c r="A40" s="753" t="s">
        <v>1871</v>
      </c>
      <c r="B40" s="2081" t="s">
        <v>2273</v>
      </c>
      <c r="C40" s="755">
        <f ca="1">ROUND(C39*(1-((1+F42)/(1+F40))^F41)/(F40-F42),0)</f>
        <v>8084</v>
      </c>
      <c r="D40" s="785" t="s">
        <v>1787</v>
      </c>
      <c r="E40" s="756" t="s">
        <v>2388</v>
      </c>
      <c r="F40" s="766">
        <f ca="1">INDIRECT("'数据-取费表'!I"&amp;$G$1)</f>
        <v>0.05</v>
      </c>
      <c r="G40" s="1914"/>
      <c r="H40" s="1914"/>
      <c r="I40" s="808" t="s">
        <v>1799</v>
      </c>
      <c r="J40" s="816">
        <f ca="1">1-J39</f>
        <v>-0.41799999999999993</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46.76</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0.61699999999999999</v>
      </c>
      <c r="K42" s="1933"/>
      <c r="L42" s="1869"/>
      <c r="M42" s="1869"/>
    </row>
    <row r="43" spans="1:18" ht="18" customHeight="1" thickBot="1">
      <c r="A43" s="794" t="s">
        <v>1767</v>
      </c>
      <c r="B43" s="795" t="s">
        <v>1790</v>
      </c>
      <c r="C43" s="796">
        <f ca="1">ROUND(C40*10000/F43,0)</f>
        <v>10270</v>
      </c>
      <c r="D43" s="797" t="s">
        <v>1791</v>
      </c>
      <c r="E43" s="798" t="s">
        <v>1792</v>
      </c>
      <c r="F43" s="799">
        <f ca="1">INDIRECT("'数据-取费表'!k"&amp;$G$1)</f>
        <v>7871.7900000000009</v>
      </c>
      <c r="G43" s="1914"/>
      <c r="H43" s="1869"/>
      <c r="I43" s="818" t="s">
        <v>1802</v>
      </c>
      <c r="J43" s="819">
        <f ca="1">1-J42</f>
        <v>0.38300000000000001</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-9556</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49.76</v>
      </c>
      <c r="M48" s="3195"/>
      <c r="O48" s="2222" t="s">
        <v>2348</v>
      </c>
      <c r="P48" s="2223" t="s">
        <v>2374</v>
      </c>
      <c r="Q48" s="2224">
        <f ca="1">C40+J29</f>
        <v>8084</v>
      </c>
      <c r="R48" s="2223" t="s">
        <v>2349</v>
      </c>
    </row>
    <row r="49" spans="1:18" s="1911" customFormat="1" ht="18" customHeight="1" thickBot="1">
      <c r="A49" s="758"/>
      <c r="B49" s="759"/>
      <c r="C49" s="760"/>
      <c r="D49" s="761"/>
      <c r="E49" s="756" t="s">
        <v>1719</v>
      </c>
      <c r="F49" s="757">
        <f ca="1">F7</f>
        <v>7871.7900000000009</v>
      </c>
      <c r="G49" s="1941"/>
      <c r="H49" s="1944"/>
      <c r="I49" s="2732" t="s">
        <v>2315</v>
      </c>
      <c r="J49" s="2207">
        <v>2024</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365</v>
      </c>
      <c r="G50" s="1946"/>
      <c r="H50" s="1944"/>
      <c r="I50" s="2732" t="s">
        <v>2316</v>
      </c>
      <c r="J50" s="2739">
        <f>SUMPRODUCT((I63:I65=J47)*(J62:L62=J48)*(J63:L65))</f>
        <v>60</v>
      </c>
      <c r="K50" s="2743" t="s">
        <v>2322</v>
      </c>
      <c r="L50" s="2208"/>
      <c r="M50" s="3195"/>
      <c r="O50" s="2225" t="s">
        <v>2352</v>
      </c>
      <c r="P50" s="2223" t="s">
        <v>2376</v>
      </c>
      <c r="Q50" s="2224">
        <f ca="1">C29</f>
        <v>4989</v>
      </c>
      <c r="R50" s="2223" t="s">
        <v>2349</v>
      </c>
    </row>
    <row r="51" spans="1:18" s="1911" customFormat="1" ht="18" customHeight="1" thickBot="1">
      <c r="A51" s="758"/>
      <c r="B51" s="759"/>
      <c r="C51" s="760"/>
      <c r="D51" s="761"/>
      <c r="E51" s="756" t="s">
        <v>623</v>
      </c>
      <c r="F51" s="2195"/>
      <c r="H51" s="1944"/>
      <c r="I51" s="2736" t="s">
        <v>2317</v>
      </c>
      <c r="J51" s="2740">
        <f>IF(J49="",J50,J49+J50-YEAR('数据-取费表'!B2))</f>
        <v>62</v>
      </c>
      <c r="K51" s="2732" t="s">
        <v>2323</v>
      </c>
      <c r="L51" s="2746">
        <f ca="1">ROUND(-PV(INDIRECT("'数据-取费表'!h"&amp;$G$1),J51,(C39-C13*J36),0),0)</f>
        <v>-2598</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46.76</v>
      </c>
      <c r="K53" s="3733" t="s">
        <v>2847</v>
      </c>
      <c r="L53" s="3734"/>
      <c r="M53" s="3195"/>
      <c r="O53" s="2225" t="s">
        <v>2357</v>
      </c>
      <c r="P53" s="2223" t="s">
        <v>2358</v>
      </c>
      <c r="Q53" s="2224">
        <f ca="1">J53</f>
        <v>46.76</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8084</v>
      </c>
      <c r="R54" s="2227" t="s">
        <v>2361</v>
      </c>
    </row>
    <row r="55" spans="1:18" s="1911" customFormat="1" ht="18" customHeight="1" thickTop="1" thickBot="1">
      <c r="A55" s="769">
        <v>2</v>
      </c>
      <c r="B55" s="770" t="s">
        <v>627</v>
      </c>
      <c r="C55" s="771">
        <f ca="1">C13</f>
        <v>4989</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4989</v>
      </c>
      <c r="D56" s="2418"/>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1728</v>
      </c>
      <c r="B57" s="770" t="s">
        <v>634</v>
      </c>
      <c r="C57" s="771">
        <f ca="1">ROUND(C58+C63+C64+C65,0)</f>
        <v>82</v>
      </c>
      <c r="D57" s="25" t="s">
        <v>1730</v>
      </c>
      <c r="E57" s="2419"/>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8084</v>
      </c>
      <c r="R57" s="2223" t="s">
        <v>2349</v>
      </c>
    </row>
    <row r="58" spans="1:18" s="1911" customFormat="1" ht="28.5" customHeight="1" thickBot="1">
      <c r="A58" s="1549" t="s">
        <v>1804</v>
      </c>
      <c r="B58" s="756" t="s">
        <v>639</v>
      </c>
      <c r="C58" s="2951">
        <f ca="1">ROUND(IF(AND(项目基本情况!B11="自然人",项目基本情况!B10="北京市"),C48*F58/(1+'数据-取费表'!C42),C59+C60+C61),0)</f>
        <v>0</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5.5000000000000007E-2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2418"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0.3</v>
      </c>
      <c r="D61" s="785" t="s">
        <v>652</v>
      </c>
      <c r="E61" s="756" t="s">
        <v>653</v>
      </c>
      <c r="F61" s="614">
        <f t="shared" si="0"/>
        <v>1.5</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2162.38</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74.8</v>
      </c>
      <c r="D63" s="2418" t="s">
        <v>1783</v>
      </c>
      <c r="E63" s="756" t="s">
        <v>1727</v>
      </c>
      <c r="F63" s="788">
        <f t="shared" ca="1" si="0"/>
        <v>1.4999999999999999E-2</v>
      </c>
      <c r="I63" s="2757" t="s">
        <v>2339</v>
      </c>
      <c r="J63" s="2758">
        <v>70</v>
      </c>
      <c r="K63" s="2758">
        <v>50</v>
      </c>
      <c r="L63" s="2758">
        <v>80</v>
      </c>
      <c r="M63" s="2760">
        <v>0.02</v>
      </c>
      <c r="O63" s="2222" t="s">
        <v>2360</v>
      </c>
      <c r="P63" s="2223" t="s">
        <v>2377</v>
      </c>
      <c r="Q63" s="2224">
        <f ca="1">Q57+Q58</f>
        <v>8084</v>
      </c>
      <c r="R63" s="2227" t="s">
        <v>2361</v>
      </c>
    </row>
    <row r="64" spans="1:18" s="1911" customFormat="1" ht="16.5" thickBot="1">
      <c r="A64" s="1549" t="s">
        <v>1866</v>
      </c>
      <c r="B64" s="756" t="s">
        <v>662</v>
      </c>
      <c r="C64" s="52">
        <f ca="1">ROUND(C55*F64,1)</f>
        <v>7.5</v>
      </c>
      <c r="D64" s="2418" t="s">
        <v>663</v>
      </c>
      <c r="E64" s="756" t="s">
        <v>1727</v>
      </c>
      <c r="F64" s="789">
        <f t="shared" ca="1" si="0"/>
        <v>1.5E-3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1.4999999999999999E-2</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-82</v>
      </c>
      <c r="D66" s="2417" t="s">
        <v>683</v>
      </c>
      <c r="E66" s="2416"/>
      <c r="F66" s="791"/>
      <c r="K66" s="1937"/>
      <c r="O66" s="2222" t="s">
        <v>2348</v>
      </c>
      <c r="P66" s="2223" t="s">
        <v>2378</v>
      </c>
      <c r="Q66" s="2224">
        <f ca="1">C40+J29</f>
        <v>8084</v>
      </c>
      <c r="R66" s="2223" t="s">
        <v>2349</v>
      </c>
    </row>
    <row r="67" spans="1:18" s="1911" customFormat="1" ht="20.25" thickBot="1">
      <c r="A67" s="753" t="s">
        <v>1760</v>
      </c>
      <c r="B67" s="2081" t="s">
        <v>2273</v>
      </c>
      <c r="C67" s="755">
        <f ca="1">ROUND(C66*(1-((1+F69)/(1+F67))^F68)/(F67-F69),0)</f>
        <v>-1472</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46.76</v>
      </c>
      <c r="O68" s="2225" t="s">
        <v>2352</v>
      </c>
      <c r="P68" s="2223" t="s">
        <v>2382</v>
      </c>
      <c r="Q68" s="2229">
        <f ca="1">L51</f>
        <v>-2598</v>
      </c>
      <c r="R68" s="2230" t="s">
        <v>2385</v>
      </c>
    </row>
    <row r="69" spans="1:18" ht="20.25" thickBot="1">
      <c r="A69" s="762"/>
      <c r="B69" s="763"/>
      <c r="C69" s="764"/>
      <c r="D69" s="787"/>
      <c r="E69" s="756" t="s">
        <v>693</v>
      </c>
      <c r="F69" s="2195"/>
      <c r="O69" s="2225" t="s">
        <v>2353</v>
      </c>
      <c r="P69" s="2231" t="s">
        <v>2367</v>
      </c>
      <c r="Q69" s="2224">
        <f ca="1">ROUND(Q70-Q71*Q72,0)</f>
        <v>-125</v>
      </c>
      <c r="R69" s="2227"/>
    </row>
    <row r="70" spans="1:18" ht="15.75" thickBot="1">
      <c r="A70" s="794" t="s">
        <v>1767</v>
      </c>
      <c r="B70" s="795" t="s">
        <v>1790</v>
      </c>
      <c r="C70" s="796">
        <f ca="1">ROUND(C67*10000/F70,0)</f>
        <v>-1870</v>
      </c>
      <c r="D70" s="797" t="s">
        <v>1791</v>
      </c>
      <c r="E70" s="798" t="s">
        <v>1792</v>
      </c>
      <c r="F70" s="799">
        <f ca="1">F43</f>
        <v>7871.7900000000009</v>
      </c>
      <c r="O70" s="2225" t="s">
        <v>2368</v>
      </c>
      <c r="P70" s="2231" t="s">
        <v>2369</v>
      </c>
      <c r="Q70" s="2224">
        <f ca="1">C39</f>
        <v>299</v>
      </c>
      <c r="R70" s="2223" t="s">
        <v>2349</v>
      </c>
    </row>
    <row r="71" spans="1:18" ht="15.75" thickBot="1">
      <c r="O71" s="2225" t="s">
        <v>2370</v>
      </c>
      <c r="P71" s="2231" t="s">
        <v>2371</v>
      </c>
      <c r="Q71" s="2224">
        <f ca="1">C13</f>
        <v>4989</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8084</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35" t="s">
        <v>2930</v>
      </c>
      <c r="K2" s="3736"/>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37" t="s">
        <v>2940</v>
      </c>
      <c r="K3" s="3738"/>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37" t="s">
        <v>2942</v>
      </c>
      <c r="K4" s="3738"/>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39" t="s">
        <v>2946</v>
      </c>
      <c r="B6" s="3740"/>
      <c r="C6" s="3741"/>
      <c r="D6" s="3288"/>
      <c r="E6" s="3289"/>
      <c r="F6" s="3290"/>
      <c r="G6" s="3291"/>
      <c r="H6" s="3266"/>
      <c r="I6" s="3267"/>
      <c r="J6" s="3742">
        <v>1</v>
      </c>
      <c r="K6" s="3743"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42"/>
      <c r="K7" s="3744"/>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46" t="s">
        <v>2960</v>
      </c>
      <c r="C8" s="3747"/>
      <c r="D8" s="3307" t="s">
        <v>2961</v>
      </c>
      <c r="E8" s="3308" t="s">
        <v>2962</v>
      </c>
      <c r="F8" s="3309" t="s">
        <v>2963</v>
      </c>
      <c r="G8" s="3310"/>
      <c r="H8" s="3266"/>
      <c r="I8" s="3267"/>
      <c r="J8" s="3742"/>
      <c r="K8" s="3744"/>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46" t="s">
        <v>2966</v>
      </c>
      <c r="C9" s="3747"/>
      <c r="D9" s="3307">
        <f>ROUND(D6*E9,0)</f>
        <v>0</v>
      </c>
      <c r="E9" s="3311"/>
      <c r="F9" s="3312" t="s">
        <v>2967</v>
      </c>
      <c r="G9" s="3291"/>
      <c r="H9" s="3266"/>
      <c r="I9" s="3267"/>
      <c r="J9" s="3742"/>
      <c r="K9" s="3744"/>
      <c r="L9" s="3301" t="s">
        <v>2968</v>
      </c>
      <c r="M9" s="3302"/>
      <c r="N9" s="3278"/>
      <c r="O9" s="3303"/>
      <c r="P9" s="3303"/>
      <c r="Q9" s="3304">
        <v>365</v>
      </c>
      <c r="R9" s="3305">
        <f t="shared" si="0"/>
        <v>0</v>
      </c>
      <c r="S9" s="3258"/>
      <c r="T9" s="3258"/>
      <c r="U9" s="3258"/>
      <c r="V9" s="3267"/>
    </row>
    <row r="10" spans="1:22" s="3271" customFormat="1" ht="13.15" customHeight="1">
      <c r="A10" s="3306">
        <v>2</v>
      </c>
      <c r="B10" s="3746" t="s">
        <v>2969</v>
      </c>
      <c r="C10" s="3747"/>
      <c r="D10" s="3307">
        <f>ROUND(D6*E10,0)</f>
        <v>0</v>
      </c>
      <c r="E10" s="3311"/>
      <c r="F10" s="3312" t="s">
        <v>2970</v>
      </c>
      <c r="G10" s="3291"/>
      <c r="H10" s="3266"/>
      <c r="I10" s="3267"/>
      <c r="J10" s="3742"/>
      <c r="K10" s="3744"/>
      <c r="L10" s="3301" t="s">
        <v>2971</v>
      </c>
      <c r="M10" s="3302"/>
      <c r="N10" s="3278"/>
      <c r="O10" s="3303"/>
      <c r="P10" s="3303"/>
      <c r="Q10" s="3304">
        <v>365</v>
      </c>
      <c r="R10" s="3305">
        <f t="shared" si="0"/>
        <v>0</v>
      </c>
      <c r="S10" s="3258"/>
      <c r="T10" s="3258"/>
      <c r="U10" s="3258"/>
      <c r="V10" s="3267"/>
    </row>
    <row r="11" spans="1:22" s="3271" customFormat="1" ht="13.15" customHeight="1">
      <c r="A11" s="3306">
        <v>3</v>
      </c>
      <c r="B11" s="3746" t="s">
        <v>2972</v>
      </c>
      <c r="C11" s="3747"/>
      <c r="D11" s="3307">
        <f>D12+D14+D15+D16</f>
        <v>0</v>
      </c>
      <c r="E11" s="3313" t="e">
        <f>D11/D6</f>
        <v>#DIV/0!</v>
      </c>
      <c r="F11" s="3309"/>
      <c r="G11" s="3310"/>
      <c r="H11" s="3266"/>
      <c r="I11" s="3267"/>
      <c r="J11" s="3742"/>
      <c r="K11" s="3744"/>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48" t="s">
        <v>2975</v>
      </c>
      <c r="C12" s="3749"/>
      <c r="D12" s="3315">
        <f>ROUND(D13*1.2%*(1-30%),0)</f>
        <v>0</v>
      </c>
      <c r="E12" s="3316">
        <v>1.2E-2</v>
      </c>
      <c r="F12" s="3309" t="s">
        <v>2976</v>
      </c>
      <c r="G12" s="3310"/>
      <c r="H12" s="3266"/>
      <c r="I12" s="3267"/>
      <c r="J12" s="3742"/>
      <c r="K12" s="3744"/>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42"/>
      <c r="K13" s="3744"/>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48" t="s">
        <v>2981</v>
      </c>
      <c r="C14" s="3749"/>
      <c r="D14" s="3315">
        <f>ROUND(E14*B5/10000,0)</f>
        <v>0</v>
      </c>
      <c r="E14" s="3304"/>
      <c r="F14" s="3309" t="s">
        <v>2982</v>
      </c>
      <c r="G14" s="3310"/>
      <c r="H14" s="3266"/>
      <c r="I14" s="3267"/>
      <c r="J14" s="3742"/>
      <c r="K14" s="3745"/>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48" t="s">
        <v>2985</v>
      </c>
      <c r="C15" s="3749"/>
      <c r="D15" s="3315">
        <f>ROUND(D6*E15,0)</f>
        <v>0</v>
      </c>
      <c r="E15" s="3316">
        <v>5.5E-2</v>
      </c>
      <c r="F15" s="3309" t="s">
        <v>2986</v>
      </c>
      <c r="G15" s="3291"/>
      <c r="H15" s="3266"/>
      <c r="I15" s="3267"/>
      <c r="J15" s="3742">
        <v>2</v>
      </c>
      <c r="K15" s="3743"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48" t="s">
        <v>2996</v>
      </c>
      <c r="C16" s="3749"/>
      <c r="D16" s="3326">
        <f>D6*E16</f>
        <v>0</v>
      </c>
      <c r="E16" s="3327"/>
      <c r="F16" s="3312" t="s">
        <v>2997</v>
      </c>
      <c r="G16" s="3291"/>
      <c r="H16" s="3266"/>
      <c r="I16" s="3267"/>
      <c r="J16" s="3742"/>
      <c r="K16" s="3744"/>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50" t="s">
        <v>2999</v>
      </c>
      <c r="C17" s="3751"/>
      <c r="D17" s="3329">
        <f>ROUND(D6*E17,0)</f>
        <v>0</v>
      </c>
      <c r="E17" s="3330"/>
      <c r="F17" s="3331" t="s">
        <v>3000</v>
      </c>
      <c r="G17" s="3291"/>
      <c r="H17" s="3266"/>
      <c r="I17" s="3267"/>
      <c r="J17" s="3742"/>
      <c r="K17" s="3744"/>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42"/>
      <c r="K18" s="3744"/>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42"/>
      <c r="K19" s="3745"/>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42">
        <v>3</v>
      </c>
      <c r="K20" s="3743"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42"/>
      <c r="K21" s="3744"/>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42"/>
      <c r="K22" s="3744"/>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42"/>
      <c r="K23" s="3744"/>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42"/>
      <c r="K24" s="3745"/>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52">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53"/>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35" t="s">
        <v>3042</v>
      </c>
      <c r="K32" s="3736"/>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37" t="s">
        <v>3046</v>
      </c>
      <c r="K33" s="3738"/>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37" t="s">
        <v>3048</v>
      </c>
      <c r="K34" s="3738"/>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42">
        <v>1</v>
      </c>
      <c r="K36" s="3743"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42"/>
      <c r="K37" s="3744"/>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42"/>
      <c r="K38" s="3744"/>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42"/>
      <c r="K39" s="3744"/>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42"/>
      <c r="K40" s="3745"/>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52">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53"/>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1751</v>
      </c>
      <c r="D12" s="3203">
        <f>'数据-汇总表'!E5</f>
        <v>109449.33</v>
      </c>
      <c r="E12" s="3203">
        <f>'数据-取费表'!B27</f>
        <v>160</v>
      </c>
      <c r="F12" s="728"/>
      <c r="G12" s="731"/>
    </row>
    <row r="13" spans="1:25" s="2033" customFormat="1" ht="13.5" customHeight="1">
      <c r="A13" s="2298" t="s">
        <v>2410</v>
      </c>
      <c r="B13" s="729" t="s">
        <v>595</v>
      </c>
      <c r="C13" s="730">
        <f>ROUND(D13*E13/10000,0)</f>
        <v>1288</v>
      </c>
      <c r="D13" s="3203">
        <f>'数据-汇总表'!E6</f>
        <v>64411.14999999998</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0.92200000000000004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70" zoomScaleNormal="60" zoomScaleSheetLayoutView="70" workbookViewId="0">
      <selection activeCell="N17" sqref="N17"/>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633777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57906</v>
      </c>
      <c r="C3" s="823" t="s">
        <v>705</v>
      </c>
      <c r="D3" s="822">
        <f>SUMIF('数据-汇总表'!$C19:$C33,D1,'数据-汇总表'!$E19:$E33)</f>
        <v>109449.33</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44" t="s">
        <v>505</v>
      </c>
      <c r="D4" s="3645"/>
      <c r="E4" s="3679" t="s">
        <v>506</v>
      </c>
      <c r="F4" s="3680"/>
      <c r="G4" s="3644" t="s">
        <v>507</v>
      </c>
      <c r="H4" s="3645"/>
      <c r="I4" s="3644" t="s">
        <v>508</v>
      </c>
      <c r="J4" s="3645"/>
      <c r="K4" s="824" t="s">
        <v>509</v>
      </c>
      <c r="L4" s="1984"/>
      <c r="M4" s="1985"/>
      <c r="N4" s="1985"/>
      <c r="O4" s="1985"/>
      <c r="P4" s="3646" t="s">
        <v>510</v>
      </c>
      <c r="Q4" s="3647"/>
      <c r="R4" s="3652" t="s">
        <v>506</v>
      </c>
      <c r="S4" s="3653"/>
      <c r="T4" s="3652" t="s">
        <v>507</v>
      </c>
      <c r="U4" s="3653"/>
      <c r="V4" s="3639" t="s">
        <v>508</v>
      </c>
      <c r="W4" s="3639"/>
      <c r="X4" s="1474"/>
      <c r="Y4" s="3652" t="s">
        <v>510</v>
      </c>
      <c r="Z4" s="3653"/>
      <c r="AA4" s="3641" t="s">
        <v>506</v>
      </c>
      <c r="AB4" s="3641" t="s">
        <v>507</v>
      </c>
      <c r="AC4" s="3641" t="s">
        <v>508</v>
      </c>
    </row>
    <row r="5" spans="1:29" ht="15">
      <c r="A5" s="491"/>
      <c r="B5" s="492"/>
      <c r="C5" s="3660" t="s">
        <v>2813</v>
      </c>
      <c r="D5" s="3661"/>
      <c r="E5" s="3664" t="s">
        <v>3361</v>
      </c>
      <c r="F5" s="3661"/>
      <c r="G5" s="3664" t="s">
        <v>3362</v>
      </c>
      <c r="H5" s="3661"/>
      <c r="I5" s="3664" t="s">
        <v>3363</v>
      </c>
      <c r="J5" s="3661"/>
      <c r="K5" s="825"/>
      <c r="L5" s="1984"/>
      <c r="M5" s="1985"/>
      <c r="N5" s="1985"/>
      <c r="O5" s="1985"/>
      <c r="P5" s="3648"/>
      <c r="Q5" s="3649"/>
      <c r="R5" s="3654"/>
      <c r="S5" s="3655"/>
      <c r="T5" s="3654"/>
      <c r="U5" s="3655"/>
      <c r="V5" s="3639"/>
      <c r="W5" s="3639"/>
      <c r="X5" s="1474"/>
      <c r="Y5" s="3654"/>
      <c r="Z5" s="3655"/>
      <c r="AA5" s="3642"/>
      <c r="AB5" s="3642"/>
      <c r="AC5" s="3642"/>
    </row>
    <row r="6" spans="1:29" ht="15.75" thickBot="1">
      <c r="A6" s="493"/>
      <c r="B6" s="494"/>
      <c r="C6" s="3658" t="s">
        <v>2817</v>
      </c>
      <c r="D6" s="3659"/>
      <c r="E6" s="3677" t="s">
        <v>2817</v>
      </c>
      <c r="F6" s="3678"/>
      <c r="G6" s="3658" t="s">
        <v>2817</v>
      </c>
      <c r="H6" s="3659"/>
      <c r="I6" s="3658" t="s">
        <v>2817</v>
      </c>
      <c r="J6" s="3659"/>
      <c r="K6" s="825" t="s">
        <v>511</v>
      </c>
      <c r="L6" s="1984"/>
      <c r="M6" s="1985"/>
      <c r="N6" s="1985"/>
      <c r="O6" s="1985"/>
      <c r="P6" s="3650"/>
      <c r="Q6" s="3651"/>
      <c r="R6" s="3654"/>
      <c r="S6" s="3655"/>
      <c r="T6" s="3656"/>
      <c r="U6" s="3657"/>
      <c r="V6" s="3639"/>
      <c r="W6" s="3639"/>
      <c r="X6" s="1474"/>
      <c r="Y6" s="3656"/>
      <c r="Z6" s="3657"/>
      <c r="AA6" s="3643"/>
      <c r="AB6" s="3643"/>
      <c r="AC6" s="3643"/>
    </row>
    <row r="7" spans="1:29" s="1184" customFormat="1" ht="15.75" thickBot="1">
      <c r="A7" s="2566"/>
      <c r="B7" s="2573" t="s">
        <v>512</v>
      </c>
      <c r="C7" s="495">
        <f>'数据-取费表'!B2</f>
        <v>44580</v>
      </c>
      <c r="D7" s="496">
        <v>100</v>
      </c>
      <c r="E7" s="497">
        <v>44501</v>
      </c>
      <c r="F7" s="498">
        <f>SUMIF(58:58,YEAR(E7)&amp;"-"&amp;MONTH(E7),59:59)</f>
        <v>100</v>
      </c>
      <c r="G7" s="497">
        <v>44501</v>
      </c>
      <c r="H7" s="496">
        <f>SUMIF(58:58,YEAR(G7)&amp;"-"&amp;MONTH(G7),59:59)</f>
        <v>100</v>
      </c>
      <c r="I7" s="497">
        <v>44501</v>
      </c>
      <c r="J7" s="496">
        <f>SUMIF(58:58,YEAR(I7)&amp;"-"&amp;MONTH(I7),59:59)</f>
        <v>100</v>
      </c>
      <c r="K7" s="826"/>
      <c r="L7" s="1986"/>
      <c r="M7" s="1987"/>
      <c r="N7" s="1987"/>
      <c r="O7" s="1987"/>
      <c r="P7" s="3670" t="s">
        <v>513</v>
      </c>
      <c r="Q7" s="3672"/>
      <c r="R7" s="1475" t="s">
        <v>13</v>
      </c>
      <c r="S7" s="1476">
        <f t="shared" ref="S7:S15" si="0">F7</f>
        <v>100</v>
      </c>
      <c r="T7" s="1475" t="s">
        <v>13</v>
      </c>
      <c r="U7" s="1476">
        <f t="shared" ref="U7:U15" si="1">H7</f>
        <v>100</v>
      </c>
      <c r="V7" s="1475" t="s">
        <v>13</v>
      </c>
      <c r="W7" s="1476">
        <f t="shared" ref="W7:W15" si="2">J7</f>
        <v>100</v>
      </c>
      <c r="X7" s="1477"/>
      <c r="Y7" s="3670" t="s">
        <v>513</v>
      </c>
      <c r="Z7" s="3671"/>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70" t="s">
        <v>516</v>
      </c>
      <c r="Q8" s="3671"/>
      <c r="R8" s="1475" t="s">
        <v>13</v>
      </c>
      <c r="S8" s="1476">
        <f t="shared" si="0"/>
        <v>100</v>
      </c>
      <c r="T8" s="1475" t="s">
        <v>13</v>
      </c>
      <c r="U8" s="1476">
        <f t="shared" si="1"/>
        <v>100</v>
      </c>
      <c r="V8" s="1475" t="s">
        <v>13</v>
      </c>
      <c r="W8" s="1476">
        <f t="shared" si="2"/>
        <v>100</v>
      </c>
      <c r="X8" s="1477"/>
      <c r="Y8" s="3670" t="s">
        <v>516</v>
      </c>
      <c r="Z8" s="3671"/>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38" t="s">
        <v>518</v>
      </c>
      <c r="Q9" s="1115" t="str">
        <f t="shared" ref="Q9:Q15" si="6">B9</f>
        <v>用途</v>
      </c>
      <c r="R9" s="1475" t="s">
        <v>8</v>
      </c>
      <c r="S9" s="1476">
        <f t="shared" si="0"/>
        <v>100</v>
      </c>
      <c r="T9" s="1475" t="s">
        <v>8</v>
      </c>
      <c r="U9" s="1476">
        <f t="shared" si="1"/>
        <v>100</v>
      </c>
      <c r="V9" s="1475" t="s">
        <v>8</v>
      </c>
      <c r="W9" s="1476">
        <f t="shared" si="2"/>
        <v>100</v>
      </c>
      <c r="X9" s="1477"/>
      <c r="Y9" s="3580" t="s">
        <v>519</v>
      </c>
      <c r="Z9" s="1114" t="str">
        <f t="shared" ref="Z9:Z15" si="7">Q9</f>
        <v>用途</v>
      </c>
      <c r="AA9" s="1478">
        <f t="shared" si="3"/>
        <v>1</v>
      </c>
      <c r="AB9" s="1478">
        <f t="shared" si="4"/>
        <v>1</v>
      </c>
      <c r="AC9" s="1478">
        <f t="shared" si="5"/>
        <v>1</v>
      </c>
    </row>
    <row r="10" spans="1:29" s="1265" customFormat="1" ht="27">
      <c r="A10" s="2569"/>
      <c r="B10" s="2574" t="s">
        <v>2656</v>
      </c>
      <c r="C10" s="832" t="s">
        <v>3100</v>
      </c>
      <c r="D10" s="252">
        <v>100</v>
      </c>
      <c r="E10" s="832" t="s">
        <v>3100</v>
      </c>
      <c r="F10" s="834">
        <f>SUMIF(65:65,E10,66:66)-SUMIF(65:65,C10,66:66)+100</f>
        <v>100</v>
      </c>
      <c r="G10" s="832" t="s">
        <v>3100</v>
      </c>
      <c r="H10" s="252">
        <f>SUMIF(65:65,G10,66:66)-SUMIF(65:65,C10,66:66)+100</f>
        <v>100</v>
      </c>
      <c r="I10" s="832" t="s">
        <v>3100</v>
      </c>
      <c r="J10" s="252">
        <f>SUMIF(65:65,I10,66:66)-SUMIF(65:65,C10,66:66)+100</f>
        <v>100</v>
      </c>
      <c r="K10" s="835">
        <v>1</v>
      </c>
      <c r="L10" s="1989"/>
      <c r="M10" s="2028"/>
      <c r="N10" s="2028"/>
      <c r="O10" s="1990"/>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0"/>
      <c r="B11" s="2574" t="s">
        <v>2657</v>
      </c>
      <c r="C11" s="509">
        <f>'数据-汇总表'!I4</f>
        <v>2.5</v>
      </c>
      <c r="D11" s="252">
        <v>100</v>
      </c>
      <c r="E11" s="510">
        <v>2.1</v>
      </c>
      <c r="F11" s="834">
        <f>LOOKUP(E11,68:68,69:69)-LOOKUP(C11,68:68,69:69)+100</f>
        <v>100</v>
      </c>
      <c r="G11" s="509">
        <v>2.1</v>
      </c>
      <c r="H11" s="252">
        <f>LOOKUP(G11,68:68,69:69)-LOOKUP(C11,68:68,69:69)+100</f>
        <v>100</v>
      </c>
      <c r="I11" s="509">
        <v>2.5</v>
      </c>
      <c r="J11" s="252">
        <f>LOOKUP(I11,68:68,69:69)-LOOKUP(C11,68:68,69:69)+100</f>
        <v>100</v>
      </c>
      <c r="K11" s="835"/>
      <c r="L11" s="1991"/>
      <c r="M11" s="1985"/>
      <c r="N11" s="1985"/>
      <c r="O11" s="1992"/>
      <c r="P11" s="3638"/>
      <c r="Q11" s="1115" t="str">
        <f t="shared" si="6"/>
        <v>容积率</v>
      </c>
      <c r="R11" s="1475" t="s">
        <v>11</v>
      </c>
      <c r="S11" s="1476">
        <f t="shared" si="0"/>
        <v>100</v>
      </c>
      <c r="T11" s="1475" t="s">
        <v>11</v>
      </c>
      <c r="U11" s="1476">
        <f t="shared" si="1"/>
        <v>100</v>
      </c>
      <c r="V11" s="1475" t="s">
        <v>11</v>
      </c>
      <c r="W11" s="1476">
        <f t="shared" si="2"/>
        <v>100</v>
      </c>
      <c r="X11" s="1477"/>
      <c r="Y11" s="3580"/>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38"/>
      <c r="Q12" s="1115">
        <f t="shared" si="6"/>
        <v>111</v>
      </c>
      <c r="R12" s="1475" t="s">
        <v>11</v>
      </c>
      <c r="S12" s="1476">
        <f t="shared" si="0"/>
        <v>100</v>
      </c>
      <c r="T12" s="1475" t="s">
        <v>11</v>
      </c>
      <c r="U12" s="1476">
        <f t="shared" si="1"/>
        <v>100</v>
      </c>
      <c r="V12" s="1475" t="s">
        <v>11</v>
      </c>
      <c r="W12" s="1476">
        <f t="shared" si="2"/>
        <v>100</v>
      </c>
      <c r="X12" s="1477"/>
      <c r="Y12" s="3580"/>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38"/>
      <c r="Q13" s="1115">
        <f t="shared" si="6"/>
        <v>111</v>
      </c>
      <c r="R13" s="1475" t="s">
        <v>11</v>
      </c>
      <c r="S13" s="1476">
        <f t="shared" si="0"/>
        <v>100</v>
      </c>
      <c r="T13" s="1475" t="s">
        <v>11</v>
      </c>
      <c r="U13" s="1476">
        <f t="shared" si="1"/>
        <v>100</v>
      </c>
      <c r="V13" s="1475" t="s">
        <v>11</v>
      </c>
      <c r="W13" s="1476">
        <f t="shared" si="2"/>
        <v>100</v>
      </c>
      <c r="X13" s="1477"/>
      <c r="Y13" s="3580"/>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38"/>
      <c r="Q14" s="1115">
        <f t="shared" si="6"/>
        <v>111</v>
      </c>
      <c r="R14" s="1475" t="s">
        <v>11</v>
      </c>
      <c r="S14" s="1476">
        <f t="shared" si="0"/>
        <v>100</v>
      </c>
      <c r="T14" s="1475" t="s">
        <v>11</v>
      </c>
      <c r="U14" s="1476">
        <f t="shared" si="1"/>
        <v>100</v>
      </c>
      <c r="V14" s="1475" t="s">
        <v>11</v>
      </c>
      <c r="W14" s="1476">
        <f t="shared" si="2"/>
        <v>100</v>
      </c>
      <c r="X14" s="1477"/>
      <c r="Y14" s="3580"/>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104</v>
      </c>
      <c r="G15" s="528"/>
      <c r="H15" s="525">
        <f>SUMIF(76:76,G16,77:77)-SUMIF(76:76,C16,77:77)+100</f>
        <v>104</v>
      </c>
      <c r="I15" s="526"/>
      <c r="J15" s="525">
        <f>SUMIF(76:76,I16,77:77)-SUMIF(76:76,C16,77:77)+100</f>
        <v>104</v>
      </c>
      <c r="K15" s="839">
        <v>4</v>
      </c>
      <c r="L15" s="1993"/>
      <c r="M15" s="1985"/>
      <c r="N15" s="1985"/>
      <c r="O15" s="1992"/>
      <c r="P15" s="3673" t="s">
        <v>523</v>
      </c>
      <c r="Q15" s="1479" t="str">
        <f t="shared" si="6"/>
        <v>居住社区成熟度</v>
      </c>
      <c r="R15" s="1480" t="s">
        <v>11</v>
      </c>
      <c r="S15" s="1481">
        <f t="shared" si="0"/>
        <v>104</v>
      </c>
      <c r="T15" s="1480" t="s">
        <v>11</v>
      </c>
      <c r="U15" s="1481">
        <f t="shared" si="1"/>
        <v>104</v>
      </c>
      <c r="V15" s="1480" t="s">
        <v>11</v>
      </c>
      <c r="W15" s="1481">
        <f t="shared" si="2"/>
        <v>104</v>
      </c>
      <c r="X15" s="1474"/>
      <c r="Y15" s="3673" t="s">
        <v>523</v>
      </c>
      <c r="Z15" s="1482" t="str">
        <f t="shared" si="7"/>
        <v>居住社区成熟度</v>
      </c>
      <c r="AA15" s="1483">
        <f t="shared" si="3"/>
        <v>0.96153846153846156</v>
      </c>
      <c r="AB15" s="1483">
        <f t="shared" si="4"/>
        <v>0.96153846153846156</v>
      </c>
      <c r="AC15" s="1483">
        <f t="shared" si="5"/>
        <v>0.96153846153846156</v>
      </c>
    </row>
    <row r="16" spans="1:29" ht="15">
      <c r="A16" s="508"/>
      <c r="B16" s="840"/>
      <c r="C16" s="552" t="s">
        <v>3099</v>
      </c>
      <c r="D16" s="531"/>
      <c r="E16" s="552" t="s">
        <v>3098</v>
      </c>
      <c r="F16" s="533"/>
      <c r="G16" s="552" t="s">
        <v>3098</v>
      </c>
      <c r="H16" s="535"/>
      <c r="I16" s="532" t="s">
        <v>3098</v>
      </c>
      <c r="J16" s="531"/>
      <c r="K16" s="841"/>
      <c r="L16" s="1993"/>
      <c r="M16" s="1985"/>
      <c r="N16" s="1985"/>
      <c r="O16" s="1992"/>
      <c r="P16" s="3674"/>
      <c r="Q16" s="1479"/>
      <c r="R16" s="1480"/>
      <c r="S16" s="1481"/>
      <c r="T16" s="1480"/>
      <c r="U16" s="1481"/>
      <c r="V16" s="1480"/>
      <c r="W16" s="1481"/>
      <c r="X16" s="1474"/>
      <c r="Y16" s="3674"/>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103</v>
      </c>
      <c r="K17" s="839">
        <v>3</v>
      </c>
      <c r="L17" s="1993"/>
      <c r="M17" s="1985"/>
      <c r="N17" s="1985"/>
      <c r="O17" s="1992"/>
      <c r="P17" s="3674"/>
      <c r="Q17" s="1479" t="str">
        <f>B17</f>
        <v>交通便捷度</v>
      </c>
      <c r="R17" s="1480" t="s">
        <v>11</v>
      </c>
      <c r="S17" s="1481">
        <f>F17</f>
        <v>100</v>
      </c>
      <c r="T17" s="1480" t="s">
        <v>11</v>
      </c>
      <c r="U17" s="1481">
        <f>H17</f>
        <v>100</v>
      </c>
      <c r="V17" s="1480" t="s">
        <v>11</v>
      </c>
      <c r="W17" s="1481">
        <f>J17</f>
        <v>103</v>
      </c>
      <c r="X17" s="1474"/>
      <c r="Y17" s="3674"/>
      <c r="Z17" s="1482" t="str">
        <f>Q17</f>
        <v>交通便捷度</v>
      </c>
      <c r="AA17" s="1483">
        <f t="shared" si="3"/>
        <v>1</v>
      </c>
      <c r="AB17" s="1483">
        <f t="shared" si="4"/>
        <v>1</v>
      </c>
      <c r="AC17" s="1483">
        <f t="shared" si="5"/>
        <v>0.970873786407767</v>
      </c>
    </row>
    <row r="18" spans="1:29" ht="15">
      <c r="A18" s="508"/>
      <c r="B18" s="571"/>
      <c r="C18" s="844" t="s">
        <v>3099</v>
      </c>
      <c r="D18" s="535"/>
      <c r="E18" s="844" t="s">
        <v>3099</v>
      </c>
      <c r="F18" s="539"/>
      <c r="G18" s="844" t="s">
        <v>3099</v>
      </c>
      <c r="H18" s="531"/>
      <c r="I18" s="844" t="s">
        <v>3098</v>
      </c>
      <c r="J18" s="531"/>
      <c r="K18" s="841"/>
      <c r="L18" s="1993"/>
      <c r="M18" s="1985"/>
      <c r="N18" s="1985"/>
      <c r="O18" s="1992"/>
      <c r="P18" s="3674"/>
      <c r="Q18" s="1479"/>
      <c r="R18" s="1480"/>
      <c r="S18" s="1481"/>
      <c r="T18" s="1480"/>
      <c r="U18" s="1481"/>
      <c r="V18" s="1480"/>
      <c r="W18" s="1481"/>
      <c r="X18" s="1474"/>
      <c r="Y18" s="3674"/>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103</v>
      </c>
      <c r="G19" s="548"/>
      <c r="H19" s="535">
        <f>SUMIF(80:80,G20,81:81)-SUMIF(80:80,C20,81:81)+100</f>
        <v>103</v>
      </c>
      <c r="I19" s="546"/>
      <c r="J19" s="535">
        <f>SUMIF(80:80,I20,81:81)-SUMIF(80:80,C20,81:81)+100</f>
        <v>100</v>
      </c>
      <c r="K19" s="839">
        <v>3</v>
      </c>
      <c r="L19" s="1993"/>
      <c r="M19" s="1985"/>
      <c r="N19" s="1985"/>
      <c r="O19" s="1992"/>
      <c r="P19" s="3674"/>
      <c r="Q19" s="1479" t="str">
        <f>B19</f>
        <v>公共配套设施</v>
      </c>
      <c r="R19" s="1480" t="s">
        <v>11</v>
      </c>
      <c r="S19" s="1481">
        <f>F19</f>
        <v>103</v>
      </c>
      <c r="T19" s="1480" t="s">
        <v>11</v>
      </c>
      <c r="U19" s="1481">
        <f>H19</f>
        <v>103</v>
      </c>
      <c r="V19" s="1480" t="s">
        <v>11</v>
      </c>
      <c r="W19" s="1481">
        <f>J19</f>
        <v>100</v>
      </c>
      <c r="X19" s="1474"/>
      <c r="Y19" s="3674"/>
      <c r="Z19" s="1482" t="str">
        <f>Q19</f>
        <v>公共配套设施</v>
      </c>
      <c r="AA19" s="1483">
        <f t="shared" si="3"/>
        <v>0.970873786407767</v>
      </c>
      <c r="AB19" s="1483">
        <f t="shared" si="4"/>
        <v>0.970873786407767</v>
      </c>
      <c r="AC19" s="1483">
        <f t="shared" si="5"/>
        <v>1</v>
      </c>
    </row>
    <row r="20" spans="1:29" ht="15">
      <c r="A20" s="508"/>
      <c r="B20" s="571"/>
      <c r="C20" s="552" t="s">
        <v>3099</v>
      </c>
      <c r="D20" s="531"/>
      <c r="E20" s="552" t="s">
        <v>3098</v>
      </c>
      <c r="F20" s="533"/>
      <c r="G20" s="552" t="s">
        <v>3098</v>
      </c>
      <c r="H20" s="531"/>
      <c r="I20" s="552" t="s">
        <v>3099</v>
      </c>
      <c r="J20" s="531"/>
      <c r="K20" s="841"/>
      <c r="L20" s="1993"/>
      <c r="M20" s="1985"/>
      <c r="N20" s="1985"/>
      <c r="O20" s="1992"/>
      <c r="P20" s="3674"/>
      <c r="Q20" s="1479"/>
      <c r="R20" s="1480"/>
      <c r="S20" s="1481"/>
      <c r="T20" s="1480"/>
      <c r="U20" s="1481"/>
      <c r="V20" s="1480"/>
      <c r="W20" s="1481"/>
      <c r="X20" s="1474"/>
      <c r="Y20" s="3674"/>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74"/>
      <c r="Q21" s="2366" t="str">
        <f>B21</f>
        <v>基础设施水平</v>
      </c>
      <c r="R21" s="1480" t="s">
        <v>11</v>
      </c>
      <c r="S21" s="1481">
        <f>F21</f>
        <v>100</v>
      </c>
      <c r="T21" s="1480" t="s">
        <v>11</v>
      </c>
      <c r="U21" s="1481">
        <f>H21</f>
        <v>100</v>
      </c>
      <c r="V21" s="1480" t="s">
        <v>11</v>
      </c>
      <c r="W21" s="1481">
        <f>J21</f>
        <v>100</v>
      </c>
      <c r="X21" s="2368"/>
      <c r="Y21" s="3674"/>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74"/>
      <c r="Q22" s="2366"/>
      <c r="R22" s="1480"/>
      <c r="S22" s="1481"/>
      <c r="T22" s="1480"/>
      <c r="U22" s="1481"/>
      <c r="V22" s="1480"/>
      <c r="W22" s="1481"/>
      <c r="X22" s="2368"/>
      <c r="Y22" s="3674"/>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74"/>
      <c r="Q23" s="1479" t="str">
        <f>B23</f>
        <v>自然及人文环境</v>
      </c>
      <c r="R23" s="1480" t="s">
        <v>11</v>
      </c>
      <c r="S23" s="1481">
        <f>F23</f>
        <v>100</v>
      </c>
      <c r="T23" s="1480" t="s">
        <v>11</v>
      </c>
      <c r="U23" s="1481">
        <f>H23</f>
        <v>100</v>
      </c>
      <c r="V23" s="1480" t="s">
        <v>11</v>
      </c>
      <c r="W23" s="1481">
        <f>J23</f>
        <v>100</v>
      </c>
      <c r="X23" s="1474"/>
      <c r="Y23" s="3674"/>
      <c r="Z23" s="1482" t="str">
        <f>Q23</f>
        <v>自然及人文环境</v>
      </c>
      <c r="AA23" s="1483">
        <f t="shared" si="3"/>
        <v>1</v>
      </c>
      <c r="AB23" s="1483">
        <f t="shared" si="4"/>
        <v>1</v>
      </c>
      <c r="AC23" s="1483">
        <f t="shared" si="5"/>
        <v>1</v>
      </c>
    </row>
    <row r="24" spans="1:29" ht="15">
      <c r="A24" s="508"/>
      <c r="B24" s="571"/>
      <c r="C24" s="552" t="s">
        <v>3098</v>
      </c>
      <c r="D24" s="531"/>
      <c r="E24" s="552" t="s">
        <v>3098</v>
      </c>
      <c r="F24" s="533"/>
      <c r="G24" s="552" t="s">
        <v>3098</v>
      </c>
      <c r="H24" s="531"/>
      <c r="I24" s="552" t="s">
        <v>3098</v>
      </c>
      <c r="J24" s="531"/>
      <c r="K24" s="841"/>
      <c r="L24" s="1993"/>
      <c r="M24" s="1985"/>
      <c r="N24" s="1985"/>
      <c r="O24" s="1992"/>
      <c r="P24" s="3674"/>
      <c r="Q24" s="1479"/>
      <c r="R24" s="1480"/>
      <c r="S24" s="1481"/>
      <c r="T24" s="1480"/>
      <c r="U24" s="1481"/>
      <c r="V24" s="1480"/>
      <c r="W24" s="1481"/>
      <c r="X24" s="1474"/>
      <c r="Y24" s="3674"/>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74"/>
      <c r="Q25" s="1479" t="str">
        <f t="shared" ref="Q25:Q46" si="11">B25</f>
        <v>楼层-1</v>
      </c>
      <c r="R25" s="1480" t="s">
        <v>11</v>
      </c>
      <c r="S25" s="1481">
        <f>F25</f>
        <v>100</v>
      </c>
      <c r="T25" s="1480" t="s">
        <v>11</v>
      </c>
      <c r="U25" s="1481">
        <f>H25</f>
        <v>100</v>
      </c>
      <c r="V25" s="1480" t="s">
        <v>11</v>
      </c>
      <c r="W25" s="1481">
        <f>J25</f>
        <v>100</v>
      </c>
      <c r="X25" s="1474"/>
      <c r="Y25" s="3674"/>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74"/>
      <c r="Q26" s="1479" t="str">
        <f t="shared" si="11"/>
        <v>朝向</v>
      </c>
      <c r="R26" s="1480" t="s">
        <v>11</v>
      </c>
      <c r="S26" s="1481">
        <f>F26</f>
        <v>100</v>
      </c>
      <c r="T26" s="1480" t="s">
        <v>11</v>
      </c>
      <c r="U26" s="1481">
        <f>H26</f>
        <v>100</v>
      </c>
      <c r="V26" s="1480" t="s">
        <v>11</v>
      </c>
      <c r="W26" s="1481">
        <f>J26</f>
        <v>100</v>
      </c>
      <c r="X26" s="1474"/>
      <c r="Y26" s="3674"/>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74"/>
      <c r="Q27" s="1115" t="str">
        <f t="shared" si="11"/>
        <v>道路级别</v>
      </c>
      <c r="R27" s="1475" t="s">
        <v>11</v>
      </c>
      <c r="S27" s="1476">
        <f>F27</f>
        <v>100</v>
      </c>
      <c r="T27" s="1475" t="s">
        <v>11</v>
      </c>
      <c r="U27" s="1476">
        <f>H27</f>
        <v>100</v>
      </c>
      <c r="V27" s="1475" t="s">
        <v>11</v>
      </c>
      <c r="W27" s="1476">
        <f>J27</f>
        <v>100</v>
      </c>
      <c r="X27" s="1477"/>
      <c r="Y27" s="3674"/>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74"/>
      <c r="Q28" s="1479">
        <f t="shared" si="11"/>
        <v>111</v>
      </c>
      <c r="R28" s="1480" t="s">
        <v>11</v>
      </c>
      <c r="S28" s="1481">
        <f t="shared" ref="S28:S46" si="12">F28</f>
        <v>100</v>
      </c>
      <c r="T28" s="1480" t="s">
        <v>11</v>
      </c>
      <c r="U28" s="1481">
        <f t="shared" ref="U28:U46" si="13">H28</f>
        <v>100</v>
      </c>
      <c r="V28" s="1480" t="s">
        <v>11</v>
      </c>
      <c r="W28" s="1481">
        <f t="shared" ref="W28:W46" si="14">J28</f>
        <v>100</v>
      </c>
      <c r="X28" s="1474"/>
      <c r="Y28" s="3674"/>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74"/>
      <c r="Q29" s="1479">
        <f t="shared" si="11"/>
        <v>111</v>
      </c>
      <c r="R29" s="1480" t="s">
        <v>11</v>
      </c>
      <c r="S29" s="1481">
        <f t="shared" si="12"/>
        <v>100</v>
      </c>
      <c r="T29" s="1480" t="s">
        <v>11</v>
      </c>
      <c r="U29" s="1481">
        <f t="shared" si="13"/>
        <v>100</v>
      </c>
      <c r="V29" s="1480" t="s">
        <v>11</v>
      </c>
      <c r="W29" s="1481">
        <f t="shared" si="14"/>
        <v>100</v>
      </c>
      <c r="X29" s="1474"/>
      <c r="Y29" s="3674"/>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74"/>
      <c r="Q30" s="1479">
        <f t="shared" si="11"/>
        <v>111</v>
      </c>
      <c r="R30" s="1480" t="s">
        <v>11</v>
      </c>
      <c r="S30" s="1481">
        <f t="shared" si="12"/>
        <v>100</v>
      </c>
      <c r="T30" s="1480" t="s">
        <v>11</v>
      </c>
      <c r="U30" s="1481">
        <f t="shared" si="13"/>
        <v>100</v>
      </c>
      <c r="V30" s="1480" t="s">
        <v>11</v>
      </c>
      <c r="W30" s="1481">
        <f t="shared" si="14"/>
        <v>100</v>
      </c>
      <c r="X30" s="1474"/>
      <c r="Y30" s="3674"/>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74"/>
      <c r="Q31" s="1479">
        <f t="shared" si="11"/>
        <v>111</v>
      </c>
      <c r="R31" s="1480" t="s">
        <v>11</v>
      </c>
      <c r="S31" s="1481">
        <f t="shared" si="12"/>
        <v>100</v>
      </c>
      <c r="T31" s="1480" t="s">
        <v>11</v>
      </c>
      <c r="U31" s="1481">
        <f t="shared" si="13"/>
        <v>100</v>
      </c>
      <c r="V31" s="1480" t="s">
        <v>11</v>
      </c>
      <c r="W31" s="1481">
        <f t="shared" si="14"/>
        <v>100</v>
      </c>
      <c r="X31" s="1474"/>
      <c r="Y31" s="3674"/>
      <c r="Z31" s="1482">
        <f t="shared" si="15"/>
        <v>111</v>
      </c>
      <c r="AA31" s="1483">
        <f t="shared" si="3"/>
        <v>1</v>
      </c>
      <c r="AB31" s="1483">
        <f t="shared" si="4"/>
        <v>1</v>
      </c>
      <c r="AC31" s="1483">
        <f t="shared" si="5"/>
        <v>1</v>
      </c>
    </row>
    <row r="32" spans="1:29" ht="15">
      <c r="A32" s="2561" t="s">
        <v>2654</v>
      </c>
      <c r="B32" s="169" t="s">
        <v>708</v>
      </c>
      <c r="C32" s="849" t="s">
        <v>3101</v>
      </c>
      <c r="D32" s="573">
        <v>100</v>
      </c>
      <c r="E32" s="849" t="s">
        <v>3101</v>
      </c>
      <c r="F32" s="551">
        <f>SUMIF(100:100,E32,101:101)-SUMIF(100:100,C32,101:101)+100</f>
        <v>100</v>
      </c>
      <c r="G32" s="849" t="s">
        <v>3101</v>
      </c>
      <c r="H32" s="573">
        <f>SUMIF(100:100,G32,101:101)-SUMIF(100:100,C32,101:101)+100</f>
        <v>100</v>
      </c>
      <c r="I32" s="849" t="s">
        <v>3101</v>
      </c>
      <c r="J32" s="516">
        <f>SUMIF(100:100,I32,101:101)-SUMIF(100:100,C32,101:101)+100</f>
        <v>100</v>
      </c>
      <c r="K32" s="835">
        <v>5</v>
      </c>
      <c r="L32" s="1993"/>
      <c r="M32" s="1985"/>
      <c r="N32" s="1985"/>
      <c r="O32" s="1992"/>
      <c r="P32" s="3675" t="s">
        <v>533</v>
      </c>
      <c r="Q32" s="1479" t="str">
        <f t="shared" si="11"/>
        <v>建筑类型</v>
      </c>
      <c r="R32" s="1480" t="s">
        <v>11</v>
      </c>
      <c r="S32" s="1481">
        <f t="shared" si="12"/>
        <v>100</v>
      </c>
      <c r="T32" s="1480" t="s">
        <v>11</v>
      </c>
      <c r="U32" s="1481">
        <f t="shared" si="13"/>
        <v>100</v>
      </c>
      <c r="V32" s="1480" t="s">
        <v>11</v>
      </c>
      <c r="W32" s="1481">
        <f t="shared" si="14"/>
        <v>100</v>
      </c>
      <c r="X32" s="1474"/>
      <c r="Y32" s="3676" t="s">
        <v>533</v>
      </c>
      <c r="Z32" s="1482" t="str">
        <f t="shared" si="15"/>
        <v>建筑类型</v>
      </c>
      <c r="AA32" s="1483">
        <f t="shared" si="3"/>
        <v>1</v>
      </c>
      <c r="AB32" s="1483">
        <f t="shared" si="4"/>
        <v>1</v>
      </c>
      <c r="AC32" s="1483">
        <f t="shared" si="5"/>
        <v>1</v>
      </c>
    </row>
    <row r="33" spans="1:29" s="1266" customFormat="1" ht="15">
      <c r="A33" s="579"/>
      <c r="B33" s="503" t="s">
        <v>709</v>
      </c>
      <c r="C33" s="850">
        <f>'数据-基础表'!G5</f>
        <v>189989.62</v>
      </c>
      <c r="D33" s="252">
        <v>100</v>
      </c>
      <c r="E33" s="510">
        <v>90000</v>
      </c>
      <c r="F33" s="834">
        <f>LOOKUP(E33,103:103,104:104)-LOOKUP(C33,103:103,104:104)+100</f>
        <v>99</v>
      </c>
      <c r="G33" s="509">
        <v>75553</v>
      </c>
      <c r="H33" s="252">
        <f>LOOKUP(G33,103:103,104:104)-LOOKUP(C33,103:103,104:104)+100</f>
        <v>99</v>
      </c>
      <c r="I33" s="510">
        <v>188033</v>
      </c>
      <c r="J33" s="252">
        <f>LOOKUP(I33,103:103,104:104)-LOOKUP(C33,103:103,104:104)+100</f>
        <v>100</v>
      </c>
      <c r="K33" s="836"/>
      <c r="L33" s="1991"/>
      <c r="M33" s="2021"/>
      <c r="N33" s="2021"/>
      <c r="O33" s="1994"/>
      <c r="P33" s="3676"/>
      <c r="Q33" s="1508" t="str">
        <f t="shared" si="11"/>
        <v>项目建筑规模</v>
      </c>
      <c r="R33" s="1484" t="s">
        <v>11</v>
      </c>
      <c r="S33" s="1485">
        <f t="shared" si="12"/>
        <v>99</v>
      </c>
      <c r="T33" s="1484" t="s">
        <v>11</v>
      </c>
      <c r="U33" s="1485">
        <f t="shared" si="13"/>
        <v>99</v>
      </c>
      <c r="V33" s="1484" t="s">
        <v>11</v>
      </c>
      <c r="W33" s="1485">
        <f t="shared" si="14"/>
        <v>100</v>
      </c>
      <c r="X33" s="1486"/>
      <c r="Y33" s="3676"/>
      <c r="Z33" s="1487" t="str">
        <f t="shared" si="15"/>
        <v>项目建筑规模</v>
      </c>
      <c r="AA33" s="1483">
        <f t="shared" si="3"/>
        <v>1.0101010101010102</v>
      </c>
      <c r="AB33" s="1483">
        <f t="shared" si="4"/>
        <v>1.0101010101010102</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76"/>
      <c r="Q34" s="1479" t="str">
        <f t="shared" si="11"/>
        <v>建筑结构</v>
      </c>
      <c r="R34" s="1480" t="s">
        <v>11</v>
      </c>
      <c r="S34" s="1481">
        <f t="shared" si="12"/>
        <v>100</v>
      </c>
      <c r="T34" s="1480" t="s">
        <v>11</v>
      </c>
      <c r="U34" s="1481">
        <f t="shared" si="13"/>
        <v>100</v>
      </c>
      <c r="V34" s="1480" t="s">
        <v>11</v>
      </c>
      <c r="W34" s="1481">
        <f t="shared" si="14"/>
        <v>100</v>
      </c>
      <c r="X34" s="1474"/>
      <c r="Y34" s="3676"/>
      <c r="Z34" s="1482" t="str">
        <f t="shared" si="15"/>
        <v>建筑结构</v>
      </c>
      <c r="AA34" s="1483">
        <f t="shared" si="3"/>
        <v>1</v>
      </c>
      <c r="AB34" s="1483">
        <f t="shared" si="4"/>
        <v>1</v>
      </c>
      <c r="AC34" s="1483">
        <f t="shared" si="5"/>
        <v>1</v>
      </c>
    </row>
    <row r="35" spans="1:29" ht="15">
      <c r="A35" s="570"/>
      <c r="B35" s="503" t="s">
        <v>711</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3"/>
      <c r="M35" s="1985"/>
      <c r="N35" s="1985"/>
      <c r="O35" s="1992"/>
      <c r="P35" s="3676"/>
      <c r="Q35" s="1479" t="str">
        <f t="shared" si="11"/>
        <v>建筑品质</v>
      </c>
      <c r="R35" s="1480" t="s">
        <v>11</v>
      </c>
      <c r="S35" s="1481">
        <f t="shared" si="12"/>
        <v>100</v>
      </c>
      <c r="T35" s="1480" t="s">
        <v>11</v>
      </c>
      <c r="U35" s="1481">
        <f t="shared" si="13"/>
        <v>100</v>
      </c>
      <c r="V35" s="1480" t="s">
        <v>11</v>
      </c>
      <c r="W35" s="1481">
        <f t="shared" si="14"/>
        <v>100</v>
      </c>
      <c r="X35" s="1474"/>
      <c r="Y35" s="3676"/>
      <c r="Z35" s="1482" t="str">
        <f t="shared" si="15"/>
        <v>建筑品质</v>
      </c>
      <c r="AA35" s="1483">
        <f t="shared" si="3"/>
        <v>1</v>
      </c>
      <c r="AB35" s="1483">
        <f t="shared" si="4"/>
        <v>1</v>
      </c>
      <c r="AC35" s="1483">
        <f t="shared" si="5"/>
        <v>1</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76"/>
      <c r="Q36" s="1479" t="str">
        <f t="shared" si="11"/>
        <v>公共部分装修</v>
      </c>
      <c r="R36" s="1480" t="s">
        <v>11</v>
      </c>
      <c r="S36" s="1481">
        <f t="shared" si="12"/>
        <v>100</v>
      </c>
      <c r="T36" s="1480" t="s">
        <v>11</v>
      </c>
      <c r="U36" s="1481">
        <f t="shared" si="13"/>
        <v>100</v>
      </c>
      <c r="V36" s="1480" t="s">
        <v>11</v>
      </c>
      <c r="W36" s="1481">
        <f t="shared" si="14"/>
        <v>100</v>
      </c>
      <c r="X36" s="1474"/>
      <c r="Y36" s="3676"/>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76"/>
      <c r="Q37" s="1115" t="str">
        <f t="shared" si="11"/>
        <v>成新度</v>
      </c>
      <c r="R37" s="1475" t="s">
        <v>11</v>
      </c>
      <c r="S37" s="1476">
        <f t="shared" si="12"/>
        <v>100</v>
      </c>
      <c r="T37" s="1475" t="s">
        <v>11</v>
      </c>
      <c r="U37" s="1476">
        <f t="shared" si="13"/>
        <v>100</v>
      </c>
      <c r="V37" s="1475" t="s">
        <v>11</v>
      </c>
      <c r="W37" s="1476">
        <f t="shared" si="14"/>
        <v>100</v>
      </c>
      <c r="X37" s="1477"/>
      <c r="Y37" s="3676"/>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76" t="s">
        <v>533</v>
      </c>
      <c r="Q38" s="1479" t="str">
        <f t="shared" si="11"/>
        <v>物业管理</v>
      </c>
      <c r="R38" s="1480" t="s">
        <v>11</v>
      </c>
      <c r="S38" s="1481">
        <f t="shared" si="12"/>
        <v>100</v>
      </c>
      <c r="T38" s="1480" t="s">
        <v>11</v>
      </c>
      <c r="U38" s="1481">
        <f t="shared" si="13"/>
        <v>100</v>
      </c>
      <c r="V38" s="1480" t="s">
        <v>11</v>
      </c>
      <c r="W38" s="1481">
        <f t="shared" si="14"/>
        <v>100</v>
      </c>
      <c r="X38" s="1474"/>
      <c r="Y38" s="3676"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76"/>
      <c r="Q39" s="1479" t="str">
        <f t="shared" si="11"/>
        <v>市政基础设施</v>
      </c>
      <c r="R39" s="1480" t="s">
        <v>11</v>
      </c>
      <c r="S39" s="1481">
        <f t="shared" si="12"/>
        <v>100</v>
      </c>
      <c r="T39" s="1480" t="s">
        <v>11</v>
      </c>
      <c r="U39" s="1481">
        <f t="shared" si="13"/>
        <v>100</v>
      </c>
      <c r="V39" s="1480" t="s">
        <v>11</v>
      </c>
      <c r="W39" s="1481">
        <f t="shared" si="14"/>
        <v>100</v>
      </c>
      <c r="X39" s="1474"/>
      <c r="Y39" s="3676"/>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76"/>
      <c r="Q40" s="1479" t="str">
        <f t="shared" si="11"/>
        <v>房型</v>
      </c>
      <c r="R40" s="1480" t="s">
        <v>11</v>
      </c>
      <c r="S40" s="1481">
        <f t="shared" si="12"/>
        <v>100</v>
      </c>
      <c r="T40" s="1480" t="s">
        <v>11</v>
      </c>
      <c r="U40" s="1481">
        <f t="shared" si="13"/>
        <v>100</v>
      </c>
      <c r="V40" s="1480" t="s">
        <v>11</v>
      </c>
      <c r="W40" s="1481">
        <f t="shared" si="14"/>
        <v>100</v>
      </c>
      <c r="X40" s="1474"/>
      <c r="Y40" s="3676"/>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76"/>
      <c r="Q41" s="1508" t="str">
        <f t="shared" si="11"/>
        <v>单套/主力户型建筑面积</v>
      </c>
      <c r="R41" s="1484" t="s">
        <v>11</v>
      </c>
      <c r="S41" s="1485">
        <f t="shared" si="12"/>
        <v>100</v>
      </c>
      <c r="T41" s="1484" t="s">
        <v>11</v>
      </c>
      <c r="U41" s="1485">
        <f t="shared" si="13"/>
        <v>100</v>
      </c>
      <c r="V41" s="1484" t="s">
        <v>11</v>
      </c>
      <c r="W41" s="1485">
        <f t="shared" si="14"/>
        <v>100</v>
      </c>
      <c r="X41" s="1486"/>
      <c r="Y41" s="3676"/>
      <c r="Z41" s="1487" t="str">
        <f t="shared" si="15"/>
        <v>单套/主力户型建筑面积</v>
      </c>
      <c r="AA41" s="1483">
        <f t="shared" si="3"/>
        <v>1</v>
      </c>
      <c r="AB41" s="1483">
        <f t="shared" si="4"/>
        <v>1</v>
      </c>
      <c r="AC41" s="1483">
        <f t="shared" si="5"/>
        <v>1</v>
      </c>
    </row>
    <row r="42" spans="1:29" ht="15">
      <c r="A42" s="570"/>
      <c r="B42" s="503" t="s">
        <v>717</v>
      </c>
      <c r="C42" s="575" t="s">
        <v>3089</v>
      </c>
      <c r="D42" s="516">
        <v>100</v>
      </c>
      <c r="E42" s="845" t="s">
        <v>3089</v>
      </c>
      <c r="F42" s="551">
        <f>SUMIF(122:122,E42,123:123)-SUMIF(122:122,C42,123:123)+100</f>
        <v>100</v>
      </c>
      <c r="G42" s="575" t="s">
        <v>3096</v>
      </c>
      <c r="H42" s="516">
        <f>SUMIF(122:122,G42,123:123)-SUMIF(122:122,C42,123:123)+100</f>
        <v>97</v>
      </c>
      <c r="I42" s="845" t="s">
        <v>3089</v>
      </c>
      <c r="J42" s="516">
        <f>SUMIF(122:122,I42,123:123)-SUMIF(122:122,C42,123:123)+100</f>
        <v>100</v>
      </c>
      <c r="K42" s="835">
        <v>3</v>
      </c>
      <c r="L42" s="1993"/>
      <c r="M42" s="1985"/>
      <c r="N42" s="1985"/>
      <c r="O42" s="1992"/>
      <c r="P42" s="3676"/>
      <c r="Q42" s="1479" t="str">
        <f t="shared" si="11"/>
        <v>内部装修</v>
      </c>
      <c r="R42" s="1480" t="s">
        <v>11</v>
      </c>
      <c r="S42" s="1481">
        <f t="shared" si="12"/>
        <v>100</v>
      </c>
      <c r="T42" s="1480" t="s">
        <v>11</v>
      </c>
      <c r="U42" s="1481">
        <f t="shared" si="13"/>
        <v>97</v>
      </c>
      <c r="V42" s="1480" t="s">
        <v>11</v>
      </c>
      <c r="W42" s="1481">
        <f t="shared" si="14"/>
        <v>100</v>
      </c>
      <c r="X42" s="1474"/>
      <c r="Y42" s="3676"/>
      <c r="Z42" s="1482" t="str">
        <f t="shared" si="15"/>
        <v>内部装修</v>
      </c>
      <c r="AA42" s="1483">
        <f t="shared" si="3"/>
        <v>1</v>
      </c>
      <c r="AB42" s="1483">
        <f t="shared" si="4"/>
        <v>1.0309278350515463</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76"/>
      <c r="Q43" s="1479" t="str">
        <f t="shared" si="11"/>
        <v>内部装修维护情况</v>
      </c>
      <c r="R43" s="1480" t="s">
        <v>11</v>
      </c>
      <c r="S43" s="1481">
        <f t="shared" si="12"/>
        <v>100</v>
      </c>
      <c r="T43" s="1480" t="s">
        <v>11</v>
      </c>
      <c r="U43" s="1481">
        <f t="shared" si="13"/>
        <v>100</v>
      </c>
      <c r="V43" s="1480" t="s">
        <v>11</v>
      </c>
      <c r="W43" s="1481">
        <f t="shared" si="14"/>
        <v>100</v>
      </c>
      <c r="X43" s="1474"/>
      <c r="Y43" s="3676"/>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76"/>
      <c r="Q44" s="1115">
        <f t="shared" si="11"/>
        <v>111</v>
      </c>
      <c r="R44" s="1475" t="s">
        <v>11</v>
      </c>
      <c r="S44" s="1476">
        <f t="shared" si="12"/>
        <v>100</v>
      </c>
      <c r="T44" s="1475" t="s">
        <v>11</v>
      </c>
      <c r="U44" s="1476">
        <f t="shared" si="13"/>
        <v>100</v>
      </c>
      <c r="V44" s="1475" t="s">
        <v>11</v>
      </c>
      <c r="W44" s="1476">
        <f t="shared" si="14"/>
        <v>100</v>
      </c>
      <c r="X44" s="1477"/>
      <c r="Y44" s="3676"/>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76"/>
      <c r="Q45" s="1479">
        <f t="shared" si="11"/>
        <v>111</v>
      </c>
      <c r="R45" s="1480" t="s">
        <v>11</v>
      </c>
      <c r="S45" s="1481">
        <f t="shared" si="12"/>
        <v>100</v>
      </c>
      <c r="T45" s="1480" t="s">
        <v>11</v>
      </c>
      <c r="U45" s="1481">
        <f t="shared" si="13"/>
        <v>100</v>
      </c>
      <c r="V45" s="1480" t="s">
        <v>11</v>
      </c>
      <c r="W45" s="1481">
        <f t="shared" si="14"/>
        <v>100</v>
      </c>
      <c r="X45" s="1474"/>
      <c r="Y45" s="3676"/>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6"/>
      <c r="Q46" s="1479">
        <f t="shared" si="11"/>
        <v>111</v>
      </c>
      <c r="R46" s="1480" t="s">
        <v>10</v>
      </c>
      <c r="S46" s="1481">
        <f t="shared" si="12"/>
        <v>100</v>
      </c>
      <c r="T46" s="1480" t="s">
        <v>10</v>
      </c>
      <c r="U46" s="1481">
        <f t="shared" si="13"/>
        <v>100</v>
      </c>
      <c r="V46" s="1480" t="s">
        <v>10</v>
      </c>
      <c r="W46" s="1481">
        <f t="shared" si="14"/>
        <v>100</v>
      </c>
      <c r="X46" s="1474"/>
      <c r="Y46" s="3756"/>
      <c r="Z46" s="1482">
        <f t="shared" si="15"/>
        <v>111</v>
      </c>
      <c r="AA46" s="1483">
        <f t="shared" si="3"/>
        <v>1</v>
      </c>
      <c r="AB46" s="1483">
        <f t="shared" si="4"/>
        <v>1</v>
      </c>
      <c r="AC46" s="1483">
        <f t="shared" si="5"/>
        <v>1</v>
      </c>
    </row>
    <row r="47" spans="1:29" ht="15">
      <c r="A47" s="583" t="s">
        <v>719</v>
      </c>
      <c r="B47" s="857"/>
      <c r="C47" s="2407" t="s">
        <v>9</v>
      </c>
      <c r="D47" s="2408"/>
      <c r="E47" s="2409">
        <v>63387</v>
      </c>
      <c r="F47" s="2410"/>
      <c r="G47" s="2411">
        <v>59217</v>
      </c>
      <c r="H47" s="2412"/>
      <c r="I47" s="2409">
        <v>60393</v>
      </c>
      <c r="J47" s="2412"/>
      <c r="K47" s="1509"/>
      <c r="L47" s="1995"/>
      <c r="M47" s="1996"/>
      <c r="N47" s="1985"/>
      <c r="O47" s="1996"/>
      <c r="P47" s="3638" t="str">
        <f>A47</f>
        <v>成交单价（元/平方米）</v>
      </c>
      <c r="Q47" s="3638"/>
      <c r="R47" s="3755">
        <f>E47</f>
        <v>63387</v>
      </c>
      <c r="S47" s="3755"/>
      <c r="T47" s="3755">
        <f>G47</f>
        <v>59217</v>
      </c>
      <c r="U47" s="3755"/>
      <c r="V47" s="3755">
        <f>I47</f>
        <v>60393</v>
      </c>
      <c r="W47" s="3755"/>
      <c r="X47" s="1469"/>
      <c r="Y47" s="1488"/>
      <c r="Z47" s="1469"/>
      <c r="AA47" s="1469"/>
      <c r="AB47" s="1469"/>
      <c r="AC47" s="1469"/>
    </row>
    <row r="48" spans="1:29" ht="15.75" thickBot="1">
      <c r="A48" s="591" t="s">
        <v>2659</v>
      </c>
      <c r="B48" s="858"/>
      <c r="C48" s="2413">
        <f>R49</f>
        <v>57906</v>
      </c>
      <c r="D48" s="2946" t="s">
        <v>2886</v>
      </c>
      <c r="E48" s="2414">
        <f>R48</f>
        <v>59772</v>
      </c>
      <c r="F48" s="2947"/>
      <c r="G48" s="2413">
        <f>T48</f>
        <v>57566</v>
      </c>
      <c r="H48" s="2947"/>
      <c r="I48" s="2414">
        <f>V48</f>
        <v>56379</v>
      </c>
      <c r="J48" s="2947"/>
      <c r="K48" s="2955">
        <f>F48+H48+J48</f>
        <v>0</v>
      </c>
      <c r="L48" s="1995"/>
      <c r="M48" s="1996"/>
      <c r="N48" s="1996"/>
      <c r="O48" s="1996"/>
      <c r="P48" s="3638" t="str">
        <f>A48</f>
        <v>比较价格（元/平方米）</v>
      </c>
      <c r="Q48" s="3638"/>
      <c r="R48" s="3755">
        <f>IF(F1="售价",ROUND(PRODUCT(R47,AA7:AA46),0),ROUND(PRODUCT(R47,AA7:AA46),1))</f>
        <v>59772</v>
      </c>
      <c r="S48" s="3755"/>
      <c r="T48" s="3755">
        <f>IF(F1="售价",ROUND(PRODUCT(T47,AB7:AB46),0),ROUND(PRODUCT(T47,AB7:AB46),1))</f>
        <v>57566</v>
      </c>
      <c r="U48" s="3755"/>
      <c r="V48" s="3755">
        <f>IF(F1="售价",ROUND(PRODUCT(V47,AC7:AC46),0),ROUND(PRODUCT(V47,AC7:AC46),1))</f>
        <v>56379</v>
      </c>
      <c r="W48" s="3755"/>
      <c r="X48" s="1469"/>
      <c r="Y48" s="1469"/>
      <c r="Z48" s="1469"/>
      <c r="AA48" s="1469"/>
      <c r="AB48" s="1469"/>
      <c r="AC48" s="1469"/>
    </row>
    <row r="49" spans="1:29" ht="15.75" thickBot="1">
      <c r="A49" s="595" t="s">
        <v>2819</v>
      </c>
      <c r="B49" s="596"/>
      <c r="C49" s="2415">
        <f>R49</f>
        <v>57906</v>
      </c>
      <c r="D49" s="2415"/>
      <c r="E49" s="2415"/>
      <c r="F49" s="2415"/>
      <c r="G49" s="2415"/>
      <c r="H49" s="2415"/>
      <c r="I49" s="2415"/>
      <c r="J49" s="2415"/>
      <c r="K49" s="1510"/>
      <c r="L49" s="1995"/>
      <c r="M49" s="1996"/>
      <c r="N49" s="1996"/>
      <c r="O49" s="1996"/>
      <c r="P49" s="3635" t="str">
        <f>A49</f>
        <v>估价对象XX用房的比较价格（楼面单价，元/平方米）</v>
      </c>
      <c r="Q49" s="3636"/>
      <c r="R49" s="3754">
        <f>IF(F1="售价",ROUND(IF(D48="简单平均",AVERAGE(R48:V48),R48*F48+T48*H48+V48*J48),0),ROUND(IF(D48="简单平均",AVERAGE(R48:V48),R48*F48+T48*H48+V48*J48),1))</f>
        <v>57906</v>
      </c>
      <c r="S49" s="3754"/>
      <c r="T49" s="3754"/>
      <c r="U49" s="3754"/>
      <c r="V49" s="3754"/>
      <c r="W49" s="3754"/>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6.0479823328648763E-2</v>
      </c>
      <c r="F52" s="601" t="str">
        <f>IF(OR(E52&gt;=0.3,E52&lt;=-0.3),"超过30%","")</f>
        <v/>
      </c>
      <c r="G52" s="600">
        <f>IF(G47&lt;G48,G48/G47-1,G47/G48-1)</f>
        <v>2.8680123684119208E-2</v>
      </c>
      <c r="H52" s="601" t="str">
        <f>IF(OR(G52&gt;=0.3,G52&lt;=-0.3),"超过30%","")</f>
        <v/>
      </c>
      <c r="I52" s="600">
        <f>IF(I47&lt;I48,I48/I47-1,I47/I48-1)</f>
        <v>7.1196722183791916E-2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3.8321231282354207E-2</v>
      </c>
      <c r="F53" s="601" t="str">
        <f>IF(OR(E53&gt;=0.2,E53&lt;=-0.2),"超过20%","")</f>
        <v/>
      </c>
      <c r="G53" s="600">
        <f>IF(G48&lt;I48,I48/G48-1,G48/I48-1)</f>
        <v>2.1053938523208915E-2</v>
      </c>
      <c r="H53" s="601" t="str">
        <f>IF(OR(G53&gt;=0.2,G53&lt;=-0.2),"超过20%","")</f>
        <v/>
      </c>
      <c r="I53" s="600">
        <f>IF(I48&lt;E48,E48/I48-1,I48/E48-1)</f>
        <v>6.0181982653115584E-2</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7.0418967526217235E-2</v>
      </c>
      <c r="F54" s="601" t="str">
        <f>IF(OR(E54&gt;=0.3,E54&lt;=-0.3),"超过30%","")</f>
        <v/>
      </c>
      <c r="G54" s="600">
        <f>IF(G47&lt;I47,I47/G47-1,G47/I47-1)</f>
        <v>1.9859162064947533E-2</v>
      </c>
      <c r="H54" s="601" t="str">
        <f>IF(OR(G54&gt;=0.3,G54&lt;=-0.3),"超过30%","")</f>
        <v/>
      </c>
      <c r="I54" s="600">
        <f>IF(I47&lt;E47,E47/I47-1,I47/E47-1)</f>
        <v>4.9575281903531776E-2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96</v>
      </c>
      <c r="E77" s="653">
        <f>D77-$K15</f>
        <v>92</v>
      </c>
      <c r="F77" s="653">
        <f>E77-$K15</f>
        <v>88</v>
      </c>
      <c r="G77" s="653">
        <f>F77-$K15</f>
        <v>84</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97</v>
      </c>
      <c r="E79" s="653">
        <f>D79-$K17</f>
        <v>94</v>
      </c>
      <c r="F79" s="653">
        <f>E79-$K17</f>
        <v>91</v>
      </c>
      <c r="G79" s="653">
        <f>F79-$K17</f>
        <v>88</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97</v>
      </c>
      <c r="E81" s="653">
        <f>D81-$K19</f>
        <v>94</v>
      </c>
      <c r="F81" s="653">
        <f>E81-$K19</f>
        <v>91</v>
      </c>
      <c r="G81" s="653">
        <f>F81-$K19</f>
        <v>88</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v>
      </c>
      <c r="E104" s="645">
        <v>102</v>
      </c>
      <c r="F104" s="645">
        <v>103</v>
      </c>
      <c r="G104" s="645">
        <v>104</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692"/>
      <c r="D107" s="692"/>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7" t="s">
        <v>3097</v>
      </c>
      <c r="E122" s="3436"/>
      <c r="F122" s="3437"/>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44" t="s">
        <v>505</v>
      </c>
      <c r="D4" s="3645"/>
      <c r="E4" s="3679" t="s">
        <v>506</v>
      </c>
      <c r="F4" s="3680"/>
      <c r="G4" s="3644" t="s">
        <v>507</v>
      </c>
      <c r="H4" s="3645"/>
      <c r="I4" s="3644" t="s">
        <v>508</v>
      </c>
      <c r="J4" s="3645"/>
      <c r="K4" s="490" t="s">
        <v>509</v>
      </c>
      <c r="L4" s="1984"/>
      <c r="M4" s="1985"/>
      <c r="N4" s="1985"/>
      <c r="O4" s="1985"/>
      <c r="P4" s="3646" t="s">
        <v>510</v>
      </c>
      <c r="Q4" s="3647"/>
      <c r="R4" s="3652" t="s">
        <v>506</v>
      </c>
      <c r="S4" s="3653"/>
      <c r="T4" s="3652" t="s">
        <v>507</v>
      </c>
      <c r="U4" s="3653"/>
      <c r="V4" s="3639" t="s">
        <v>508</v>
      </c>
      <c r="W4" s="3639"/>
      <c r="X4" s="1474"/>
      <c r="Y4" s="3652" t="s">
        <v>510</v>
      </c>
      <c r="Z4" s="3653"/>
      <c r="AA4" s="3641" t="s">
        <v>506</v>
      </c>
      <c r="AB4" s="3639" t="s">
        <v>507</v>
      </c>
      <c r="AC4" s="3641" t="s">
        <v>508</v>
      </c>
    </row>
    <row r="5" spans="1:29" ht="15">
      <c r="A5" s="491"/>
      <c r="B5" s="492"/>
      <c r="C5" s="3660" t="s">
        <v>2813</v>
      </c>
      <c r="D5" s="3661"/>
      <c r="E5" s="3681" t="s">
        <v>2814</v>
      </c>
      <c r="F5" s="3682"/>
      <c r="G5" s="3660" t="s">
        <v>2815</v>
      </c>
      <c r="H5" s="3661"/>
      <c r="I5" s="3660" t="s">
        <v>2816</v>
      </c>
      <c r="J5" s="3661"/>
      <c r="K5" s="490"/>
      <c r="L5" s="1984"/>
      <c r="M5" s="1985"/>
      <c r="N5" s="1985"/>
      <c r="O5" s="1985"/>
      <c r="P5" s="3648"/>
      <c r="Q5" s="3649"/>
      <c r="R5" s="3654"/>
      <c r="S5" s="3655"/>
      <c r="T5" s="3654"/>
      <c r="U5" s="3655"/>
      <c r="V5" s="3639"/>
      <c r="W5" s="3639"/>
      <c r="X5" s="1474"/>
      <c r="Y5" s="3654"/>
      <c r="Z5" s="3655"/>
      <c r="AA5" s="3642"/>
      <c r="AB5" s="3639"/>
      <c r="AC5" s="3642"/>
    </row>
    <row r="6" spans="1:29" ht="15.75" thickBot="1">
      <c r="A6" s="493"/>
      <c r="B6" s="494"/>
      <c r="C6" s="3658" t="s">
        <v>2817</v>
      </c>
      <c r="D6" s="3659"/>
      <c r="E6" s="3677" t="s">
        <v>2817</v>
      </c>
      <c r="F6" s="3678"/>
      <c r="G6" s="3658" t="s">
        <v>2817</v>
      </c>
      <c r="H6" s="3659"/>
      <c r="I6" s="3658" t="s">
        <v>2817</v>
      </c>
      <c r="J6" s="3659"/>
      <c r="K6" s="490" t="s">
        <v>511</v>
      </c>
      <c r="L6" s="1984"/>
      <c r="M6" s="1985"/>
      <c r="N6" s="1985"/>
      <c r="O6" s="1985"/>
      <c r="P6" s="3650"/>
      <c r="Q6" s="3651"/>
      <c r="R6" s="3654"/>
      <c r="S6" s="3655"/>
      <c r="T6" s="3656"/>
      <c r="U6" s="3657"/>
      <c r="V6" s="3639"/>
      <c r="W6" s="3639"/>
      <c r="X6" s="1474"/>
      <c r="Y6" s="3656"/>
      <c r="Z6" s="3657"/>
      <c r="AA6" s="3643"/>
      <c r="AB6" s="3639"/>
      <c r="AC6" s="3643"/>
    </row>
    <row r="7" spans="1:29" s="1184" customFormat="1" ht="15.75" thickBot="1">
      <c r="A7" s="2566"/>
      <c r="B7" s="2573" t="s">
        <v>512</v>
      </c>
      <c r="C7" s="495">
        <f>'数据-取费表'!B2</f>
        <v>44580</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70" t="s">
        <v>513</v>
      </c>
      <c r="Q7" s="3672"/>
      <c r="R7" s="1475" t="s">
        <v>8</v>
      </c>
      <c r="S7" s="1476">
        <f t="shared" ref="S7:S15" si="0">F7</f>
        <v>0</v>
      </c>
      <c r="T7" s="1475" t="s">
        <v>8</v>
      </c>
      <c r="U7" s="1476">
        <f t="shared" ref="U7:U15" si="1">H7</f>
        <v>0</v>
      </c>
      <c r="V7" s="1475" t="s">
        <v>8</v>
      </c>
      <c r="W7" s="1476">
        <f t="shared" ref="W7:W15" si="2">J7</f>
        <v>0</v>
      </c>
      <c r="X7" s="1477"/>
      <c r="Y7" s="3670" t="s">
        <v>513</v>
      </c>
      <c r="Z7" s="3671"/>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70" t="s">
        <v>516</v>
      </c>
      <c r="Q8" s="3671"/>
      <c r="R8" s="1475" t="s">
        <v>8</v>
      </c>
      <c r="S8" s="1476">
        <f t="shared" si="0"/>
        <v>0</v>
      </c>
      <c r="T8" s="1475" t="s">
        <v>8</v>
      </c>
      <c r="U8" s="1476">
        <f t="shared" si="1"/>
        <v>0</v>
      </c>
      <c r="V8" s="1475" t="s">
        <v>8</v>
      </c>
      <c r="W8" s="1476">
        <f t="shared" si="2"/>
        <v>0</v>
      </c>
      <c r="X8" s="1477"/>
      <c r="Y8" s="3670" t="s">
        <v>516</v>
      </c>
      <c r="Z8" s="3671"/>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38" t="s">
        <v>518</v>
      </c>
      <c r="Q9" s="1115" t="str">
        <f t="shared" ref="Q9:Q15" si="6">B9</f>
        <v>用途</v>
      </c>
      <c r="R9" s="1475" t="s">
        <v>8</v>
      </c>
      <c r="S9" s="1476">
        <f t="shared" si="0"/>
        <v>100</v>
      </c>
      <c r="T9" s="1475" t="s">
        <v>8</v>
      </c>
      <c r="U9" s="1476">
        <f t="shared" si="1"/>
        <v>100</v>
      </c>
      <c r="V9" s="1475" t="s">
        <v>8</v>
      </c>
      <c r="W9" s="1476">
        <f t="shared" si="2"/>
        <v>100</v>
      </c>
      <c r="X9" s="1477"/>
      <c r="Y9" s="3580"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38"/>
      <c r="Q11" s="1115" t="str">
        <f t="shared" si="6"/>
        <v>容积率</v>
      </c>
      <c r="R11" s="1475" t="s">
        <v>8</v>
      </c>
      <c r="S11" s="1476" t="e">
        <f t="shared" si="0"/>
        <v>#N/A</v>
      </c>
      <c r="T11" s="1475" t="s">
        <v>8</v>
      </c>
      <c r="U11" s="1476" t="e">
        <f t="shared" si="1"/>
        <v>#N/A</v>
      </c>
      <c r="V11" s="1475" t="s">
        <v>8</v>
      </c>
      <c r="W11" s="1476" t="e">
        <f t="shared" si="2"/>
        <v>#N/A</v>
      </c>
      <c r="X11" s="1477"/>
      <c r="Y11" s="3580"/>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38"/>
      <c r="Q12" s="1115">
        <f t="shared" si="6"/>
        <v>111</v>
      </c>
      <c r="R12" s="1475" t="s">
        <v>8</v>
      </c>
      <c r="S12" s="1476">
        <f t="shared" si="0"/>
        <v>100</v>
      </c>
      <c r="T12" s="1475" t="s">
        <v>8</v>
      </c>
      <c r="U12" s="1476">
        <f t="shared" si="1"/>
        <v>100</v>
      </c>
      <c r="V12" s="1475" t="s">
        <v>8</v>
      </c>
      <c r="W12" s="1476">
        <f t="shared" si="2"/>
        <v>100</v>
      </c>
      <c r="X12" s="1477"/>
      <c r="Y12" s="3580"/>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38"/>
      <c r="Q13" s="1115">
        <f t="shared" si="6"/>
        <v>111</v>
      </c>
      <c r="R13" s="1475" t="s">
        <v>8</v>
      </c>
      <c r="S13" s="1476">
        <f t="shared" si="0"/>
        <v>100</v>
      </c>
      <c r="T13" s="1475" t="s">
        <v>8</v>
      </c>
      <c r="U13" s="1476">
        <f t="shared" si="1"/>
        <v>100</v>
      </c>
      <c r="V13" s="1475" t="s">
        <v>8</v>
      </c>
      <c r="W13" s="1476">
        <f t="shared" si="2"/>
        <v>100</v>
      </c>
      <c r="X13" s="1477"/>
      <c r="Y13" s="3580"/>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38"/>
      <c r="Q14" s="1115">
        <f t="shared" si="6"/>
        <v>111</v>
      </c>
      <c r="R14" s="1475" t="s">
        <v>8</v>
      </c>
      <c r="S14" s="1476">
        <f t="shared" si="0"/>
        <v>100</v>
      </c>
      <c r="T14" s="1475" t="s">
        <v>8</v>
      </c>
      <c r="U14" s="1476">
        <f t="shared" si="1"/>
        <v>100</v>
      </c>
      <c r="V14" s="1475" t="s">
        <v>8</v>
      </c>
      <c r="W14" s="1476">
        <f t="shared" si="2"/>
        <v>100</v>
      </c>
      <c r="X14" s="1477"/>
      <c r="Y14" s="3580"/>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73" t="s">
        <v>523</v>
      </c>
      <c r="Q15" s="1479" t="str">
        <f t="shared" si="6"/>
        <v>商业繁华度</v>
      </c>
      <c r="R15" s="1480" t="s">
        <v>8</v>
      </c>
      <c r="S15" s="1481">
        <f t="shared" si="0"/>
        <v>100</v>
      </c>
      <c r="T15" s="1480" t="s">
        <v>8</v>
      </c>
      <c r="U15" s="1481">
        <f t="shared" si="1"/>
        <v>100</v>
      </c>
      <c r="V15" s="1480" t="s">
        <v>8</v>
      </c>
      <c r="W15" s="1481">
        <f t="shared" si="2"/>
        <v>100</v>
      </c>
      <c r="X15" s="1474"/>
      <c r="Y15" s="3673"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74"/>
      <c r="Q16" s="1479"/>
      <c r="R16" s="1480"/>
      <c r="S16" s="1481"/>
      <c r="T16" s="1480"/>
      <c r="U16" s="1481"/>
      <c r="V16" s="1480"/>
      <c r="W16" s="1481"/>
      <c r="X16" s="1474"/>
      <c r="Y16" s="3674"/>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74"/>
      <c r="Q17" s="1479" t="str">
        <f>B17</f>
        <v>交通便捷度</v>
      </c>
      <c r="R17" s="1480" t="s">
        <v>8</v>
      </c>
      <c r="S17" s="1481">
        <f>F17</f>
        <v>100</v>
      </c>
      <c r="T17" s="1480" t="s">
        <v>8</v>
      </c>
      <c r="U17" s="1481">
        <f>H17</f>
        <v>100</v>
      </c>
      <c r="V17" s="1480" t="s">
        <v>8</v>
      </c>
      <c r="W17" s="1481">
        <f>J17</f>
        <v>100</v>
      </c>
      <c r="X17" s="1474"/>
      <c r="Y17" s="3674"/>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74"/>
      <c r="Q18" s="1479"/>
      <c r="R18" s="1480"/>
      <c r="S18" s="1481"/>
      <c r="T18" s="1480"/>
      <c r="U18" s="1481"/>
      <c r="V18" s="1480"/>
      <c r="W18" s="1481"/>
      <c r="X18" s="1474"/>
      <c r="Y18" s="3674"/>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74"/>
      <c r="Q19" s="1479" t="str">
        <f>B19</f>
        <v>公共配套设施</v>
      </c>
      <c r="R19" s="1480" t="s">
        <v>8</v>
      </c>
      <c r="S19" s="1481">
        <f>F19</f>
        <v>100</v>
      </c>
      <c r="T19" s="1480" t="s">
        <v>8</v>
      </c>
      <c r="U19" s="1481">
        <f>H19</f>
        <v>100</v>
      </c>
      <c r="V19" s="1480" t="s">
        <v>8</v>
      </c>
      <c r="W19" s="1481">
        <f>J19</f>
        <v>100</v>
      </c>
      <c r="X19" s="1474"/>
      <c r="Y19" s="3674"/>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74"/>
      <c r="Q20" s="1479"/>
      <c r="R20" s="1480"/>
      <c r="S20" s="1481"/>
      <c r="T20" s="1480"/>
      <c r="U20" s="1481"/>
      <c r="V20" s="1480"/>
      <c r="W20" s="1481"/>
      <c r="X20" s="1474"/>
      <c r="Y20" s="3674"/>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74"/>
      <c r="Q21" s="2366" t="str">
        <f>B21</f>
        <v>基础设施水平</v>
      </c>
      <c r="R21" s="1480" t="s">
        <v>8</v>
      </c>
      <c r="S21" s="1481">
        <f>F21</f>
        <v>100</v>
      </c>
      <c r="T21" s="1480" t="s">
        <v>8</v>
      </c>
      <c r="U21" s="1481">
        <f>H21</f>
        <v>100</v>
      </c>
      <c r="V21" s="1480" t="s">
        <v>8</v>
      </c>
      <c r="W21" s="1481">
        <f>J21</f>
        <v>100</v>
      </c>
      <c r="X21" s="2368"/>
      <c r="Y21" s="3674"/>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74"/>
      <c r="Q22" s="2366"/>
      <c r="R22" s="1480"/>
      <c r="S22" s="1481"/>
      <c r="T22" s="1480"/>
      <c r="U22" s="1481"/>
      <c r="V22" s="1480"/>
      <c r="W22" s="1481"/>
      <c r="X22" s="2368"/>
      <c r="Y22" s="3674"/>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74"/>
      <c r="Q23" s="1479" t="str">
        <f>B23</f>
        <v>自然及人文环境</v>
      </c>
      <c r="R23" s="1480" t="s">
        <v>8</v>
      </c>
      <c r="S23" s="1481">
        <f>F23</f>
        <v>100</v>
      </c>
      <c r="T23" s="1480" t="s">
        <v>8</v>
      </c>
      <c r="U23" s="1481">
        <f>H23</f>
        <v>100</v>
      </c>
      <c r="V23" s="1480" t="s">
        <v>8</v>
      </c>
      <c r="W23" s="1481">
        <f>J23</f>
        <v>100</v>
      </c>
      <c r="X23" s="1474"/>
      <c r="Y23" s="3674"/>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74"/>
      <c r="Q24" s="1479"/>
      <c r="R24" s="1480"/>
      <c r="S24" s="1481"/>
      <c r="T24" s="1480"/>
      <c r="U24" s="1481"/>
      <c r="V24" s="1480"/>
      <c r="W24" s="1481"/>
      <c r="X24" s="1474"/>
      <c r="Y24" s="3674"/>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74"/>
      <c r="Q25" s="1479" t="str">
        <f t="shared" ref="Q25:Q46" si="11">B25</f>
        <v>临街状况</v>
      </c>
      <c r="R25" s="1480" t="s">
        <v>8</v>
      </c>
      <c r="S25" s="1481">
        <f>F25</f>
        <v>100</v>
      </c>
      <c r="T25" s="1480" t="s">
        <v>8</v>
      </c>
      <c r="U25" s="1481">
        <f>H25</f>
        <v>100</v>
      </c>
      <c r="V25" s="1480" t="s">
        <v>8</v>
      </c>
      <c r="W25" s="1481">
        <f>J25</f>
        <v>100</v>
      </c>
      <c r="X25" s="1474"/>
      <c r="Y25" s="3674"/>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74"/>
      <c r="Q26" s="1479" t="str">
        <f t="shared" si="11"/>
        <v>平面位置/可视性</v>
      </c>
      <c r="R26" s="1480" t="s">
        <v>8</v>
      </c>
      <c r="S26" s="1481">
        <f>F26</f>
        <v>100</v>
      </c>
      <c r="T26" s="1480" t="s">
        <v>8</v>
      </c>
      <c r="U26" s="1481">
        <f>H26</f>
        <v>100</v>
      </c>
      <c r="V26" s="1480" t="s">
        <v>8</v>
      </c>
      <c r="W26" s="1481">
        <f>J26</f>
        <v>100</v>
      </c>
      <c r="X26" s="1474"/>
      <c r="Y26" s="3674"/>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74"/>
      <c r="Q27" s="1115" t="str">
        <f t="shared" si="11"/>
        <v>人流量</v>
      </c>
      <c r="R27" s="1475" t="s">
        <v>8</v>
      </c>
      <c r="S27" s="1476">
        <f>F27</f>
        <v>100</v>
      </c>
      <c r="T27" s="1475" t="s">
        <v>8</v>
      </c>
      <c r="U27" s="1476">
        <f>H27</f>
        <v>100</v>
      </c>
      <c r="V27" s="1475" t="s">
        <v>8</v>
      </c>
      <c r="W27" s="1476">
        <f>J27</f>
        <v>100</v>
      </c>
      <c r="X27" s="1477"/>
      <c r="Y27" s="3674"/>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74"/>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74"/>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74"/>
      <c r="Q29" s="1479">
        <f t="shared" si="11"/>
        <v>111</v>
      </c>
      <c r="R29" s="1480" t="s">
        <v>8</v>
      </c>
      <c r="S29" s="1481">
        <f t="shared" si="12"/>
        <v>100</v>
      </c>
      <c r="T29" s="1480" t="s">
        <v>8</v>
      </c>
      <c r="U29" s="1481">
        <f t="shared" si="13"/>
        <v>100</v>
      </c>
      <c r="V29" s="1480" t="s">
        <v>8</v>
      </c>
      <c r="W29" s="1481">
        <f t="shared" si="14"/>
        <v>100</v>
      </c>
      <c r="X29" s="1474"/>
      <c r="Y29" s="3674"/>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74"/>
      <c r="Q30" s="1479">
        <f t="shared" si="11"/>
        <v>111</v>
      </c>
      <c r="R30" s="1480" t="s">
        <v>8</v>
      </c>
      <c r="S30" s="1481">
        <f t="shared" si="12"/>
        <v>100</v>
      </c>
      <c r="T30" s="1480" t="s">
        <v>8</v>
      </c>
      <c r="U30" s="1481">
        <f t="shared" si="13"/>
        <v>100</v>
      </c>
      <c r="V30" s="1480" t="s">
        <v>8</v>
      </c>
      <c r="W30" s="1481">
        <f t="shared" si="14"/>
        <v>100</v>
      </c>
      <c r="X30" s="1474"/>
      <c r="Y30" s="3674"/>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74"/>
      <c r="Q31" s="1479">
        <f t="shared" si="11"/>
        <v>111</v>
      </c>
      <c r="R31" s="1480" t="s">
        <v>8</v>
      </c>
      <c r="S31" s="1481">
        <f t="shared" si="12"/>
        <v>100</v>
      </c>
      <c r="T31" s="1480" t="s">
        <v>8</v>
      </c>
      <c r="U31" s="1481">
        <f t="shared" si="13"/>
        <v>100</v>
      </c>
      <c r="V31" s="1480" t="s">
        <v>8</v>
      </c>
      <c r="W31" s="1481">
        <f t="shared" si="14"/>
        <v>100</v>
      </c>
      <c r="X31" s="1474"/>
      <c r="Y31" s="3674"/>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75" t="s">
        <v>533</v>
      </c>
      <c r="Q32" s="1479" t="str">
        <f t="shared" si="11"/>
        <v>商业类型</v>
      </c>
      <c r="R32" s="1480" t="s">
        <v>8</v>
      </c>
      <c r="S32" s="1481">
        <f t="shared" si="12"/>
        <v>100</v>
      </c>
      <c r="T32" s="1480" t="s">
        <v>8</v>
      </c>
      <c r="U32" s="1481">
        <f t="shared" si="13"/>
        <v>100</v>
      </c>
      <c r="V32" s="1480" t="s">
        <v>8</v>
      </c>
      <c r="W32" s="1481">
        <f t="shared" si="14"/>
        <v>100</v>
      </c>
      <c r="X32" s="1474"/>
      <c r="Y32" s="3676"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76"/>
      <c r="Q33" s="1508" t="str">
        <f t="shared" si="11"/>
        <v>项目建筑规模</v>
      </c>
      <c r="R33" s="1484" t="s">
        <v>8</v>
      </c>
      <c r="S33" s="1485" t="e">
        <f t="shared" si="12"/>
        <v>#N/A</v>
      </c>
      <c r="T33" s="1484" t="s">
        <v>8</v>
      </c>
      <c r="U33" s="1485" t="e">
        <f t="shared" si="13"/>
        <v>#N/A</v>
      </c>
      <c r="V33" s="1484" t="s">
        <v>8</v>
      </c>
      <c r="W33" s="1485" t="e">
        <f t="shared" si="14"/>
        <v>#N/A</v>
      </c>
      <c r="X33" s="1486"/>
      <c r="Y33" s="3676"/>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76"/>
      <c r="Q34" s="1479" t="str">
        <f t="shared" si="11"/>
        <v>建筑结构</v>
      </c>
      <c r="R34" s="1480" t="s">
        <v>8</v>
      </c>
      <c r="S34" s="1481">
        <f t="shared" si="12"/>
        <v>100</v>
      </c>
      <c r="T34" s="1480" t="s">
        <v>8</v>
      </c>
      <c r="U34" s="1481">
        <f t="shared" si="13"/>
        <v>100</v>
      </c>
      <c r="V34" s="1480" t="s">
        <v>8</v>
      </c>
      <c r="W34" s="1481">
        <f t="shared" si="14"/>
        <v>100</v>
      </c>
      <c r="X34" s="1474"/>
      <c r="Y34" s="3676"/>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76"/>
      <c r="Q35" s="1479" t="str">
        <f t="shared" si="11"/>
        <v>公共部分装修</v>
      </c>
      <c r="R35" s="1480" t="s">
        <v>8</v>
      </c>
      <c r="S35" s="1481">
        <f t="shared" si="12"/>
        <v>100</v>
      </c>
      <c r="T35" s="1480" t="s">
        <v>8</v>
      </c>
      <c r="U35" s="1481">
        <f t="shared" si="13"/>
        <v>100</v>
      </c>
      <c r="V35" s="1480" t="s">
        <v>8</v>
      </c>
      <c r="W35" s="1481">
        <f t="shared" si="14"/>
        <v>100</v>
      </c>
      <c r="X35" s="1474"/>
      <c r="Y35" s="3676"/>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76"/>
      <c r="Q36" s="1479" t="str">
        <f t="shared" si="11"/>
        <v>成新度</v>
      </c>
      <c r="R36" s="1480" t="s">
        <v>8</v>
      </c>
      <c r="S36" s="1481" t="e">
        <f t="shared" si="12"/>
        <v>#N/A</v>
      </c>
      <c r="T36" s="1480" t="s">
        <v>8</v>
      </c>
      <c r="U36" s="1481" t="e">
        <f t="shared" si="13"/>
        <v>#N/A</v>
      </c>
      <c r="V36" s="1480" t="s">
        <v>8</v>
      </c>
      <c r="W36" s="1481" t="e">
        <f t="shared" si="14"/>
        <v>#N/A</v>
      </c>
      <c r="X36" s="1474"/>
      <c r="Y36" s="3676"/>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76"/>
      <c r="Q37" s="1115" t="str">
        <f t="shared" si="11"/>
        <v>市政基础设施</v>
      </c>
      <c r="R37" s="1475" t="s">
        <v>8</v>
      </c>
      <c r="S37" s="1476">
        <f t="shared" si="12"/>
        <v>100</v>
      </c>
      <c r="T37" s="1475" t="s">
        <v>8</v>
      </c>
      <c r="U37" s="1476">
        <f t="shared" si="13"/>
        <v>100</v>
      </c>
      <c r="V37" s="1475" t="s">
        <v>8</v>
      </c>
      <c r="W37" s="1476">
        <f t="shared" si="14"/>
        <v>100</v>
      </c>
      <c r="X37" s="1477"/>
      <c r="Y37" s="3676"/>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76" t="s">
        <v>749</v>
      </c>
      <c r="Q38" s="1479" t="str">
        <f t="shared" si="11"/>
        <v>业态</v>
      </c>
      <c r="R38" s="1480" t="s">
        <v>8</v>
      </c>
      <c r="S38" s="1481">
        <f t="shared" si="12"/>
        <v>100</v>
      </c>
      <c r="T38" s="1480" t="s">
        <v>8</v>
      </c>
      <c r="U38" s="1481">
        <f t="shared" si="13"/>
        <v>100</v>
      </c>
      <c r="V38" s="1480" t="s">
        <v>8</v>
      </c>
      <c r="W38" s="1481">
        <f t="shared" si="14"/>
        <v>100</v>
      </c>
      <c r="X38" s="1474"/>
      <c r="Y38" s="3676"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76"/>
      <c r="Q39" s="1479" t="str">
        <f t="shared" si="11"/>
        <v>层高</v>
      </c>
      <c r="R39" s="1480" t="s">
        <v>8</v>
      </c>
      <c r="S39" s="1481">
        <f t="shared" si="12"/>
        <v>100</v>
      </c>
      <c r="T39" s="1480" t="s">
        <v>8</v>
      </c>
      <c r="U39" s="1481">
        <f t="shared" si="13"/>
        <v>100</v>
      </c>
      <c r="V39" s="1480" t="s">
        <v>8</v>
      </c>
      <c r="W39" s="1481">
        <f t="shared" si="14"/>
        <v>100</v>
      </c>
      <c r="X39" s="1474"/>
      <c r="Y39" s="3676"/>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76"/>
      <c r="Q40" s="1479" t="str">
        <f t="shared" si="11"/>
        <v>单套建筑面积</v>
      </c>
      <c r="R40" s="1480" t="s">
        <v>8</v>
      </c>
      <c r="S40" s="1481">
        <f t="shared" si="12"/>
        <v>100</v>
      </c>
      <c r="T40" s="1480" t="s">
        <v>8</v>
      </c>
      <c r="U40" s="1481">
        <f t="shared" si="13"/>
        <v>100</v>
      </c>
      <c r="V40" s="1480" t="s">
        <v>8</v>
      </c>
      <c r="W40" s="1481">
        <f t="shared" si="14"/>
        <v>100</v>
      </c>
      <c r="X40" s="1474"/>
      <c r="Y40" s="3676"/>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76"/>
      <c r="Q41" s="1508" t="str">
        <f t="shared" si="11"/>
        <v>进深比</v>
      </c>
      <c r="R41" s="1484" t="s">
        <v>8</v>
      </c>
      <c r="S41" s="1485">
        <f t="shared" si="12"/>
        <v>100</v>
      </c>
      <c r="T41" s="1484" t="s">
        <v>8</v>
      </c>
      <c r="U41" s="1485">
        <f t="shared" si="13"/>
        <v>100</v>
      </c>
      <c r="V41" s="1484" t="s">
        <v>8</v>
      </c>
      <c r="W41" s="1485">
        <f t="shared" si="14"/>
        <v>100</v>
      </c>
      <c r="X41" s="1486"/>
      <c r="Y41" s="3676"/>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76"/>
      <c r="Q42" s="1479" t="str">
        <f t="shared" si="11"/>
        <v>内部装修</v>
      </c>
      <c r="R42" s="1480" t="s">
        <v>8</v>
      </c>
      <c r="S42" s="1481">
        <f t="shared" si="12"/>
        <v>100</v>
      </c>
      <c r="T42" s="1480" t="s">
        <v>8</v>
      </c>
      <c r="U42" s="1481">
        <f t="shared" si="13"/>
        <v>100</v>
      </c>
      <c r="V42" s="1480" t="s">
        <v>8</v>
      </c>
      <c r="W42" s="1481">
        <f t="shared" si="14"/>
        <v>100</v>
      </c>
      <c r="X42" s="1474"/>
      <c r="Y42" s="3676"/>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76"/>
      <c r="Q43" s="1479" t="str">
        <f t="shared" si="11"/>
        <v>内部装修维护情况</v>
      </c>
      <c r="R43" s="1480" t="s">
        <v>8</v>
      </c>
      <c r="S43" s="1481">
        <f t="shared" si="12"/>
        <v>100</v>
      </c>
      <c r="T43" s="1480" t="s">
        <v>8</v>
      </c>
      <c r="U43" s="1481">
        <f t="shared" si="13"/>
        <v>100</v>
      </c>
      <c r="V43" s="1480" t="s">
        <v>8</v>
      </c>
      <c r="W43" s="1481">
        <f t="shared" si="14"/>
        <v>100</v>
      </c>
      <c r="X43" s="1474"/>
      <c r="Y43" s="3676"/>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76"/>
      <c r="Q44" s="1115">
        <f t="shared" si="11"/>
        <v>111</v>
      </c>
      <c r="R44" s="1475" t="s">
        <v>8</v>
      </c>
      <c r="S44" s="1476">
        <f t="shared" si="12"/>
        <v>100</v>
      </c>
      <c r="T44" s="1475" t="s">
        <v>8</v>
      </c>
      <c r="U44" s="1476">
        <f t="shared" si="13"/>
        <v>100</v>
      </c>
      <c r="V44" s="1475" t="s">
        <v>8</v>
      </c>
      <c r="W44" s="1476">
        <f t="shared" si="14"/>
        <v>100</v>
      </c>
      <c r="X44" s="1477"/>
      <c r="Y44" s="3676"/>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76"/>
      <c r="Q45" s="1479">
        <f t="shared" si="11"/>
        <v>111</v>
      </c>
      <c r="R45" s="1480" t="s">
        <v>8</v>
      </c>
      <c r="S45" s="1481">
        <f t="shared" si="12"/>
        <v>100</v>
      </c>
      <c r="T45" s="1480" t="s">
        <v>8</v>
      </c>
      <c r="U45" s="1481">
        <f t="shared" si="13"/>
        <v>100</v>
      </c>
      <c r="V45" s="1480" t="s">
        <v>8</v>
      </c>
      <c r="W45" s="1481">
        <f t="shared" si="14"/>
        <v>100</v>
      </c>
      <c r="X45" s="1474"/>
      <c r="Y45" s="3676"/>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6"/>
      <c r="Q46" s="1479">
        <f t="shared" si="11"/>
        <v>111</v>
      </c>
      <c r="R46" s="1480" t="s">
        <v>8</v>
      </c>
      <c r="S46" s="1481">
        <f t="shared" si="12"/>
        <v>100</v>
      </c>
      <c r="T46" s="1480" t="s">
        <v>8</v>
      </c>
      <c r="U46" s="1481">
        <f t="shared" si="13"/>
        <v>100</v>
      </c>
      <c r="V46" s="1480" t="s">
        <v>8</v>
      </c>
      <c r="W46" s="1481">
        <f t="shared" si="14"/>
        <v>100</v>
      </c>
      <c r="X46" s="1474"/>
      <c r="Y46" s="3756"/>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38" t="str">
        <f>A47</f>
        <v>成交单价（元/平方米）</v>
      </c>
      <c r="Q47" s="3638"/>
      <c r="R47" s="3755">
        <f>E47</f>
        <v>0</v>
      </c>
      <c r="S47" s="3755"/>
      <c r="T47" s="3755">
        <f>G47</f>
        <v>0</v>
      </c>
      <c r="U47" s="3755"/>
      <c r="V47" s="3755">
        <f>I47</f>
        <v>0</v>
      </c>
      <c r="W47" s="3755"/>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38" t="str">
        <f>A48</f>
        <v>比较价格（元/平方米）</v>
      </c>
      <c r="Q48" s="3638"/>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35" t="str">
        <f>A49</f>
        <v>估价对象XX用房的比较价格（楼面单价，元/平方米）</v>
      </c>
      <c r="Q49" s="3636"/>
      <c r="R49" s="3754" t="e">
        <f>IF(F1="售价",ROUND(IF(D48="简单平均",AVERAGE(R48:V48),R48*F48+T48*H48+V48*J48),0),ROUND(IF(D48="简单平均",AVERAGE(R48:V48),R48*F48+T48*H48+V48*J48),1))</f>
        <v>#DIV/0!</v>
      </c>
      <c r="S49" s="3754"/>
      <c r="T49" s="3754"/>
      <c r="U49" s="3754"/>
      <c r="V49" s="3754"/>
      <c r="W49" s="3754"/>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44" t="s">
        <v>505</v>
      </c>
      <c r="D4" s="3645"/>
      <c r="E4" s="3679" t="s">
        <v>506</v>
      </c>
      <c r="F4" s="3680"/>
      <c r="G4" s="3644" t="s">
        <v>507</v>
      </c>
      <c r="H4" s="3645"/>
      <c r="I4" s="3644" t="s">
        <v>508</v>
      </c>
      <c r="J4" s="3645"/>
      <c r="K4" s="490" t="s">
        <v>509</v>
      </c>
      <c r="L4" s="1984"/>
      <c r="M4" s="1985"/>
      <c r="N4" s="1985"/>
      <c r="O4" s="1985"/>
      <c r="P4" s="3758" t="s">
        <v>510</v>
      </c>
      <c r="Q4" s="3647"/>
      <c r="R4" s="3652" t="s">
        <v>506</v>
      </c>
      <c r="S4" s="3653"/>
      <c r="T4" s="3652" t="s">
        <v>507</v>
      </c>
      <c r="U4" s="3653"/>
      <c r="V4" s="3639" t="s">
        <v>508</v>
      </c>
      <c r="W4" s="3639"/>
      <c r="X4" s="1474"/>
      <c r="Y4" s="3652" t="s">
        <v>510</v>
      </c>
      <c r="Z4" s="3653"/>
      <c r="AA4" s="3641" t="s">
        <v>506</v>
      </c>
      <c r="AB4" s="3641" t="s">
        <v>507</v>
      </c>
      <c r="AC4" s="3641" t="s">
        <v>508</v>
      </c>
    </row>
    <row r="5" spans="1:29" ht="15">
      <c r="A5" s="491"/>
      <c r="B5" s="492"/>
      <c r="C5" s="3660" t="s">
        <v>2813</v>
      </c>
      <c r="D5" s="3661"/>
      <c r="E5" s="3681" t="s">
        <v>2814</v>
      </c>
      <c r="F5" s="3682"/>
      <c r="G5" s="3660" t="s">
        <v>2815</v>
      </c>
      <c r="H5" s="3661"/>
      <c r="I5" s="3660" t="s">
        <v>2816</v>
      </c>
      <c r="J5" s="3661"/>
      <c r="K5" s="490"/>
      <c r="L5" s="1984"/>
      <c r="M5" s="1985"/>
      <c r="N5" s="1985"/>
      <c r="O5" s="1985"/>
      <c r="P5" s="3759"/>
      <c r="Q5" s="3649"/>
      <c r="R5" s="3654"/>
      <c r="S5" s="3655"/>
      <c r="T5" s="3654"/>
      <c r="U5" s="3655"/>
      <c r="V5" s="3639"/>
      <c r="W5" s="3639"/>
      <c r="X5" s="1474"/>
      <c r="Y5" s="3654"/>
      <c r="Z5" s="3655"/>
      <c r="AA5" s="3642"/>
      <c r="AB5" s="3642"/>
      <c r="AC5" s="3642"/>
    </row>
    <row r="6" spans="1:29" ht="15.75" thickBot="1">
      <c r="A6" s="493"/>
      <c r="B6" s="494"/>
      <c r="C6" s="3658" t="s">
        <v>2817</v>
      </c>
      <c r="D6" s="3659"/>
      <c r="E6" s="3677" t="s">
        <v>2817</v>
      </c>
      <c r="F6" s="3678"/>
      <c r="G6" s="3658" t="s">
        <v>2817</v>
      </c>
      <c r="H6" s="3659"/>
      <c r="I6" s="3658" t="s">
        <v>2817</v>
      </c>
      <c r="J6" s="3659"/>
      <c r="K6" s="490" t="s">
        <v>511</v>
      </c>
      <c r="L6" s="1984"/>
      <c r="M6" s="1985"/>
      <c r="N6" s="1985"/>
      <c r="O6" s="1985"/>
      <c r="P6" s="3760"/>
      <c r="Q6" s="3651"/>
      <c r="R6" s="3654"/>
      <c r="S6" s="3655"/>
      <c r="T6" s="3656"/>
      <c r="U6" s="3657"/>
      <c r="V6" s="3639"/>
      <c r="W6" s="3639"/>
      <c r="X6" s="1474"/>
      <c r="Y6" s="3656"/>
      <c r="Z6" s="3657"/>
      <c r="AA6" s="3643"/>
      <c r="AB6" s="3643"/>
      <c r="AC6" s="3643"/>
    </row>
    <row r="7" spans="1:29" s="1184" customFormat="1" ht="15.75" thickBot="1">
      <c r="A7" s="2566"/>
      <c r="B7" s="2573" t="s">
        <v>512</v>
      </c>
      <c r="C7" s="495">
        <f>'数据-取费表'!B2</f>
        <v>44580</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72" t="s">
        <v>513</v>
      </c>
      <c r="Q7" s="3672"/>
      <c r="R7" s="1475" t="s">
        <v>8</v>
      </c>
      <c r="S7" s="1476">
        <f t="shared" ref="S7:S15" si="0">F7</f>
        <v>0</v>
      </c>
      <c r="T7" s="1475" t="s">
        <v>8</v>
      </c>
      <c r="U7" s="1476">
        <f t="shared" ref="U7:U15" si="1">H7</f>
        <v>0</v>
      </c>
      <c r="V7" s="1475" t="s">
        <v>8</v>
      </c>
      <c r="W7" s="1476">
        <f t="shared" ref="W7:W15" si="2">J7</f>
        <v>0</v>
      </c>
      <c r="X7" s="1477"/>
      <c r="Y7" s="3670" t="s">
        <v>513</v>
      </c>
      <c r="Z7" s="3671"/>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72" t="s">
        <v>516</v>
      </c>
      <c r="Q8" s="3671"/>
      <c r="R8" s="1475" t="s">
        <v>8</v>
      </c>
      <c r="S8" s="1476">
        <f t="shared" si="0"/>
        <v>0</v>
      </c>
      <c r="T8" s="1475" t="s">
        <v>8</v>
      </c>
      <c r="U8" s="1476">
        <f t="shared" si="1"/>
        <v>0</v>
      </c>
      <c r="V8" s="1475" t="s">
        <v>8</v>
      </c>
      <c r="W8" s="1476">
        <f t="shared" si="2"/>
        <v>0</v>
      </c>
      <c r="X8" s="1477"/>
      <c r="Y8" s="3670" t="s">
        <v>516</v>
      </c>
      <c r="Z8" s="3671"/>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38" t="s">
        <v>518</v>
      </c>
      <c r="Q9" s="1115" t="str">
        <f t="shared" ref="Q9:Q15" si="6">B9</f>
        <v>用途</v>
      </c>
      <c r="R9" s="1475" t="s">
        <v>8</v>
      </c>
      <c r="S9" s="1476">
        <f t="shared" si="0"/>
        <v>100</v>
      </c>
      <c r="T9" s="1475" t="s">
        <v>8</v>
      </c>
      <c r="U9" s="1476">
        <f t="shared" si="1"/>
        <v>100</v>
      </c>
      <c r="V9" s="1475" t="s">
        <v>8</v>
      </c>
      <c r="W9" s="1476">
        <f t="shared" si="2"/>
        <v>100</v>
      </c>
      <c r="X9" s="1477"/>
      <c r="Y9" s="3580"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38"/>
      <c r="Q11" s="1115" t="str">
        <f t="shared" si="6"/>
        <v>容积率</v>
      </c>
      <c r="R11" s="1475" t="s">
        <v>8</v>
      </c>
      <c r="S11" s="1476" t="e">
        <f t="shared" si="0"/>
        <v>#N/A</v>
      </c>
      <c r="T11" s="1475" t="s">
        <v>8</v>
      </c>
      <c r="U11" s="1476" t="e">
        <f t="shared" si="1"/>
        <v>#N/A</v>
      </c>
      <c r="V11" s="1475" t="s">
        <v>8</v>
      </c>
      <c r="W11" s="1476" t="e">
        <f t="shared" si="2"/>
        <v>#N/A</v>
      </c>
      <c r="X11" s="1477"/>
      <c r="Y11" s="3580"/>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38"/>
      <c r="Q12" s="1115">
        <f t="shared" si="6"/>
        <v>111</v>
      </c>
      <c r="R12" s="1475" t="s">
        <v>8</v>
      </c>
      <c r="S12" s="1476">
        <f t="shared" si="0"/>
        <v>100</v>
      </c>
      <c r="T12" s="1475" t="s">
        <v>8</v>
      </c>
      <c r="U12" s="1476">
        <f t="shared" si="1"/>
        <v>100</v>
      </c>
      <c r="V12" s="1475" t="s">
        <v>8</v>
      </c>
      <c r="W12" s="1476">
        <f t="shared" si="2"/>
        <v>100</v>
      </c>
      <c r="X12" s="1477"/>
      <c r="Y12" s="3580"/>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38"/>
      <c r="Q13" s="1115">
        <f t="shared" si="6"/>
        <v>111</v>
      </c>
      <c r="R13" s="1475" t="s">
        <v>8</v>
      </c>
      <c r="S13" s="1476">
        <f t="shared" si="0"/>
        <v>100</v>
      </c>
      <c r="T13" s="1475" t="s">
        <v>8</v>
      </c>
      <c r="U13" s="1476">
        <f t="shared" si="1"/>
        <v>100</v>
      </c>
      <c r="V13" s="1475" t="s">
        <v>8</v>
      </c>
      <c r="W13" s="1476">
        <f t="shared" si="2"/>
        <v>100</v>
      </c>
      <c r="X13" s="1477"/>
      <c r="Y13" s="3580"/>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38"/>
      <c r="Q14" s="1115">
        <f t="shared" si="6"/>
        <v>111</v>
      </c>
      <c r="R14" s="1475" t="s">
        <v>8</v>
      </c>
      <c r="S14" s="1476">
        <f t="shared" si="0"/>
        <v>100</v>
      </c>
      <c r="T14" s="1475" t="s">
        <v>8</v>
      </c>
      <c r="U14" s="1476">
        <f t="shared" si="1"/>
        <v>100</v>
      </c>
      <c r="V14" s="1475" t="s">
        <v>8</v>
      </c>
      <c r="W14" s="1476">
        <f t="shared" si="2"/>
        <v>100</v>
      </c>
      <c r="X14" s="1477"/>
      <c r="Y14" s="3580"/>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73" t="s">
        <v>523</v>
      </c>
      <c r="Q15" s="1479" t="str">
        <f t="shared" si="6"/>
        <v>办公集聚程度</v>
      </c>
      <c r="R15" s="1480" t="s">
        <v>8</v>
      </c>
      <c r="S15" s="1481">
        <f t="shared" si="0"/>
        <v>100</v>
      </c>
      <c r="T15" s="1480" t="s">
        <v>8</v>
      </c>
      <c r="U15" s="1481">
        <f t="shared" si="1"/>
        <v>100</v>
      </c>
      <c r="V15" s="1480" t="s">
        <v>8</v>
      </c>
      <c r="W15" s="1481">
        <f t="shared" si="2"/>
        <v>100</v>
      </c>
      <c r="X15" s="1474"/>
      <c r="Y15" s="3673"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74"/>
      <c r="Q16" s="1479"/>
      <c r="R16" s="1480"/>
      <c r="S16" s="1481"/>
      <c r="T16" s="1480"/>
      <c r="U16" s="1481"/>
      <c r="V16" s="1480"/>
      <c r="W16" s="1481"/>
      <c r="X16" s="1474"/>
      <c r="Y16" s="3674"/>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74"/>
      <c r="Q17" s="1479" t="str">
        <f>B17</f>
        <v>交通便捷度</v>
      </c>
      <c r="R17" s="1480" t="s">
        <v>8</v>
      </c>
      <c r="S17" s="1481">
        <f>F17</f>
        <v>100</v>
      </c>
      <c r="T17" s="1480" t="s">
        <v>8</v>
      </c>
      <c r="U17" s="1481">
        <f>H17</f>
        <v>100</v>
      </c>
      <c r="V17" s="1480" t="s">
        <v>8</v>
      </c>
      <c r="W17" s="1481">
        <f>J17</f>
        <v>100</v>
      </c>
      <c r="X17" s="1474"/>
      <c r="Y17" s="3674"/>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74"/>
      <c r="Q18" s="1479"/>
      <c r="R18" s="1480"/>
      <c r="S18" s="1481"/>
      <c r="T18" s="1480"/>
      <c r="U18" s="1481"/>
      <c r="V18" s="1480"/>
      <c r="W18" s="1481"/>
      <c r="X18" s="1474"/>
      <c r="Y18" s="3674"/>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74"/>
      <c r="Q19" s="1479" t="str">
        <f>B19</f>
        <v>公共配套设施</v>
      </c>
      <c r="R19" s="1480" t="s">
        <v>8</v>
      </c>
      <c r="S19" s="1481">
        <f>F19</f>
        <v>100</v>
      </c>
      <c r="T19" s="1480" t="s">
        <v>8</v>
      </c>
      <c r="U19" s="1481">
        <f>H19</f>
        <v>100</v>
      </c>
      <c r="V19" s="1480" t="s">
        <v>8</v>
      </c>
      <c r="W19" s="1481">
        <f>J19</f>
        <v>100</v>
      </c>
      <c r="X19" s="1474"/>
      <c r="Y19" s="3674"/>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74"/>
      <c r="Q20" s="1479"/>
      <c r="R20" s="1480"/>
      <c r="S20" s="1481"/>
      <c r="T20" s="1480"/>
      <c r="U20" s="1481"/>
      <c r="V20" s="1480"/>
      <c r="W20" s="1481"/>
      <c r="X20" s="1474"/>
      <c r="Y20" s="3674"/>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74"/>
      <c r="Q21" s="2366" t="str">
        <f>B21</f>
        <v>基础设施水平</v>
      </c>
      <c r="R21" s="1480" t="s">
        <v>8</v>
      </c>
      <c r="S21" s="1481">
        <f>F21</f>
        <v>100</v>
      </c>
      <c r="T21" s="1480" t="s">
        <v>8</v>
      </c>
      <c r="U21" s="1481">
        <f>H21</f>
        <v>100</v>
      </c>
      <c r="V21" s="1480" t="s">
        <v>8</v>
      </c>
      <c r="W21" s="1481">
        <f>J21</f>
        <v>100</v>
      </c>
      <c r="X21" s="2368"/>
      <c r="Y21" s="3674"/>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74"/>
      <c r="Q22" s="2366"/>
      <c r="R22" s="1480"/>
      <c r="S22" s="1481"/>
      <c r="T22" s="1480"/>
      <c r="U22" s="1481"/>
      <c r="V22" s="1480"/>
      <c r="W22" s="1481"/>
      <c r="X22" s="2368"/>
      <c r="Y22" s="3674"/>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74"/>
      <c r="Q23" s="1479" t="str">
        <f>B23</f>
        <v>环境质量</v>
      </c>
      <c r="R23" s="1480" t="s">
        <v>8</v>
      </c>
      <c r="S23" s="1481">
        <f>F23</f>
        <v>100</v>
      </c>
      <c r="T23" s="1480" t="s">
        <v>8</v>
      </c>
      <c r="U23" s="1481">
        <f>H23</f>
        <v>100</v>
      </c>
      <c r="V23" s="1480" t="s">
        <v>8</v>
      </c>
      <c r="W23" s="1481">
        <f>J23</f>
        <v>100</v>
      </c>
      <c r="X23" s="1474"/>
      <c r="Y23" s="3674"/>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74"/>
      <c r="Q24" s="1479"/>
      <c r="R24" s="1480"/>
      <c r="S24" s="1481"/>
      <c r="T24" s="1480"/>
      <c r="U24" s="1481"/>
      <c r="V24" s="1480"/>
      <c r="W24" s="1481"/>
      <c r="X24" s="1474"/>
      <c r="Y24" s="3674"/>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74"/>
      <c r="Q25" s="1479" t="str">
        <f>B25</f>
        <v>毗邻道路的类型与等级</v>
      </c>
      <c r="R25" s="1480" t="s">
        <v>8</v>
      </c>
      <c r="S25" s="1481">
        <f>F25</f>
        <v>100</v>
      </c>
      <c r="T25" s="1480" t="s">
        <v>8</v>
      </c>
      <c r="U25" s="1481">
        <f>H25</f>
        <v>100</v>
      </c>
      <c r="V25" s="1480" t="s">
        <v>8</v>
      </c>
      <c r="W25" s="1481">
        <f>J25</f>
        <v>100</v>
      </c>
      <c r="X25" s="1474"/>
      <c r="Y25" s="3674"/>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74"/>
      <c r="Q26" s="1479"/>
      <c r="R26" s="1480"/>
      <c r="S26" s="1481"/>
      <c r="T26" s="1480"/>
      <c r="U26" s="1481"/>
      <c r="V26" s="1480"/>
      <c r="W26" s="1481"/>
      <c r="X26" s="1474"/>
      <c r="Y26" s="3674"/>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74"/>
      <c r="Q27" s="1479" t="str">
        <f t="shared" ref="Q27:Q47" si="11">B27</f>
        <v>楼层</v>
      </c>
      <c r="R27" s="1480" t="s">
        <v>8</v>
      </c>
      <c r="S27" s="1481">
        <f>F27</f>
        <v>100</v>
      </c>
      <c r="T27" s="1480" t="s">
        <v>8</v>
      </c>
      <c r="U27" s="1481">
        <f>H27</f>
        <v>100</v>
      </c>
      <c r="V27" s="1480" t="s">
        <v>8</v>
      </c>
      <c r="W27" s="1481">
        <f>J27</f>
        <v>100</v>
      </c>
      <c r="X27" s="1474"/>
      <c r="Y27" s="3674"/>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74"/>
      <c r="Q28" s="1115" t="str">
        <f t="shared" si="11"/>
        <v>朝向</v>
      </c>
      <c r="R28" s="1475" t="s">
        <v>8</v>
      </c>
      <c r="S28" s="1476">
        <f>F28</f>
        <v>100</v>
      </c>
      <c r="T28" s="1475" t="s">
        <v>8</v>
      </c>
      <c r="U28" s="1476">
        <f>H28</f>
        <v>100</v>
      </c>
      <c r="V28" s="1475" t="s">
        <v>8</v>
      </c>
      <c r="W28" s="1476">
        <f>J28</f>
        <v>100</v>
      </c>
      <c r="X28" s="1477"/>
      <c r="Y28" s="3674"/>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74"/>
      <c r="Q29" s="1479">
        <f t="shared" si="11"/>
        <v>111</v>
      </c>
      <c r="R29" s="1480" t="s">
        <v>8</v>
      </c>
      <c r="S29" s="1481">
        <f t="shared" ref="S29:S47" si="12">F29</f>
        <v>100</v>
      </c>
      <c r="T29" s="1480" t="s">
        <v>8</v>
      </c>
      <c r="U29" s="1481">
        <f t="shared" ref="U29:U47" si="13">H29</f>
        <v>100</v>
      </c>
      <c r="V29" s="1480" t="s">
        <v>8</v>
      </c>
      <c r="W29" s="1481">
        <f t="shared" ref="W29:W47" si="14">J29</f>
        <v>100</v>
      </c>
      <c r="X29" s="1474"/>
      <c r="Y29" s="3674"/>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74"/>
      <c r="Q30" s="1479">
        <f t="shared" si="11"/>
        <v>111</v>
      </c>
      <c r="R30" s="1480" t="s">
        <v>8</v>
      </c>
      <c r="S30" s="1481">
        <f t="shared" si="12"/>
        <v>100</v>
      </c>
      <c r="T30" s="1480" t="s">
        <v>8</v>
      </c>
      <c r="U30" s="1481">
        <f t="shared" si="13"/>
        <v>100</v>
      </c>
      <c r="V30" s="1480" t="s">
        <v>8</v>
      </c>
      <c r="W30" s="1481">
        <f t="shared" si="14"/>
        <v>100</v>
      </c>
      <c r="X30" s="1474"/>
      <c r="Y30" s="3674"/>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74"/>
      <c r="Q31" s="1479">
        <f t="shared" si="11"/>
        <v>111</v>
      </c>
      <c r="R31" s="1480" t="s">
        <v>8</v>
      </c>
      <c r="S31" s="1481">
        <f t="shared" si="12"/>
        <v>100</v>
      </c>
      <c r="T31" s="1480" t="s">
        <v>8</v>
      </c>
      <c r="U31" s="1481">
        <f t="shared" si="13"/>
        <v>100</v>
      </c>
      <c r="V31" s="1480" t="s">
        <v>8</v>
      </c>
      <c r="W31" s="1481">
        <f t="shared" si="14"/>
        <v>100</v>
      </c>
      <c r="X31" s="1474"/>
      <c r="Y31" s="3674"/>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74"/>
      <c r="Q32" s="1479">
        <f t="shared" si="11"/>
        <v>111</v>
      </c>
      <c r="R32" s="1480" t="s">
        <v>8</v>
      </c>
      <c r="S32" s="1481">
        <f t="shared" si="12"/>
        <v>100</v>
      </c>
      <c r="T32" s="1480" t="s">
        <v>8</v>
      </c>
      <c r="U32" s="1481">
        <f t="shared" si="13"/>
        <v>100</v>
      </c>
      <c r="V32" s="1480" t="s">
        <v>8</v>
      </c>
      <c r="W32" s="1481">
        <f t="shared" si="14"/>
        <v>100</v>
      </c>
      <c r="X32" s="1474"/>
      <c r="Y32" s="3674"/>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75" t="s">
        <v>533</v>
      </c>
      <c r="Q33" s="1479" t="str">
        <f t="shared" si="11"/>
        <v>建筑类型</v>
      </c>
      <c r="R33" s="1480" t="s">
        <v>8</v>
      </c>
      <c r="S33" s="1481">
        <f t="shared" si="12"/>
        <v>100</v>
      </c>
      <c r="T33" s="1480" t="s">
        <v>8</v>
      </c>
      <c r="U33" s="1481">
        <f t="shared" si="13"/>
        <v>100</v>
      </c>
      <c r="V33" s="1480" t="s">
        <v>8</v>
      </c>
      <c r="W33" s="1481">
        <f t="shared" si="14"/>
        <v>100</v>
      </c>
      <c r="X33" s="1474"/>
      <c r="Y33" s="3676"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76"/>
      <c r="Q34" s="1508" t="str">
        <f t="shared" si="11"/>
        <v>项目建筑规模</v>
      </c>
      <c r="R34" s="1484" t="s">
        <v>8</v>
      </c>
      <c r="S34" s="1485" t="e">
        <f t="shared" si="12"/>
        <v>#N/A</v>
      </c>
      <c r="T34" s="1484" t="s">
        <v>8</v>
      </c>
      <c r="U34" s="1485" t="e">
        <f t="shared" si="13"/>
        <v>#N/A</v>
      </c>
      <c r="V34" s="1484" t="s">
        <v>8</v>
      </c>
      <c r="W34" s="1485" t="e">
        <f t="shared" si="14"/>
        <v>#N/A</v>
      </c>
      <c r="X34" s="1486"/>
      <c r="Y34" s="3676"/>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76"/>
      <c r="Q35" s="1479" t="str">
        <f t="shared" si="11"/>
        <v>建筑结构</v>
      </c>
      <c r="R35" s="1480" t="s">
        <v>8</v>
      </c>
      <c r="S35" s="1481">
        <f t="shared" si="12"/>
        <v>100</v>
      </c>
      <c r="T35" s="1480" t="s">
        <v>8</v>
      </c>
      <c r="U35" s="1481">
        <f t="shared" si="13"/>
        <v>100</v>
      </c>
      <c r="V35" s="1480" t="s">
        <v>8</v>
      </c>
      <c r="W35" s="1481">
        <f t="shared" si="14"/>
        <v>100</v>
      </c>
      <c r="X35" s="1474"/>
      <c r="Y35" s="3676"/>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76"/>
      <c r="Q36" s="1479" t="str">
        <f t="shared" si="11"/>
        <v>公共部分装修</v>
      </c>
      <c r="R36" s="1480" t="s">
        <v>8</v>
      </c>
      <c r="S36" s="1481">
        <f t="shared" si="12"/>
        <v>100</v>
      </c>
      <c r="T36" s="1480" t="s">
        <v>8</v>
      </c>
      <c r="U36" s="1481">
        <f t="shared" si="13"/>
        <v>100</v>
      </c>
      <c r="V36" s="1480" t="s">
        <v>8</v>
      </c>
      <c r="W36" s="1481">
        <f t="shared" si="14"/>
        <v>100</v>
      </c>
      <c r="X36" s="1474"/>
      <c r="Y36" s="3676"/>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76"/>
      <c r="Q37" s="1479" t="str">
        <f t="shared" si="11"/>
        <v>成新度</v>
      </c>
      <c r="R37" s="1480" t="s">
        <v>8</v>
      </c>
      <c r="S37" s="1481" t="e">
        <f t="shared" si="12"/>
        <v>#N/A</v>
      </c>
      <c r="T37" s="1480" t="s">
        <v>8</v>
      </c>
      <c r="U37" s="1481" t="e">
        <f t="shared" si="13"/>
        <v>#N/A</v>
      </c>
      <c r="V37" s="1480" t="s">
        <v>8</v>
      </c>
      <c r="W37" s="1481" t="e">
        <f t="shared" si="14"/>
        <v>#N/A</v>
      </c>
      <c r="X37" s="1474"/>
      <c r="Y37" s="3676"/>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76"/>
      <c r="Q38" s="1115" t="str">
        <f t="shared" si="11"/>
        <v>写字楼等级</v>
      </c>
      <c r="R38" s="1475" t="s">
        <v>8</v>
      </c>
      <c r="S38" s="1476">
        <f t="shared" si="12"/>
        <v>100</v>
      </c>
      <c r="T38" s="1475" t="s">
        <v>8</v>
      </c>
      <c r="U38" s="1476">
        <f t="shared" si="13"/>
        <v>100</v>
      </c>
      <c r="V38" s="1475" t="s">
        <v>8</v>
      </c>
      <c r="W38" s="1476">
        <f t="shared" si="14"/>
        <v>100</v>
      </c>
      <c r="X38" s="1477"/>
      <c r="Y38" s="3676"/>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76" t="s">
        <v>533</v>
      </c>
      <c r="Q39" s="1479" t="str">
        <f t="shared" si="11"/>
        <v>物业管理</v>
      </c>
      <c r="R39" s="1480" t="s">
        <v>8</v>
      </c>
      <c r="S39" s="1481">
        <f t="shared" si="12"/>
        <v>100</v>
      </c>
      <c r="T39" s="1480" t="s">
        <v>8</v>
      </c>
      <c r="U39" s="1481">
        <f t="shared" si="13"/>
        <v>100</v>
      </c>
      <c r="V39" s="1480" t="s">
        <v>8</v>
      </c>
      <c r="W39" s="1481">
        <f t="shared" si="14"/>
        <v>100</v>
      </c>
      <c r="X39" s="1474"/>
      <c r="Y39" s="3676"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76"/>
      <c r="Q40" s="1479" t="str">
        <f t="shared" si="11"/>
        <v>市政基础设施</v>
      </c>
      <c r="R40" s="1480" t="s">
        <v>8</v>
      </c>
      <c r="S40" s="1481">
        <f t="shared" si="12"/>
        <v>100</v>
      </c>
      <c r="T40" s="1480" t="s">
        <v>8</v>
      </c>
      <c r="U40" s="1481">
        <f t="shared" si="13"/>
        <v>100</v>
      </c>
      <c r="V40" s="1480" t="s">
        <v>8</v>
      </c>
      <c r="W40" s="1481">
        <f t="shared" si="14"/>
        <v>100</v>
      </c>
      <c r="X40" s="1474"/>
      <c r="Y40" s="3676"/>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76"/>
      <c r="Q41" s="1479" t="str">
        <f t="shared" si="11"/>
        <v>层高</v>
      </c>
      <c r="R41" s="1480" t="s">
        <v>8</v>
      </c>
      <c r="S41" s="1481">
        <f t="shared" si="12"/>
        <v>100</v>
      </c>
      <c r="T41" s="1480" t="s">
        <v>8</v>
      </c>
      <c r="U41" s="1481">
        <f t="shared" si="13"/>
        <v>100</v>
      </c>
      <c r="V41" s="1480" t="s">
        <v>8</v>
      </c>
      <c r="W41" s="1481">
        <f t="shared" si="14"/>
        <v>100</v>
      </c>
      <c r="X41" s="1474"/>
      <c r="Y41" s="3676"/>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76"/>
      <c r="Q42" s="1508" t="str">
        <f t="shared" si="11"/>
        <v>单套建筑面积</v>
      </c>
      <c r="R42" s="1484" t="s">
        <v>8</v>
      </c>
      <c r="S42" s="1485">
        <f t="shared" si="12"/>
        <v>100</v>
      </c>
      <c r="T42" s="1484" t="s">
        <v>8</v>
      </c>
      <c r="U42" s="1485">
        <f t="shared" si="13"/>
        <v>100</v>
      </c>
      <c r="V42" s="1484" t="s">
        <v>8</v>
      </c>
      <c r="W42" s="1485">
        <f t="shared" si="14"/>
        <v>100</v>
      </c>
      <c r="X42" s="1486"/>
      <c r="Y42" s="3676"/>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76"/>
      <c r="Q43" s="1479" t="str">
        <f t="shared" si="11"/>
        <v>内部装修</v>
      </c>
      <c r="R43" s="1480" t="s">
        <v>8</v>
      </c>
      <c r="S43" s="1481">
        <f t="shared" si="12"/>
        <v>100</v>
      </c>
      <c r="T43" s="1480" t="s">
        <v>8</v>
      </c>
      <c r="U43" s="1481">
        <f t="shared" si="13"/>
        <v>100</v>
      </c>
      <c r="V43" s="1480" t="s">
        <v>8</v>
      </c>
      <c r="W43" s="1481">
        <f t="shared" si="14"/>
        <v>100</v>
      </c>
      <c r="X43" s="1474"/>
      <c r="Y43" s="3676"/>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76"/>
      <c r="Q44" s="1479" t="str">
        <f t="shared" si="11"/>
        <v>内部装修维护情况</v>
      </c>
      <c r="R44" s="1480" t="s">
        <v>8</v>
      </c>
      <c r="S44" s="1481">
        <f t="shared" si="12"/>
        <v>100</v>
      </c>
      <c r="T44" s="1480" t="s">
        <v>8</v>
      </c>
      <c r="U44" s="1481">
        <f t="shared" si="13"/>
        <v>100</v>
      </c>
      <c r="V44" s="1480" t="s">
        <v>8</v>
      </c>
      <c r="W44" s="1481">
        <f t="shared" si="14"/>
        <v>100</v>
      </c>
      <c r="X44" s="1474"/>
      <c r="Y44" s="3676"/>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76"/>
      <c r="Q45" s="1115">
        <f t="shared" si="11"/>
        <v>111</v>
      </c>
      <c r="R45" s="1475" t="s">
        <v>8</v>
      </c>
      <c r="S45" s="1476">
        <f t="shared" si="12"/>
        <v>100</v>
      </c>
      <c r="T45" s="1475" t="s">
        <v>8</v>
      </c>
      <c r="U45" s="1476">
        <f t="shared" si="13"/>
        <v>100</v>
      </c>
      <c r="V45" s="1475" t="s">
        <v>8</v>
      </c>
      <c r="W45" s="1476">
        <f t="shared" si="14"/>
        <v>100</v>
      </c>
      <c r="X45" s="1477"/>
      <c r="Y45" s="3676"/>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76"/>
      <c r="Q46" s="1479">
        <f t="shared" si="11"/>
        <v>111</v>
      </c>
      <c r="R46" s="1480" t="s">
        <v>8</v>
      </c>
      <c r="S46" s="1481">
        <f t="shared" si="12"/>
        <v>100</v>
      </c>
      <c r="T46" s="1480" t="s">
        <v>8</v>
      </c>
      <c r="U46" s="1481">
        <f t="shared" si="13"/>
        <v>100</v>
      </c>
      <c r="V46" s="1480" t="s">
        <v>8</v>
      </c>
      <c r="W46" s="1481">
        <f t="shared" si="14"/>
        <v>100</v>
      </c>
      <c r="X46" s="1474"/>
      <c r="Y46" s="3676"/>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6"/>
      <c r="Q47" s="1479">
        <f t="shared" si="11"/>
        <v>111</v>
      </c>
      <c r="R47" s="1480" t="s">
        <v>8</v>
      </c>
      <c r="S47" s="1481">
        <f t="shared" si="12"/>
        <v>100</v>
      </c>
      <c r="T47" s="1480" t="s">
        <v>8</v>
      </c>
      <c r="U47" s="1481">
        <f t="shared" si="13"/>
        <v>100</v>
      </c>
      <c r="V47" s="1480" t="s">
        <v>8</v>
      </c>
      <c r="W47" s="1481">
        <f t="shared" si="14"/>
        <v>100</v>
      </c>
      <c r="X47" s="1474"/>
      <c r="Y47" s="3756"/>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36" t="str">
        <f>A48</f>
        <v>成交单价（元/平方米）</v>
      </c>
      <c r="Q48" s="3638"/>
      <c r="R48" s="3755">
        <f>E48</f>
        <v>0</v>
      </c>
      <c r="S48" s="3755"/>
      <c r="T48" s="3755">
        <f>G48</f>
        <v>0</v>
      </c>
      <c r="U48" s="3755"/>
      <c r="V48" s="3755">
        <f>I48</f>
        <v>0</v>
      </c>
      <c r="W48" s="3755"/>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36" t="str">
        <f>A49</f>
        <v>比较价格（元/平方米）</v>
      </c>
      <c r="Q49" s="3638"/>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57" t="str">
        <f>A50</f>
        <v>估价对象XX用房的比较价格（楼面单价，元/平方米）</v>
      </c>
      <c r="Q50" s="3636"/>
      <c r="R50" s="3754" t="e">
        <f>IF(F1="售价",ROUND(IF(D49="简单平均",AVERAGE(R49:V49),R49*F49+T49*H49+V49*J49),0),ROUND(IF(D49="简单平均",AVERAGE(R49:V49),R49*F49+T49*H49+V49*J49),1))</f>
        <v>#DIV/0!</v>
      </c>
      <c r="S50" s="3754"/>
      <c r="T50" s="3754"/>
      <c r="U50" s="3754"/>
      <c r="V50" s="3754"/>
      <c r="W50" s="3754"/>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44" t="s">
        <v>505</v>
      </c>
      <c r="D4" s="3645"/>
      <c r="E4" s="3679" t="s">
        <v>506</v>
      </c>
      <c r="F4" s="3680"/>
      <c r="G4" s="3644" t="s">
        <v>507</v>
      </c>
      <c r="H4" s="3645"/>
      <c r="I4" s="3644" t="s">
        <v>508</v>
      </c>
      <c r="J4" s="3645"/>
      <c r="K4" s="490" t="s">
        <v>509</v>
      </c>
      <c r="L4" s="1984"/>
      <c r="M4" s="1985"/>
      <c r="N4" s="1985"/>
      <c r="O4" s="1985"/>
      <c r="P4" s="3646" t="s">
        <v>510</v>
      </c>
      <c r="Q4" s="3647"/>
      <c r="R4" s="3652" t="s">
        <v>506</v>
      </c>
      <c r="S4" s="3653"/>
      <c r="T4" s="3652" t="s">
        <v>507</v>
      </c>
      <c r="U4" s="3653"/>
      <c r="V4" s="3639" t="s">
        <v>508</v>
      </c>
      <c r="W4" s="3639"/>
      <c r="X4" s="1474"/>
      <c r="Y4" s="3652" t="s">
        <v>510</v>
      </c>
      <c r="Z4" s="3653"/>
      <c r="AA4" s="3641" t="s">
        <v>506</v>
      </c>
      <c r="AB4" s="3642" t="s">
        <v>507</v>
      </c>
      <c r="AC4" s="3641" t="s">
        <v>508</v>
      </c>
    </row>
    <row r="5" spans="1:29" ht="15">
      <c r="A5" s="491"/>
      <c r="B5" s="492"/>
      <c r="C5" s="3660" t="s">
        <v>2813</v>
      </c>
      <c r="D5" s="3661"/>
      <c r="E5" s="3681" t="s">
        <v>2814</v>
      </c>
      <c r="F5" s="3682"/>
      <c r="G5" s="3660" t="s">
        <v>2815</v>
      </c>
      <c r="H5" s="3661"/>
      <c r="I5" s="3660" t="s">
        <v>2816</v>
      </c>
      <c r="J5" s="3661"/>
      <c r="K5" s="490"/>
      <c r="L5" s="1984"/>
      <c r="M5" s="1985"/>
      <c r="N5" s="1985"/>
      <c r="O5" s="1985"/>
      <c r="P5" s="3648"/>
      <c r="Q5" s="3649"/>
      <c r="R5" s="3654"/>
      <c r="S5" s="3655"/>
      <c r="T5" s="3654"/>
      <c r="U5" s="3655"/>
      <c r="V5" s="3639"/>
      <c r="W5" s="3639"/>
      <c r="X5" s="1474"/>
      <c r="Y5" s="3654"/>
      <c r="Z5" s="3655"/>
      <c r="AA5" s="3642"/>
      <c r="AB5" s="3642"/>
      <c r="AC5" s="3642"/>
    </row>
    <row r="6" spans="1:29" ht="15.75" thickBot="1">
      <c r="A6" s="493"/>
      <c r="B6" s="494"/>
      <c r="C6" s="3658" t="s">
        <v>2817</v>
      </c>
      <c r="D6" s="3659"/>
      <c r="E6" s="3677" t="s">
        <v>2817</v>
      </c>
      <c r="F6" s="3678"/>
      <c r="G6" s="3658" t="s">
        <v>2817</v>
      </c>
      <c r="H6" s="3659"/>
      <c r="I6" s="3658" t="s">
        <v>2817</v>
      </c>
      <c r="J6" s="3659"/>
      <c r="K6" s="490" t="s">
        <v>511</v>
      </c>
      <c r="L6" s="1984"/>
      <c r="M6" s="1985"/>
      <c r="N6" s="1985"/>
      <c r="O6" s="1985"/>
      <c r="P6" s="3650"/>
      <c r="Q6" s="3651"/>
      <c r="R6" s="3654"/>
      <c r="S6" s="3655"/>
      <c r="T6" s="3656"/>
      <c r="U6" s="3657"/>
      <c r="V6" s="3639"/>
      <c r="W6" s="3639"/>
      <c r="X6" s="1474"/>
      <c r="Y6" s="3656"/>
      <c r="Z6" s="3657"/>
      <c r="AA6" s="3643"/>
      <c r="AB6" s="3643"/>
      <c r="AC6" s="3643"/>
    </row>
    <row r="7" spans="1:29" s="1184" customFormat="1" ht="15.75" thickBot="1">
      <c r="A7" s="2566"/>
      <c r="B7" s="2573" t="s">
        <v>512</v>
      </c>
      <c r="C7" s="495">
        <f>'数据-取费表'!B2</f>
        <v>44580</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70" t="s">
        <v>513</v>
      </c>
      <c r="Q7" s="3672"/>
      <c r="R7" s="1475" t="s">
        <v>8</v>
      </c>
      <c r="S7" s="1476">
        <f t="shared" ref="S7:S15" si="0">F7</f>
        <v>0</v>
      </c>
      <c r="T7" s="1475" t="s">
        <v>8</v>
      </c>
      <c r="U7" s="1476">
        <f t="shared" ref="U7:U15" si="1">H7</f>
        <v>0</v>
      </c>
      <c r="V7" s="1475" t="s">
        <v>8</v>
      </c>
      <c r="W7" s="1476">
        <f t="shared" ref="W7:W15" si="2">J7</f>
        <v>0</v>
      </c>
      <c r="X7" s="1477"/>
      <c r="Y7" s="3670" t="s">
        <v>513</v>
      </c>
      <c r="Z7" s="3671"/>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70" t="s">
        <v>516</v>
      </c>
      <c r="Q8" s="3671"/>
      <c r="R8" s="1475" t="s">
        <v>8</v>
      </c>
      <c r="S8" s="1476">
        <f t="shared" si="0"/>
        <v>0</v>
      </c>
      <c r="T8" s="1475" t="s">
        <v>8</v>
      </c>
      <c r="U8" s="1476">
        <f t="shared" si="1"/>
        <v>0</v>
      </c>
      <c r="V8" s="1475" t="s">
        <v>8</v>
      </c>
      <c r="W8" s="1476">
        <f t="shared" si="2"/>
        <v>0</v>
      </c>
      <c r="X8" s="1477"/>
      <c r="Y8" s="3670" t="s">
        <v>516</v>
      </c>
      <c r="Z8" s="3671"/>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38" t="s">
        <v>518</v>
      </c>
      <c r="Q9" s="1115" t="str">
        <f t="shared" ref="Q9:Q15" si="6">B9</f>
        <v>用途</v>
      </c>
      <c r="R9" s="1475" t="s">
        <v>8</v>
      </c>
      <c r="S9" s="1476">
        <f t="shared" si="0"/>
        <v>100</v>
      </c>
      <c r="T9" s="1475" t="s">
        <v>8</v>
      </c>
      <c r="U9" s="1476">
        <f t="shared" si="1"/>
        <v>100</v>
      </c>
      <c r="V9" s="1475" t="s">
        <v>8</v>
      </c>
      <c r="W9" s="1476">
        <f t="shared" si="2"/>
        <v>100</v>
      </c>
      <c r="X9" s="1477"/>
      <c r="Y9" s="3580"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38"/>
      <c r="Q11" s="1115" t="str">
        <f t="shared" si="6"/>
        <v>容积率</v>
      </c>
      <c r="R11" s="1475" t="s">
        <v>8</v>
      </c>
      <c r="S11" s="1476" t="e">
        <f t="shared" si="0"/>
        <v>#N/A</v>
      </c>
      <c r="T11" s="1475" t="s">
        <v>8</v>
      </c>
      <c r="U11" s="1476" t="e">
        <f t="shared" si="1"/>
        <v>#N/A</v>
      </c>
      <c r="V11" s="1475" t="s">
        <v>8</v>
      </c>
      <c r="W11" s="1476" t="e">
        <f t="shared" si="2"/>
        <v>#N/A</v>
      </c>
      <c r="X11" s="1477"/>
      <c r="Y11" s="3580"/>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38"/>
      <c r="Q12" s="1115">
        <f t="shared" si="6"/>
        <v>111</v>
      </c>
      <c r="R12" s="1475" t="s">
        <v>8</v>
      </c>
      <c r="S12" s="1476">
        <f t="shared" si="0"/>
        <v>100</v>
      </c>
      <c r="T12" s="1475" t="s">
        <v>8</v>
      </c>
      <c r="U12" s="1476">
        <f t="shared" si="1"/>
        <v>100</v>
      </c>
      <c r="V12" s="1475" t="s">
        <v>8</v>
      </c>
      <c r="W12" s="1476">
        <f t="shared" si="2"/>
        <v>100</v>
      </c>
      <c r="X12" s="1477"/>
      <c r="Y12" s="3580"/>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38"/>
      <c r="Q13" s="1115">
        <f t="shared" si="6"/>
        <v>111</v>
      </c>
      <c r="R13" s="1475" t="s">
        <v>8</v>
      </c>
      <c r="S13" s="1476">
        <f t="shared" si="0"/>
        <v>100</v>
      </c>
      <c r="T13" s="1475" t="s">
        <v>8</v>
      </c>
      <c r="U13" s="1476">
        <f t="shared" si="1"/>
        <v>100</v>
      </c>
      <c r="V13" s="1475" t="s">
        <v>8</v>
      </c>
      <c r="W13" s="1476">
        <f t="shared" si="2"/>
        <v>100</v>
      </c>
      <c r="X13" s="1477"/>
      <c r="Y13" s="3580"/>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38"/>
      <c r="Q14" s="1115">
        <f t="shared" si="6"/>
        <v>111</v>
      </c>
      <c r="R14" s="1475" t="s">
        <v>8</v>
      </c>
      <c r="S14" s="1476">
        <f t="shared" si="0"/>
        <v>100</v>
      </c>
      <c r="T14" s="1475" t="s">
        <v>8</v>
      </c>
      <c r="U14" s="1476">
        <f t="shared" si="1"/>
        <v>100</v>
      </c>
      <c r="V14" s="1475" t="s">
        <v>8</v>
      </c>
      <c r="W14" s="1476">
        <f t="shared" si="2"/>
        <v>100</v>
      </c>
      <c r="X14" s="1477"/>
      <c r="Y14" s="3580"/>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73" t="s">
        <v>523</v>
      </c>
      <c r="Q15" s="1479" t="str">
        <f t="shared" si="6"/>
        <v>产业集聚程度</v>
      </c>
      <c r="R15" s="1480" t="s">
        <v>8</v>
      </c>
      <c r="S15" s="1481">
        <f t="shared" si="0"/>
        <v>100</v>
      </c>
      <c r="T15" s="1480" t="s">
        <v>8</v>
      </c>
      <c r="U15" s="1481">
        <f t="shared" si="1"/>
        <v>100</v>
      </c>
      <c r="V15" s="1480" t="s">
        <v>8</v>
      </c>
      <c r="W15" s="1481">
        <f t="shared" si="2"/>
        <v>100</v>
      </c>
      <c r="X15" s="1474"/>
      <c r="Y15" s="3673"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74"/>
      <c r="Q16" s="1479"/>
      <c r="R16" s="1480"/>
      <c r="S16" s="1481"/>
      <c r="T16" s="1480"/>
      <c r="U16" s="1481"/>
      <c r="V16" s="1480"/>
      <c r="W16" s="1481"/>
      <c r="X16" s="1474"/>
      <c r="Y16" s="3674"/>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74"/>
      <c r="Q17" s="1479" t="str">
        <f>B17</f>
        <v>交通便捷度</v>
      </c>
      <c r="R17" s="1480" t="s">
        <v>8</v>
      </c>
      <c r="S17" s="1481">
        <f>F17</f>
        <v>100</v>
      </c>
      <c r="T17" s="1480" t="s">
        <v>8</v>
      </c>
      <c r="U17" s="1481">
        <f>H17</f>
        <v>100</v>
      </c>
      <c r="V17" s="1480" t="s">
        <v>8</v>
      </c>
      <c r="W17" s="1481">
        <f>J17</f>
        <v>100</v>
      </c>
      <c r="X17" s="1474"/>
      <c r="Y17" s="3674"/>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74"/>
      <c r="Q18" s="1479"/>
      <c r="R18" s="1480"/>
      <c r="S18" s="1481"/>
      <c r="T18" s="1480"/>
      <c r="U18" s="1481"/>
      <c r="V18" s="1480"/>
      <c r="W18" s="1481"/>
      <c r="X18" s="1474"/>
      <c r="Y18" s="3674"/>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74"/>
      <c r="Q19" s="1479" t="str">
        <f>B19</f>
        <v>公共配套设施</v>
      </c>
      <c r="R19" s="1480" t="s">
        <v>8</v>
      </c>
      <c r="S19" s="1481">
        <f>F19</f>
        <v>100</v>
      </c>
      <c r="T19" s="1480" t="s">
        <v>8</v>
      </c>
      <c r="U19" s="1481">
        <f>H19</f>
        <v>100</v>
      </c>
      <c r="V19" s="1480" t="s">
        <v>8</v>
      </c>
      <c r="W19" s="1481">
        <f>J19</f>
        <v>100</v>
      </c>
      <c r="X19" s="1474"/>
      <c r="Y19" s="3674"/>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74"/>
      <c r="Q20" s="1479"/>
      <c r="R20" s="1480"/>
      <c r="S20" s="1481"/>
      <c r="T20" s="1480"/>
      <c r="U20" s="1481"/>
      <c r="V20" s="1480"/>
      <c r="W20" s="1481"/>
      <c r="X20" s="1474"/>
      <c r="Y20" s="3674"/>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74"/>
      <c r="Q21" s="2366" t="str">
        <f>B21</f>
        <v>基础设施水平</v>
      </c>
      <c r="R21" s="1480" t="s">
        <v>8</v>
      </c>
      <c r="S21" s="1481">
        <f>F21</f>
        <v>100</v>
      </c>
      <c r="T21" s="1480" t="s">
        <v>8</v>
      </c>
      <c r="U21" s="1481">
        <f>H21</f>
        <v>100</v>
      </c>
      <c r="V21" s="1480" t="s">
        <v>8</v>
      </c>
      <c r="W21" s="1481">
        <f>J21</f>
        <v>100</v>
      </c>
      <c r="X21" s="2368"/>
      <c r="Y21" s="3674"/>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74"/>
      <c r="Q22" s="2366"/>
      <c r="R22" s="1480"/>
      <c r="S22" s="1481"/>
      <c r="T22" s="1480"/>
      <c r="U22" s="1481"/>
      <c r="V22" s="1480"/>
      <c r="W22" s="1481"/>
      <c r="X22" s="2368"/>
      <c r="Y22" s="3674"/>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74"/>
      <c r="Q23" s="1479" t="str">
        <f>B23</f>
        <v>环境质量</v>
      </c>
      <c r="R23" s="1480" t="s">
        <v>8</v>
      </c>
      <c r="S23" s="1481">
        <f>F23</f>
        <v>100</v>
      </c>
      <c r="T23" s="1480" t="s">
        <v>8</v>
      </c>
      <c r="U23" s="1481">
        <f>H23</f>
        <v>100</v>
      </c>
      <c r="V23" s="1480" t="s">
        <v>8</v>
      </c>
      <c r="W23" s="1481">
        <f>J23</f>
        <v>100</v>
      </c>
      <c r="X23" s="1474"/>
      <c r="Y23" s="3674"/>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74"/>
      <c r="Q24" s="1479"/>
      <c r="R24" s="1480"/>
      <c r="S24" s="1481"/>
      <c r="T24" s="1480"/>
      <c r="U24" s="1481"/>
      <c r="V24" s="1480"/>
      <c r="W24" s="1481"/>
      <c r="X24" s="1474"/>
      <c r="Y24" s="3674"/>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74"/>
      <c r="Q25" s="1479">
        <f>B25</f>
        <v>111</v>
      </c>
      <c r="R25" s="1480" t="s">
        <v>8</v>
      </c>
      <c r="S25" s="1481">
        <f>F25</f>
        <v>100</v>
      </c>
      <c r="T25" s="1480" t="s">
        <v>8</v>
      </c>
      <c r="U25" s="1481">
        <f>H25</f>
        <v>100</v>
      </c>
      <c r="V25" s="1480" t="s">
        <v>8</v>
      </c>
      <c r="W25" s="1481">
        <f>J25</f>
        <v>100</v>
      </c>
      <c r="X25" s="1474"/>
      <c r="Y25" s="3674"/>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74"/>
      <c r="Q26" s="1479">
        <f t="shared" ref="Q26:Q40" si="11">B26</f>
        <v>111</v>
      </c>
      <c r="R26" s="1480" t="s">
        <v>8</v>
      </c>
      <c r="S26" s="1481">
        <f>F26</f>
        <v>100</v>
      </c>
      <c r="T26" s="1480" t="s">
        <v>8</v>
      </c>
      <c r="U26" s="1481">
        <f>H26</f>
        <v>100</v>
      </c>
      <c r="V26" s="1480" t="s">
        <v>8</v>
      </c>
      <c r="W26" s="1481">
        <f>J26</f>
        <v>100</v>
      </c>
      <c r="X26" s="1474"/>
      <c r="Y26" s="3674"/>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74"/>
      <c r="Q27" s="1115">
        <f t="shared" si="11"/>
        <v>111</v>
      </c>
      <c r="R27" s="1475" t="s">
        <v>8</v>
      </c>
      <c r="S27" s="1476">
        <f>F27</f>
        <v>100</v>
      </c>
      <c r="T27" s="1475" t="s">
        <v>8</v>
      </c>
      <c r="U27" s="1476">
        <f>H27</f>
        <v>100</v>
      </c>
      <c r="V27" s="1475" t="s">
        <v>8</v>
      </c>
      <c r="W27" s="1476">
        <f>J27</f>
        <v>100</v>
      </c>
      <c r="X27" s="1477"/>
      <c r="Y27" s="3674"/>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74"/>
      <c r="Q28" s="1479">
        <f t="shared" si="11"/>
        <v>111</v>
      </c>
      <c r="R28" s="1480" t="s">
        <v>8</v>
      </c>
      <c r="S28" s="1481">
        <f t="shared" ref="S28:S40" si="12">F28</f>
        <v>100</v>
      </c>
      <c r="T28" s="1480" t="s">
        <v>8</v>
      </c>
      <c r="U28" s="1481">
        <f t="shared" ref="U28:U40" si="13">H28</f>
        <v>100</v>
      </c>
      <c r="V28" s="1480" t="s">
        <v>8</v>
      </c>
      <c r="W28" s="1481">
        <f t="shared" ref="W28:W40" si="14">J28</f>
        <v>100</v>
      </c>
      <c r="X28" s="1474"/>
      <c r="Y28" s="3674"/>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75" t="s">
        <v>533</v>
      </c>
      <c r="Q29" s="1479" t="str">
        <f t="shared" si="11"/>
        <v>建筑类型</v>
      </c>
      <c r="R29" s="1480" t="s">
        <v>8</v>
      </c>
      <c r="S29" s="1481">
        <f t="shared" si="12"/>
        <v>100</v>
      </c>
      <c r="T29" s="1480" t="s">
        <v>8</v>
      </c>
      <c r="U29" s="1481">
        <f t="shared" si="13"/>
        <v>100</v>
      </c>
      <c r="V29" s="1480" t="s">
        <v>8</v>
      </c>
      <c r="W29" s="1481">
        <f t="shared" si="14"/>
        <v>100</v>
      </c>
      <c r="X29" s="1474"/>
      <c r="Y29" s="3676"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76"/>
      <c r="Q30" s="1508" t="str">
        <f t="shared" si="11"/>
        <v>项目建筑规模</v>
      </c>
      <c r="R30" s="1484" t="s">
        <v>8</v>
      </c>
      <c r="S30" s="1485" t="e">
        <f t="shared" si="12"/>
        <v>#N/A</v>
      </c>
      <c r="T30" s="1484" t="s">
        <v>8</v>
      </c>
      <c r="U30" s="1485" t="e">
        <f t="shared" si="13"/>
        <v>#N/A</v>
      </c>
      <c r="V30" s="1484" t="s">
        <v>8</v>
      </c>
      <c r="W30" s="1485" t="e">
        <f t="shared" si="14"/>
        <v>#N/A</v>
      </c>
      <c r="X30" s="1486"/>
      <c r="Y30" s="3676"/>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76"/>
      <c r="Q31" s="1479" t="str">
        <f t="shared" si="11"/>
        <v>建筑结构</v>
      </c>
      <c r="R31" s="1480" t="s">
        <v>8</v>
      </c>
      <c r="S31" s="1481">
        <f t="shared" si="12"/>
        <v>100</v>
      </c>
      <c r="T31" s="1480" t="s">
        <v>8</v>
      </c>
      <c r="U31" s="1481">
        <f t="shared" si="13"/>
        <v>100</v>
      </c>
      <c r="V31" s="1480" t="s">
        <v>8</v>
      </c>
      <c r="W31" s="1481">
        <f t="shared" si="14"/>
        <v>100</v>
      </c>
      <c r="X31" s="1474"/>
      <c r="Y31" s="3676"/>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76"/>
      <c r="Q32" s="1479" t="str">
        <f t="shared" si="11"/>
        <v>公共部分装修</v>
      </c>
      <c r="R32" s="1480" t="s">
        <v>8</v>
      </c>
      <c r="S32" s="1481">
        <f t="shared" si="12"/>
        <v>100</v>
      </c>
      <c r="T32" s="1480" t="s">
        <v>8</v>
      </c>
      <c r="U32" s="1481">
        <f t="shared" si="13"/>
        <v>100</v>
      </c>
      <c r="V32" s="1480" t="s">
        <v>8</v>
      </c>
      <c r="W32" s="1481">
        <f t="shared" si="14"/>
        <v>100</v>
      </c>
      <c r="X32" s="1474"/>
      <c r="Y32" s="3676"/>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76"/>
      <c r="Q33" s="1479" t="str">
        <f t="shared" si="11"/>
        <v>成新度</v>
      </c>
      <c r="R33" s="1480" t="s">
        <v>8</v>
      </c>
      <c r="S33" s="1481" t="e">
        <f t="shared" si="12"/>
        <v>#N/A</v>
      </c>
      <c r="T33" s="1480" t="s">
        <v>8</v>
      </c>
      <c r="U33" s="1481" t="e">
        <f t="shared" si="13"/>
        <v>#N/A</v>
      </c>
      <c r="V33" s="1480" t="s">
        <v>8</v>
      </c>
      <c r="W33" s="1481" t="e">
        <f t="shared" si="14"/>
        <v>#N/A</v>
      </c>
      <c r="X33" s="1474"/>
      <c r="Y33" s="3676"/>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76"/>
      <c r="Q34" s="1115" t="str">
        <f t="shared" si="11"/>
        <v>物业管理</v>
      </c>
      <c r="R34" s="1475" t="s">
        <v>8</v>
      </c>
      <c r="S34" s="1476">
        <f t="shared" si="12"/>
        <v>100</v>
      </c>
      <c r="T34" s="1475" t="s">
        <v>8</v>
      </c>
      <c r="U34" s="1476">
        <f t="shared" si="13"/>
        <v>100</v>
      </c>
      <c r="V34" s="1475" t="s">
        <v>8</v>
      </c>
      <c r="W34" s="1476">
        <f t="shared" si="14"/>
        <v>100</v>
      </c>
      <c r="X34" s="1477"/>
      <c r="Y34" s="3676"/>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76" t="s">
        <v>533</v>
      </c>
      <c r="Q35" s="1479" t="str">
        <f t="shared" si="11"/>
        <v>市政基础设施</v>
      </c>
      <c r="R35" s="1480" t="s">
        <v>8</v>
      </c>
      <c r="S35" s="1481">
        <f t="shared" si="12"/>
        <v>100</v>
      </c>
      <c r="T35" s="1480" t="s">
        <v>8</v>
      </c>
      <c r="U35" s="1481">
        <f t="shared" si="13"/>
        <v>100</v>
      </c>
      <c r="V35" s="1480" t="s">
        <v>8</v>
      </c>
      <c r="W35" s="1481">
        <f t="shared" si="14"/>
        <v>100</v>
      </c>
      <c r="X35" s="1474"/>
      <c r="Y35" s="3676"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76"/>
      <c r="Q36" s="1479" t="str">
        <f t="shared" si="11"/>
        <v>内部装修</v>
      </c>
      <c r="R36" s="1480" t="s">
        <v>8</v>
      </c>
      <c r="S36" s="1481">
        <f t="shared" si="12"/>
        <v>100</v>
      </c>
      <c r="T36" s="1480" t="s">
        <v>8</v>
      </c>
      <c r="U36" s="1481">
        <f t="shared" si="13"/>
        <v>100</v>
      </c>
      <c r="V36" s="1480" t="s">
        <v>8</v>
      </c>
      <c r="W36" s="1481">
        <f t="shared" si="14"/>
        <v>100</v>
      </c>
      <c r="X36" s="1474"/>
      <c r="Y36" s="3676"/>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76"/>
      <c r="Q37" s="1479" t="str">
        <f t="shared" si="11"/>
        <v>内部装修状况</v>
      </c>
      <c r="R37" s="1480" t="s">
        <v>8</v>
      </c>
      <c r="S37" s="1481">
        <f t="shared" si="12"/>
        <v>100</v>
      </c>
      <c r="T37" s="1480" t="s">
        <v>8</v>
      </c>
      <c r="U37" s="1481">
        <f t="shared" si="13"/>
        <v>100</v>
      </c>
      <c r="V37" s="1480" t="s">
        <v>8</v>
      </c>
      <c r="W37" s="1481">
        <f t="shared" si="14"/>
        <v>100</v>
      </c>
      <c r="X37" s="1474"/>
      <c r="Y37" s="3676"/>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76"/>
      <c r="Q38" s="1508">
        <f t="shared" si="11"/>
        <v>111</v>
      </c>
      <c r="R38" s="1484" t="s">
        <v>8</v>
      </c>
      <c r="S38" s="1485">
        <f t="shared" si="12"/>
        <v>100</v>
      </c>
      <c r="T38" s="1484" t="s">
        <v>8</v>
      </c>
      <c r="U38" s="1485">
        <f t="shared" si="13"/>
        <v>100</v>
      </c>
      <c r="V38" s="1484" t="s">
        <v>8</v>
      </c>
      <c r="W38" s="1485">
        <f t="shared" si="14"/>
        <v>100</v>
      </c>
      <c r="X38" s="1486"/>
      <c r="Y38" s="3676"/>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76"/>
      <c r="Q39" s="1479">
        <f t="shared" si="11"/>
        <v>111</v>
      </c>
      <c r="R39" s="1480" t="s">
        <v>8</v>
      </c>
      <c r="S39" s="1481">
        <f t="shared" si="12"/>
        <v>100</v>
      </c>
      <c r="T39" s="1480" t="s">
        <v>8</v>
      </c>
      <c r="U39" s="1481">
        <f t="shared" si="13"/>
        <v>100</v>
      </c>
      <c r="V39" s="1480" t="s">
        <v>8</v>
      </c>
      <c r="W39" s="1481">
        <f t="shared" si="14"/>
        <v>100</v>
      </c>
      <c r="X39" s="1474"/>
      <c r="Y39" s="3676"/>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6"/>
      <c r="Q40" s="1479">
        <f t="shared" si="11"/>
        <v>111</v>
      </c>
      <c r="R40" s="1480" t="s">
        <v>8</v>
      </c>
      <c r="S40" s="1481">
        <f t="shared" si="12"/>
        <v>100</v>
      </c>
      <c r="T40" s="1480" t="s">
        <v>8</v>
      </c>
      <c r="U40" s="1481">
        <f t="shared" si="13"/>
        <v>100</v>
      </c>
      <c r="V40" s="1480" t="s">
        <v>8</v>
      </c>
      <c r="W40" s="1481">
        <f t="shared" si="14"/>
        <v>100</v>
      </c>
      <c r="X40" s="1474"/>
      <c r="Y40" s="3756"/>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38" t="str">
        <f>A41</f>
        <v>成交单价（元/平方米）</v>
      </c>
      <c r="Q41" s="3638"/>
      <c r="R41" s="3755">
        <f>E41</f>
        <v>0</v>
      </c>
      <c r="S41" s="3755"/>
      <c r="T41" s="3755">
        <f>G41</f>
        <v>0</v>
      </c>
      <c r="U41" s="3755"/>
      <c r="V41" s="3755">
        <f>I41</f>
        <v>0</v>
      </c>
      <c r="W41" s="3755"/>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38" t="str">
        <f>A42</f>
        <v>比较价格（元/平方米）</v>
      </c>
      <c r="Q42" s="3638"/>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35" t="str">
        <f>A43</f>
        <v>估价对象XX用房的比较价格（楼面单价，元/平方米）</v>
      </c>
      <c r="Q43" s="3636"/>
      <c r="R43" s="3754" t="e">
        <f>IF(F1="售价",ROUND(IF(D42="简单平均",AVERAGE(R42:V42),R42*F42+T42*H42+V42*J42),0),ROUND(IF(D42="简单平均",AVERAGE(R42:V42),R42*F42+T42*H42+V42*J42),1))</f>
        <v>#DIV/0!</v>
      </c>
      <c r="S43" s="3754"/>
      <c r="T43" s="3754"/>
      <c r="U43" s="3754"/>
      <c r="V43" s="3754"/>
      <c r="W43" s="3754"/>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2" zoomScale="70" zoomScaleNormal="60" zoomScaleSheetLayoutView="70" workbookViewId="0">
      <selection activeCell="I5" sqref="I5:J5"/>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8.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18956</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5779</v>
      </c>
      <c r="C3" s="823" t="s">
        <v>779</v>
      </c>
      <c r="D3" s="822">
        <f>SUMIF('数据-汇总表'!$C19:$C33,D1,'数据-汇总表'!$E19:$E33)</f>
        <v>32801.72</v>
      </c>
      <c r="E3" s="1732" t="s">
        <v>2050</v>
      </c>
      <c r="F3" s="822">
        <f>SUMIF('数据-取费表'!A5:A15,D1,'数据-取费表'!AH5:AH15)</f>
        <v>1051</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44" t="s">
        <v>781</v>
      </c>
      <c r="D4" s="3645"/>
      <c r="E4" s="3644" t="s">
        <v>782</v>
      </c>
      <c r="F4" s="3645"/>
      <c r="G4" s="3644" t="s">
        <v>783</v>
      </c>
      <c r="H4" s="3645"/>
      <c r="I4" s="3644" t="s">
        <v>784</v>
      </c>
      <c r="J4" s="3645"/>
      <c r="K4" s="490" t="s">
        <v>785</v>
      </c>
      <c r="L4" s="1984"/>
      <c r="M4" s="1985"/>
      <c r="N4" s="1985"/>
      <c r="O4" s="1985"/>
      <c r="P4" s="3646" t="s">
        <v>786</v>
      </c>
      <c r="Q4" s="3647"/>
      <c r="R4" s="3652" t="s">
        <v>782</v>
      </c>
      <c r="S4" s="3653"/>
      <c r="T4" s="3652" t="s">
        <v>783</v>
      </c>
      <c r="U4" s="3653"/>
      <c r="V4" s="3639" t="s">
        <v>784</v>
      </c>
      <c r="W4" s="3639"/>
      <c r="X4" s="1474"/>
      <c r="Y4" s="3652" t="s">
        <v>786</v>
      </c>
      <c r="Z4" s="3653"/>
      <c r="AA4" s="3641" t="s">
        <v>782</v>
      </c>
      <c r="AB4" s="3642" t="s">
        <v>783</v>
      </c>
      <c r="AC4" s="3641" t="s">
        <v>784</v>
      </c>
    </row>
    <row r="5" spans="1:29" ht="15">
      <c r="A5" s="491"/>
      <c r="B5" s="492"/>
      <c r="C5" s="3660" t="s">
        <v>2813</v>
      </c>
      <c r="D5" s="3661"/>
      <c r="E5" s="3664" t="s">
        <v>3372</v>
      </c>
      <c r="F5" s="3661"/>
      <c r="G5" s="3664" t="s">
        <v>3370</v>
      </c>
      <c r="H5" s="3661"/>
      <c r="I5" s="3664" t="s">
        <v>3373</v>
      </c>
      <c r="J5" s="3661"/>
      <c r="K5" s="490"/>
      <c r="L5" s="1984"/>
      <c r="M5" s="1985"/>
      <c r="N5" s="1985"/>
      <c r="O5" s="1985"/>
      <c r="P5" s="3648"/>
      <c r="Q5" s="3649"/>
      <c r="R5" s="3654"/>
      <c r="S5" s="3655"/>
      <c r="T5" s="3654"/>
      <c r="U5" s="3655"/>
      <c r="V5" s="3639"/>
      <c r="W5" s="3639"/>
      <c r="X5" s="1474"/>
      <c r="Y5" s="3654"/>
      <c r="Z5" s="3655"/>
      <c r="AA5" s="3642"/>
      <c r="AB5" s="3642"/>
      <c r="AC5" s="3642"/>
    </row>
    <row r="6" spans="1:29" ht="15.75" thickBot="1">
      <c r="A6" s="493"/>
      <c r="B6" s="494"/>
      <c r="C6" s="3658" t="s">
        <v>2817</v>
      </c>
      <c r="D6" s="3659"/>
      <c r="E6" s="3662" t="s">
        <v>2817</v>
      </c>
      <c r="F6" s="3663"/>
      <c r="G6" s="3658" t="s">
        <v>2817</v>
      </c>
      <c r="H6" s="3659"/>
      <c r="I6" s="3658" t="s">
        <v>2817</v>
      </c>
      <c r="J6" s="3659"/>
      <c r="K6" s="490" t="s">
        <v>511</v>
      </c>
      <c r="L6" s="1984"/>
      <c r="M6" s="1985"/>
      <c r="N6" s="1985"/>
      <c r="O6" s="1985"/>
      <c r="P6" s="3650"/>
      <c r="Q6" s="3651"/>
      <c r="R6" s="3654"/>
      <c r="S6" s="3655"/>
      <c r="T6" s="3656"/>
      <c r="U6" s="3657"/>
      <c r="V6" s="3639"/>
      <c r="W6" s="3639"/>
      <c r="X6" s="1474"/>
      <c r="Y6" s="3656"/>
      <c r="Z6" s="3657"/>
      <c r="AA6" s="3643"/>
      <c r="AB6" s="3643"/>
      <c r="AC6" s="3643"/>
    </row>
    <row r="7" spans="1:29" s="1184" customFormat="1" ht="15.75" thickBot="1">
      <c r="A7" s="2566"/>
      <c r="B7" s="2573" t="s">
        <v>512</v>
      </c>
      <c r="C7" s="495">
        <f>'数据-取费表'!B2</f>
        <v>44580</v>
      </c>
      <c r="D7" s="496">
        <v>100</v>
      </c>
      <c r="E7" s="497">
        <v>44531</v>
      </c>
      <c r="F7" s="498">
        <f>SUMIF(48:48,YEAR(E7)&amp;"-"&amp;MONTH(E7),49:49)</f>
        <v>100</v>
      </c>
      <c r="G7" s="497">
        <v>44531</v>
      </c>
      <c r="H7" s="496">
        <f>SUMIF(48:48,YEAR(G7)&amp;"-"&amp;MONTH(G7),49:49)</f>
        <v>100</v>
      </c>
      <c r="I7" s="497">
        <v>44531</v>
      </c>
      <c r="J7" s="496">
        <f>SUMIF(48:48,YEAR(I7)&amp;"-"&amp;MONTH(I7),49:49)</f>
        <v>100</v>
      </c>
      <c r="K7" s="500"/>
      <c r="L7" s="1986"/>
      <c r="M7" s="1987"/>
      <c r="N7" s="1987"/>
      <c r="O7" s="1987"/>
      <c r="P7" s="3670" t="s">
        <v>513</v>
      </c>
      <c r="Q7" s="3672"/>
      <c r="R7" s="1475" t="s">
        <v>8</v>
      </c>
      <c r="S7" s="1476">
        <f t="shared" ref="S7:S14" si="0">F7</f>
        <v>100</v>
      </c>
      <c r="T7" s="1475" t="s">
        <v>8</v>
      </c>
      <c r="U7" s="1476">
        <f t="shared" ref="U7:U14" si="1">H7</f>
        <v>100</v>
      </c>
      <c r="V7" s="1475" t="s">
        <v>8</v>
      </c>
      <c r="W7" s="1476">
        <f t="shared" ref="W7:W14" si="2">J7</f>
        <v>100</v>
      </c>
      <c r="X7" s="1477"/>
      <c r="Y7" s="3670" t="s">
        <v>513</v>
      </c>
      <c r="Z7" s="3671"/>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70" t="s">
        <v>516</v>
      </c>
      <c r="Q8" s="3671"/>
      <c r="R8" s="1475" t="s">
        <v>8</v>
      </c>
      <c r="S8" s="1476">
        <f t="shared" si="0"/>
        <v>100</v>
      </c>
      <c r="T8" s="1475" t="s">
        <v>8</v>
      </c>
      <c r="U8" s="1476">
        <f t="shared" si="1"/>
        <v>100</v>
      </c>
      <c r="V8" s="1475" t="s">
        <v>8</v>
      </c>
      <c r="W8" s="1476">
        <f t="shared" si="2"/>
        <v>100</v>
      </c>
      <c r="X8" s="1477"/>
      <c r="Y8" s="3670" t="s">
        <v>516</v>
      </c>
      <c r="Z8" s="3671"/>
      <c r="AA8" s="1478">
        <f t="shared" ref="AA8:AA36" si="3">D8/F8</f>
        <v>1</v>
      </c>
      <c r="AB8" s="1478">
        <f t="shared" ref="AB8:AB36" si="4">D8/H8</f>
        <v>1</v>
      </c>
      <c r="AC8" s="1478">
        <f t="shared" ref="AC8:AC36" si="5">D8/J8</f>
        <v>1</v>
      </c>
    </row>
    <row r="9" spans="1:29" s="1184" customFormat="1" ht="15">
      <c r="A9" s="2568"/>
      <c r="B9" s="2575" t="s">
        <v>2655</v>
      </c>
      <c r="C9" s="3438" t="s">
        <v>3164</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38" t="s">
        <v>518</v>
      </c>
      <c r="Q9" s="1115" t="str">
        <f t="shared" ref="Q9:Q14" si="6">B9</f>
        <v>用途</v>
      </c>
      <c r="R9" s="1475" t="s">
        <v>8</v>
      </c>
      <c r="S9" s="1476">
        <f t="shared" si="0"/>
        <v>100</v>
      </c>
      <c r="T9" s="1475" t="s">
        <v>8</v>
      </c>
      <c r="U9" s="1476">
        <f t="shared" si="1"/>
        <v>100</v>
      </c>
      <c r="V9" s="1475" t="s">
        <v>8</v>
      </c>
      <c r="W9" s="1476">
        <f t="shared" si="2"/>
        <v>100</v>
      </c>
      <c r="X9" s="1477"/>
      <c r="Y9" s="3580" t="s">
        <v>519</v>
      </c>
      <c r="Z9" s="1114" t="str">
        <f t="shared" ref="Z9:Z14" si="7">Q9</f>
        <v>用途</v>
      </c>
      <c r="AA9" s="1478">
        <f t="shared" si="3"/>
        <v>1</v>
      </c>
      <c r="AB9" s="1478">
        <f t="shared" si="4"/>
        <v>1</v>
      </c>
      <c r="AC9" s="1478">
        <f t="shared" si="5"/>
        <v>1</v>
      </c>
    </row>
    <row r="10" spans="1:29" s="1265" customFormat="1" ht="27">
      <c r="A10" s="2569"/>
      <c r="B10" s="2574" t="s">
        <v>2656</v>
      </c>
      <c r="C10" s="832" t="s">
        <v>3165</v>
      </c>
      <c r="D10" s="252">
        <v>100</v>
      </c>
      <c r="E10" s="832" t="s">
        <v>3165</v>
      </c>
      <c r="F10" s="252">
        <f>SUMIF(55:55,E10,56:56)-SUMIF(55:55,C10,56:56)+100</f>
        <v>100</v>
      </c>
      <c r="G10" s="832" t="s">
        <v>3165</v>
      </c>
      <c r="H10" s="252">
        <f>SUMIF(55:55,G10,56:56)-SUMIF(55:55,C10,56:56)+100</f>
        <v>100</v>
      </c>
      <c r="I10" s="832" t="s">
        <v>3165</v>
      </c>
      <c r="J10" s="252">
        <f>SUMIF(55:55,I10,56:56)-SUMIF(55:55,C10,56:56)+100</f>
        <v>100</v>
      </c>
      <c r="K10" s="560">
        <v>1</v>
      </c>
      <c r="L10" s="1989"/>
      <c r="M10" s="2028"/>
      <c r="N10" s="2028"/>
      <c r="O10" s="1990"/>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38"/>
      <c r="Q11" s="1115">
        <f t="shared" si="6"/>
        <v>111</v>
      </c>
      <c r="R11" s="1475" t="s">
        <v>8</v>
      </c>
      <c r="S11" s="1476">
        <f t="shared" si="0"/>
        <v>100</v>
      </c>
      <c r="T11" s="1475" t="s">
        <v>8</v>
      </c>
      <c r="U11" s="1476">
        <f t="shared" si="1"/>
        <v>100</v>
      </c>
      <c r="V11" s="1475" t="s">
        <v>8</v>
      </c>
      <c r="W11" s="1476">
        <f t="shared" si="2"/>
        <v>100</v>
      </c>
      <c r="X11" s="1477"/>
      <c r="Y11" s="3580"/>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38"/>
      <c r="Q12" s="1115">
        <f t="shared" si="6"/>
        <v>111</v>
      </c>
      <c r="R12" s="1475" t="s">
        <v>8</v>
      </c>
      <c r="S12" s="1476">
        <f t="shared" si="0"/>
        <v>100</v>
      </c>
      <c r="T12" s="1475" t="s">
        <v>8</v>
      </c>
      <c r="U12" s="1476">
        <f t="shared" si="1"/>
        <v>100</v>
      </c>
      <c r="V12" s="1475" t="s">
        <v>8</v>
      </c>
      <c r="W12" s="1476">
        <f t="shared" si="2"/>
        <v>100</v>
      </c>
      <c r="X12" s="1477"/>
      <c r="Y12" s="3580"/>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38"/>
      <c r="Q13" s="1115">
        <f t="shared" si="6"/>
        <v>111</v>
      </c>
      <c r="R13" s="1475" t="s">
        <v>8</v>
      </c>
      <c r="S13" s="1476">
        <f t="shared" si="0"/>
        <v>100</v>
      </c>
      <c r="T13" s="1475" t="s">
        <v>8</v>
      </c>
      <c r="U13" s="1476">
        <f t="shared" si="1"/>
        <v>100</v>
      </c>
      <c r="V13" s="1475" t="s">
        <v>8</v>
      </c>
      <c r="W13" s="1476">
        <f t="shared" si="2"/>
        <v>100</v>
      </c>
      <c r="X13" s="1477"/>
      <c r="Y13" s="3580"/>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97</v>
      </c>
      <c r="I14" s="526"/>
      <c r="J14" s="525">
        <f>SUMIF(63:63,I15,64:64)-SUMIF(63:63,C15,64:64)+100</f>
        <v>100</v>
      </c>
      <c r="K14" s="868">
        <f>'不动产比较法-住宅'!K17</f>
        <v>3</v>
      </c>
      <c r="L14" s="1993"/>
      <c r="M14" s="1985"/>
      <c r="N14" s="1985"/>
      <c r="O14" s="1992"/>
      <c r="P14" s="3673" t="s">
        <v>523</v>
      </c>
      <c r="Q14" s="1479" t="str">
        <f t="shared" si="6"/>
        <v>交通便捷度</v>
      </c>
      <c r="R14" s="1480" t="s">
        <v>8</v>
      </c>
      <c r="S14" s="1481">
        <f t="shared" si="0"/>
        <v>100</v>
      </c>
      <c r="T14" s="1480" t="s">
        <v>8</v>
      </c>
      <c r="U14" s="1481">
        <f t="shared" si="1"/>
        <v>97</v>
      </c>
      <c r="V14" s="1480" t="s">
        <v>8</v>
      </c>
      <c r="W14" s="1481">
        <f t="shared" si="2"/>
        <v>100</v>
      </c>
      <c r="X14" s="1474"/>
      <c r="Y14" s="3673" t="s">
        <v>523</v>
      </c>
      <c r="Z14" s="1482" t="str">
        <f t="shared" si="7"/>
        <v>交通便捷度</v>
      </c>
      <c r="AA14" s="1483">
        <f t="shared" si="3"/>
        <v>1</v>
      </c>
      <c r="AB14" s="1483">
        <f t="shared" si="4"/>
        <v>1.0309278350515463</v>
      </c>
      <c r="AC14" s="1483">
        <f t="shared" si="5"/>
        <v>1</v>
      </c>
    </row>
    <row r="15" spans="1:29" ht="15">
      <c r="A15" s="491"/>
      <c r="B15" s="894"/>
      <c r="C15" s="552" t="str">
        <f>'不动产比较法-住宅'!C18</f>
        <v>一般</v>
      </c>
      <c r="D15" s="531"/>
      <c r="E15" s="552" t="s">
        <v>3099</v>
      </c>
      <c r="F15" s="533"/>
      <c r="G15" s="552" t="s">
        <v>3371</v>
      </c>
      <c r="H15" s="535"/>
      <c r="I15" s="552" t="s">
        <v>3099</v>
      </c>
      <c r="J15" s="531"/>
      <c r="K15" s="869"/>
      <c r="L15" s="1993"/>
      <c r="M15" s="1985"/>
      <c r="N15" s="1985"/>
      <c r="O15" s="1992"/>
      <c r="P15" s="3674"/>
      <c r="Q15" s="1479"/>
      <c r="R15" s="1480"/>
      <c r="S15" s="1481"/>
      <c r="T15" s="1480"/>
      <c r="U15" s="1481"/>
      <c r="V15" s="1480"/>
      <c r="W15" s="1481"/>
      <c r="X15" s="1474"/>
      <c r="Y15" s="3674"/>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3</v>
      </c>
      <c r="L16" s="1993"/>
      <c r="M16" s="1985"/>
      <c r="N16" s="1985"/>
      <c r="O16" s="1992"/>
      <c r="P16" s="3674"/>
      <c r="Q16" s="1479" t="str">
        <f>B16</f>
        <v>公共配套设施</v>
      </c>
      <c r="R16" s="1480" t="s">
        <v>8</v>
      </c>
      <c r="S16" s="1481">
        <f>F16</f>
        <v>100</v>
      </c>
      <c r="T16" s="1480" t="s">
        <v>8</v>
      </c>
      <c r="U16" s="1481">
        <f>H16</f>
        <v>100</v>
      </c>
      <c r="V16" s="1480" t="s">
        <v>8</v>
      </c>
      <c r="W16" s="1481">
        <f>J16</f>
        <v>100</v>
      </c>
      <c r="X16" s="1474"/>
      <c r="Y16" s="3674"/>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3099</v>
      </c>
      <c r="F17" s="533"/>
      <c r="G17" s="552" t="s">
        <v>3099</v>
      </c>
      <c r="H17" s="531"/>
      <c r="I17" s="552" t="s">
        <v>3099</v>
      </c>
      <c r="J17" s="531"/>
      <c r="K17" s="869"/>
      <c r="L17" s="1993"/>
      <c r="M17" s="1985"/>
      <c r="N17" s="1985"/>
      <c r="O17" s="1992"/>
      <c r="P17" s="3674"/>
      <c r="Q17" s="1479"/>
      <c r="R17" s="1480"/>
      <c r="S17" s="1481"/>
      <c r="T17" s="1480"/>
      <c r="U17" s="1481"/>
      <c r="V17" s="1480"/>
      <c r="W17" s="1481"/>
      <c r="X17" s="1474"/>
      <c r="Y17" s="3674"/>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74"/>
      <c r="Q18" s="2366" t="str">
        <f>B18</f>
        <v>基础设施水平</v>
      </c>
      <c r="R18" s="1480" t="s">
        <v>8</v>
      </c>
      <c r="S18" s="1481">
        <f>F18</f>
        <v>100</v>
      </c>
      <c r="T18" s="1480" t="s">
        <v>8</v>
      </c>
      <c r="U18" s="1481">
        <f>H18</f>
        <v>100</v>
      </c>
      <c r="V18" s="1480" t="s">
        <v>8</v>
      </c>
      <c r="W18" s="1481">
        <f>J18</f>
        <v>100</v>
      </c>
      <c r="X18" s="2368"/>
      <c r="Y18" s="3674"/>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74"/>
      <c r="Q19" s="2366"/>
      <c r="R19" s="1480"/>
      <c r="S19" s="1481"/>
      <c r="T19" s="1480"/>
      <c r="U19" s="1481"/>
      <c r="V19" s="1480"/>
      <c r="W19" s="1481"/>
      <c r="X19" s="2368"/>
      <c r="Y19" s="3674"/>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99</v>
      </c>
      <c r="I20" s="538"/>
      <c r="J20" s="535">
        <f>SUMIF(69:69,I21,70:70)-SUMIF(69:69,C21,70:70)+100</f>
        <v>100</v>
      </c>
      <c r="K20" s="868">
        <f>'不动产比较法-住宅'!K23</f>
        <v>1</v>
      </c>
      <c r="L20" s="1993"/>
      <c r="M20" s="1985"/>
      <c r="N20" s="1985"/>
      <c r="O20" s="1992"/>
      <c r="P20" s="3674"/>
      <c r="Q20" s="1479" t="str">
        <f>B20</f>
        <v>自然及人文环境</v>
      </c>
      <c r="R20" s="1480" t="s">
        <v>8</v>
      </c>
      <c r="S20" s="1481">
        <f>F20</f>
        <v>100</v>
      </c>
      <c r="T20" s="1480" t="s">
        <v>8</v>
      </c>
      <c r="U20" s="1481">
        <f>H20</f>
        <v>99</v>
      </c>
      <c r="V20" s="1480" t="s">
        <v>8</v>
      </c>
      <c r="W20" s="1481">
        <f>J20</f>
        <v>100</v>
      </c>
      <c r="X20" s="1474"/>
      <c r="Y20" s="3674"/>
      <c r="Z20" s="1482" t="str">
        <f>Q20</f>
        <v>自然及人文环境</v>
      </c>
      <c r="AA20" s="1483">
        <f t="shared" si="3"/>
        <v>1</v>
      </c>
      <c r="AB20" s="1483">
        <f t="shared" si="4"/>
        <v>1.0101010101010102</v>
      </c>
      <c r="AC20" s="1483">
        <f t="shared" si="5"/>
        <v>1</v>
      </c>
    </row>
    <row r="21" spans="1:29" ht="15">
      <c r="A21" s="491"/>
      <c r="B21" s="542"/>
      <c r="C21" s="552" t="str">
        <f>'不动产比较法-住宅'!C24</f>
        <v>较好</v>
      </c>
      <c r="D21" s="531"/>
      <c r="E21" s="552" t="str">
        <f>'不动产比较法-住宅'!E24</f>
        <v>较好</v>
      </c>
      <c r="F21" s="533"/>
      <c r="G21" s="552" t="s">
        <v>3099</v>
      </c>
      <c r="H21" s="531"/>
      <c r="I21" s="552" t="s">
        <v>3098</v>
      </c>
      <c r="J21" s="531"/>
      <c r="K21" s="869"/>
      <c r="L21" s="1993"/>
      <c r="M21" s="1985"/>
      <c r="N21" s="1985"/>
      <c r="O21" s="1992"/>
      <c r="P21" s="3674"/>
      <c r="Q21" s="1479"/>
      <c r="R21" s="1480"/>
      <c r="S21" s="1481"/>
      <c r="T21" s="1480"/>
      <c r="U21" s="1481"/>
      <c r="V21" s="1480"/>
      <c r="W21" s="1481"/>
      <c r="X21" s="1474"/>
      <c r="Y21" s="3674"/>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74"/>
      <c r="Q22" s="1479" t="str">
        <f>B22</f>
        <v>楼层</v>
      </c>
      <c r="R22" s="1480" t="s">
        <v>8</v>
      </c>
      <c r="S22" s="1481">
        <f>F22</f>
        <v>100</v>
      </c>
      <c r="T22" s="1480" t="s">
        <v>8</v>
      </c>
      <c r="U22" s="1481">
        <f>H22</f>
        <v>100</v>
      </c>
      <c r="V22" s="1480" t="s">
        <v>8</v>
      </c>
      <c r="W22" s="1481">
        <f>J22</f>
        <v>100</v>
      </c>
      <c r="X22" s="1474"/>
      <c r="Y22" s="3674"/>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74"/>
      <c r="Q23" s="1479">
        <f>B23</f>
        <v>111</v>
      </c>
      <c r="R23" s="1480" t="s">
        <v>8</v>
      </c>
      <c r="S23" s="1481">
        <f>F23</f>
        <v>100</v>
      </c>
      <c r="T23" s="1480" t="s">
        <v>8</v>
      </c>
      <c r="U23" s="1481">
        <f>H23</f>
        <v>100</v>
      </c>
      <c r="V23" s="1480" t="s">
        <v>8</v>
      </c>
      <c r="W23" s="1481">
        <f>J23</f>
        <v>100</v>
      </c>
      <c r="X23" s="1474"/>
      <c r="Y23" s="3674"/>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74"/>
      <c r="Q24" s="1479">
        <f t="shared" ref="Q24:Q36" si="11">B24</f>
        <v>111</v>
      </c>
      <c r="R24" s="1480" t="s">
        <v>8</v>
      </c>
      <c r="S24" s="1481">
        <f>F24</f>
        <v>100</v>
      </c>
      <c r="T24" s="1480" t="s">
        <v>8</v>
      </c>
      <c r="U24" s="1481">
        <f>H24</f>
        <v>100</v>
      </c>
      <c r="V24" s="1480" t="s">
        <v>8</v>
      </c>
      <c r="W24" s="1481">
        <f>J24</f>
        <v>100</v>
      </c>
      <c r="X24" s="1474"/>
      <c r="Y24" s="3674"/>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74"/>
      <c r="Q25" s="1115">
        <f t="shared" si="11"/>
        <v>111</v>
      </c>
      <c r="R25" s="1475" t="s">
        <v>8</v>
      </c>
      <c r="S25" s="1476">
        <f>F25</f>
        <v>100</v>
      </c>
      <c r="T25" s="1475" t="s">
        <v>8</v>
      </c>
      <c r="U25" s="1476">
        <f>H25</f>
        <v>100</v>
      </c>
      <c r="V25" s="1475" t="s">
        <v>8</v>
      </c>
      <c r="W25" s="1476">
        <f>J25</f>
        <v>100</v>
      </c>
      <c r="X25" s="1477"/>
      <c r="Y25" s="3674"/>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c r="L26" s="1993"/>
      <c r="M26" s="1985"/>
      <c r="N26" s="1985"/>
      <c r="O26" s="1992"/>
      <c r="P26" s="3675"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76"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76"/>
      <c r="Q27" s="1508" t="str">
        <f t="shared" si="11"/>
        <v>项目停车位配比</v>
      </c>
      <c r="R27" s="1484" t="s">
        <v>8</v>
      </c>
      <c r="S27" s="1485">
        <f t="shared" si="12"/>
        <v>100</v>
      </c>
      <c r="T27" s="1484" t="s">
        <v>8</v>
      </c>
      <c r="U27" s="1485">
        <f t="shared" si="13"/>
        <v>100</v>
      </c>
      <c r="V27" s="1484" t="s">
        <v>8</v>
      </c>
      <c r="W27" s="1485">
        <f t="shared" si="14"/>
        <v>100</v>
      </c>
      <c r="X27" s="1486"/>
      <c r="Y27" s="3676"/>
      <c r="Z27" s="1487" t="str">
        <f t="shared" si="15"/>
        <v>项目停车位配比</v>
      </c>
      <c r="AA27" s="1483">
        <f t="shared" si="3"/>
        <v>1</v>
      </c>
      <c r="AB27" s="1483">
        <f t="shared" si="4"/>
        <v>1</v>
      </c>
      <c r="AC27" s="1483">
        <f t="shared" si="5"/>
        <v>1</v>
      </c>
    </row>
    <row r="28" spans="1:29" ht="15">
      <c r="A28" s="901"/>
      <c r="B28" s="558" t="s">
        <v>791</v>
      </c>
      <c r="C28" s="550" t="s">
        <v>3095</v>
      </c>
      <c r="D28" s="516">
        <v>100</v>
      </c>
      <c r="E28" s="550" t="s">
        <v>3095</v>
      </c>
      <c r="F28" s="551">
        <f>SUMIF(83:83,E28,84:84)-SUMIF(83:83,C28,84:84)+100</f>
        <v>100</v>
      </c>
      <c r="G28" s="550" t="s">
        <v>3095</v>
      </c>
      <c r="H28" s="516">
        <f>SUMIF(83:83,G28,84:84)-SUMIF(83:83,C28,84:84)+100</f>
        <v>100</v>
      </c>
      <c r="I28" s="550" t="s">
        <v>3095</v>
      </c>
      <c r="J28" s="516">
        <f>SUMIF(83:83,I28,84:84)-SUMIF(83:83,C28,84:84)+100</f>
        <v>100</v>
      </c>
      <c r="K28" s="560"/>
      <c r="L28" s="1993"/>
      <c r="M28" s="1985"/>
      <c r="N28" s="1985"/>
      <c r="O28" s="1992"/>
      <c r="P28" s="3676"/>
      <c r="Q28" s="1479" t="str">
        <f t="shared" si="11"/>
        <v>公共部分装修</v>
      </c>
      <c r="R28" s="1480" t="s">
        <v>8</v>
      </c>
      <c r="S28" s="1481">
        <f t="shared" si="12"/>
        <v>100</v>
      </c>
      <c r="T28" s="1480" t="s">
        <v>8</v>
      </c>
      <c r="U28" s="1481">
        <f t="shared" si="13"/>
        <v>100</v>
      </c>
      <c r="V28" s="1480" t="s">
        <v>8</v>
      </c>
      <c r="W28" s="1481">
        <f t="shared" si="14"/>
        <v>100</v>
      </c>
      <c r="X28" s="1474"/>
      <c r="Y28" s="3676"/>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0.9</v>
      </c>
      <c r="J29" s="516">
        <f>LOOKUP(I29,86:86,87:87)-LOOKUP(C29,86:86,87:87)+100</f>
        <v>100</v>
      </c>
      <c r="K29" s="560"/>
      <c r="L29" s="1993"/>
      <c r="M29" s="1985"/>
      <c r="N29" s="1985"/>
      <c r="O29" s="1992"/>
      <c r="P29" s="3676"/>
      <c r="Q29" s="1479" t="str">
        <f t="shared" si="11"/>
        <v>成新率</v>
      </c>
      <c r="R29" s="1480" t="s">
        <v>8</v>
      </c>
      <c r="S29" s="1481">
        <f t="shared" si="12"/>
        <v>100</v>
      </c>
      <c r="T29" s="1480" t="s">
        <v>8</v>
      </c>
      <c r="U29" s="1481">
        <f t="shared" si="13"/>
        <v>100</v>
      </c>
      <c r="V29" s="1480" t="s">
        <v>8</v>
      </c>
      <c r="W29" s="1481">
        <f t="shared" si="14"/>
        <v>100</v>
      </c>
      <c r="X29" s="1474"/>
      <c r="Y29" s="3676"/>
      <c r="Z29" s="1482" t="str">
        <f t="shared" si="15"/>
        <v>成新率</v>
      </c>
      <c r="AA29" s="1483">
        <f t="shared" si="3"/>
        <v>1</v>
      </c>
      <c r="AB29" s="1483">
        <f t="shared" si="4"/>
        <v>1</v>
      </c>
      <c r="AC29" s="1483">
        <f t="shared" si="5"/>
        <v>1</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76"/>
      <c r="Q30" s="1479" t="str">
        <f t="shared" si="11"/>
        <v>物业等级</v>
      </c>
      <c r="R30" s="1480" t="s">
        <v>8</v>
      </c>
      <c r="S30" s="1481">
        <f t="shared" si="12"/>
        <v>100</v>
      </c>
      <c r="T30" s="1480" t="s">
        <v>8</v>
      </c>
      <c r="U30" s="1481">
        <f t="shared" si="13"/>
        <v>100</v>
      </c>
      <c r="V30" s="1480" t="s">
        <v>8</v>
      </c>
      <c r="W30" s="1481">
        <f t="shared" si="14"/>
        <v>100</v>
      </c>
      <c r="X30" s="1474"/>
      <c r="Y30" s="3676"/>
      <c r="Z30" s="1482" t="str">
        <f t="shared" si="15"/>
        <v>物业等级</v>
      </c>
      <c r="AA30" s="1483">
        <f t="shared" si="3"/>
        <v>1</v>
      </c>
      <c r="AB30" s="1483">
        <f t="shared" si="4"/>
        <v>1</v>
      </c>
      <c r="AC30" s="1483">
        <f t="shared" si="5"/>
        <v>1</v>
      </c>
    </row>
    <row r="31" spans="1:29" s="1184" customFormat="1" ht="15">
      <c r="A31" s="903"/>
      <c r="B31" s="558" t="s">
        <v>794</v>
      </c>
      <c r="C31" s="850">
        <v>31</v>
      </c>
      <c r="D31" s="252">
        <v>100</v>
      </c>
      <c r="E31" s="850">
        <v>37</v>
      </c>
      <c r="F31" s="551">
        <f>LOOKUP(E31,91:91,92:92)-LOOKUP(C31,91:91,92:92)+100</f>
        <v>100</v>
      </c>
      <c r="G31" s="850">
        <v>32</v>
      </c>
      <c r="H31" s="516">
        <f>LOOKUP(G31,91:91,92:92)-LOOKUP(C31,91:91,92:92)+100</f>
        <v>100</v>
      </c>
      <c r="I31" s="850">
        <v>33</v>
      </c>
      <c r="J31" s="516">
        <f>LOOKUP(I31,91:91,92:92)-LOOKUP(C31,91:91,92:92)+100</f>
        <v>100</v>
      </c>
      <c r="K31" s="560"/>
      <c r="L31" s="1986"/>
      <c r="M31" s="1987"/>
      <c r="N31" s="1987"/>
      <c r="O31" s="1988"/>
      <c r="P31" s="3676"/>
      <c r="Q31" s="1115" t="str">
        <f t="shared" si="11"/>
        <v>停车位面积</v>
      </c>
      <c r="R31" s="1475" t="s">
        <v>8</v>
      </c>
      <c r="S31" s="1476">
        <f t="shared" si="12"/>
        <v>100</v>
      </c>
      <c r="T31" s="1475" t="s">
        <v>8</v>
      </c>
      <c r="U31" s="1476">
        <f t="shared" si="13"/>
        <v>100</v>
      </c>
      <c r="V31" s="1475" t="s">
        <v>8</v>
      </c>
      <c r="W31" s="1476">
        <f t="shared" si="14"/>
        <v>100</v>
      </c>
      <c r="X31" s="1477"/>
      <c r="Y31" s="3676"/>
      <c r="Z31" s="1114" t="str">
        <f t="shared" si="15"/>
        <v>停车位面积</v>
      </c>
      <c r="AA31" s="1478">
        <f t="shared" si="3"/>
        <v>1</v>
      </c>
      <c r="AB31" s="1478">
        <f t="shared" si="4"/>
        <v>1</v>
      </c>
      <c r="AC31" s="1478">
        <f t="shared" si="5"/>
        <v>1</v>
      </c>
    </row>
    <row r="32" spans="1:29" ht="15">
      <c r="A32" s="901"/>
      <c r="B32" s="558" t="s">
        <v>795</v>
      </c>
      <c r="C32" s="550" t="s">
        <v>3169</v>
      </c>
      <c r="D32" s="516">
        <v>100</v>
      </c>
      <c r="E32" s="550" t="s">
        <v>3169</v>
      </c>
      <c r="F32" s="551">
        <f>SUMIF(93:93,E32,94:94)-SUMIF(93:93,C32,94:94)+100</f>
        <v>100</v>
      </c>
      <c r="G32" s="550" t="s">
        <v>3169</v>
      </c>
      <c r="H32" s="516">
        <f>SUMIF(93:93,G32,94:94)-SUMIF(93:93,C32,94:94)+100</f>
        <v>100</v>
      </c>
      <c r="I32" s="550" t="s">
        <v>3169</v>
      </c>
      <c r="J32" s="516">
        <f>SUMIF(93:93,I32,94:94)-SUMIF(93:93,C32,94:94)+100</f>
        <v>100</v>
      </c>
      <c r="K32" s="560"/>
      <c r="L32" s="1993"/>
      <c r="M32" s="1985"/>
      <c r="N32" s="1985"/>
      <c r="O32" s="1992"/>
      <c r="P32" s="3676" t="s">
        <v>533</v>
      </c>
      <c r="Q32" s="1479" t="str">
        <f t="shared" si="11"/>
        <v>车位类型</v>
      </c>
      <c r="R32" s="1480" t="s">
        <v>8</v>
      </c>
      <c r="S32" s="1481">
        <f t="shared" si="12"/>
        <v>100</v>
      </c>
      <c r="T32" s="1480" t="s">
        <v>8</v>
      </c>
      <c r="U32" s="1481">
        <f t="shared" si="13"/>
        <v>100</v>
      </c>
      <c r="V32" s="1480" t="s">
        <v>8</v>
      </c>
      <c r="W32" s="1481">
        <f t="shared" si="14"/>
        <v>100</v>
      </c>
      <c r="X32" s="1474"/>
      <c r="Y32" s="3676" t="s">
        <v>533</v>
      </c>
      <c r="Z32" s="1482" t="str">
        <f t="shared" si="15"/>
        <v>车位类型</v>
      </c>
      <c r="AA32" s="1483">
        <f t="shared" si="3"/>
        <v>1</v>
      </c>
      <c r="AB32" s="1483">
        <f t="shared" si="4"/>
        <v>1</v>
      </c>
      <c r="AC32" s="1483">
        <f t="shared" si="5"/>
        <v>1</v>
      </c>
    </row>
    <row r="33" spans="1:29" ht="15">
      <c r="A33" s="901"/>
      <c r="B33" s="558" t="s">
        <v>796</v>
      </c>
      <c r="C33" s="550" t="s">
        <v>3167</v>
      </c>
      <c r="D33" s="516">
        <v>100</v>
      </c>
      <c r="E33" s="550" t="s">
        <v>3167</v>
      </c>
      <c r="F33" s="551">
        <f>SUMIF(95:95,E33,96:96)-SUMIF(95:95,C33,96:96)+100</f>
        <v>100</v>
      </c>
      <c r="G33" s="550" t="s">
        <v>3167</v>
      </c>
      <c r="H33" s="516">
        <f>SUMIF(95:95,G33,96:96)-SUMIF(95:95,C33,96:96)+100</f>
        <v>100</v>
      </c>
      <c r="I33" s="550" t="s">
        <v>3167</v>
      </c>
      <c r="J33" s="516">
        <f>SUMIF(95:95,I33,96:96)-SUMIF(95:95,C33,96:96)+100</f>
        <v>100</v>
      </c>
      <c r="K33" s="560"/>
      <c r="L33" s="1993"/>
      <c r="M33" s="1985"/>
      <c r="N33" s="1985"/>
      <c r="O33" s="1992"/>
      <c r="P33" s="3676"/>
      <c r="Q33" s="1479" t="str">
        <f t="shared" si="11"/>
        <v>是否直接入户</v>
      </c>
      <c r="R33" s="1480" t="s">
        <v>8</v>
      </c>
      <c r="S33" s="1481">
        <f t="shared" si="12"/>
        <v>100</v>
      </c>
      <c r="T33" s="1480" t="s">
        <v>8</v>
      </c>
      <c r="U33" s="1481">
        <f t="shared" si="13"/>
        <v>100</v>
      </c>
      <c r="V33" s="1480" t="s">
        <v>8</v>
      </c>
      <c r="W33" s="1481">
        <f t="shared" si="14"/>
        <v>100</v>
      </c>
      <c r="X33" s="1474"/>
      <c r="Y33" s="3676"/>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76"/>
      <c r="Q34" s="1479">
        <f t="shared" si="11"/>
        <v>111</v>
      </c>
      <c r="R34" s="1480" t="s">
        <v>8</v>
      </c>
      <c r="S34" s="1481">
        <f t="shared" si="12"/>
        <v>100</v>
      </c>
      <c r="T34" s="1480" t="s">
        <v>8</v>
      </c>
      <c r="U34" s="1481">
        <f t="shared" si="13"/>
        <v>100</v>
      </c>
      <c r="V34" s="1480" t="s">
        <v>8</v>
      </c>
      <c r="W34" s="1481">
        <f t="shared" si="14"/>
        <v>100</v>
      </c>
      <c r="X34" s="1474"/>
      <c r="Y34" s="3676"/>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2017"/>
      <c r="M35" s="2021"/>
      <c r="N35" s="2021"/>
      <c r="O35" s="1994"/>
      <c r="P35" s="3676"/>
      <c r="Q35" s="1508">
        <f t="shared" si="11"/>
        <v>111</v>
      </c>
      <c r="R35" s="1484" t="s">
        <v>8</v>
      </c>
      <c r="S35" s="1485">
        <f t="shared" si="12"/>
        <v>100</v>
      </c>
      <c r="T35" s="1484" t="s">
        <v>8</v>
      </c>
      <c r="U35" s="1485">
        <f t="shared" si="13"/>
        <v>100</v>
      </c>
      <c r="V35" s="1484" t="s">
        <v>8</v>
      </c>
      <c r="W35" s="1485">
        <f t="shared" si="14"/>
        <v>100</v>
      </c>
      <c r="X35" s="1486"/>
      <c r="Y35" s="3676"/>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2014"/>
      <c r="M36" s="1985"/>
      <c r="N36" s="1985"/>
      <c r="O36" s="1992"/>
      <c r="P36" s="3676"/>
      <c r="Q36" s="1479">
        <f t="shared" si="11"/>
        <v>111</v>
      </c>
      <c r="R36" s="1480" t="s">
        <v>8</v>
      </c>
      <c r="S36" s="1481">
        <f t="shared" si="12"/>
        <v>100</v>
      </c>
      <c r="T36" s="1480" t="s">
        <v>8</v>
      </c>
      <c r="U36" s="1481">
        <f t="shared" si="13"/>
        <v>100</v>
      </c>
      <c r="V36" s="1480" t="s">
        <v>8</v>
      </c>
      <c r="W36" s="1481">
        <f t="shared" si="14"/>
        <v>100</v>
      </c>
      <c r="X36" s="1474"/>
      <c r="Y36" s="3676"/>
      <c r="Z36" s="1482">
        <f t="shared" si="15"/>
        <v>111</v>
      </c>
      <c r="AA36" s="1483">
        <f t="shared" si="3"/>
        <v>1</v>
      </c>
      <c r="AB36" s="1483">
        <f t="shared" si="4"/>
        <v>1</v>
      </c>
      <c r="AC36" s="1483">
        <f t="shared" si="5"/>
        <v>1</v>
      </c>
    </row>
    <row r="37" spans="1:29" ht="15">
      <c r="A37" s="1730" t="s">
        <v>2051</v>
      </c>
      <c r="B37" s="1731" t="s">
        <v>2052</v>
      </c>
      <c r="C37" s="2407" t="s">
        <v>1</v>
      </c>
      <c r="D37" s="2408"/>
      <c r="E37" s="2409">
        <v>6409</v>
      </c>
      <c r="F37" s="2410"/>
      <c r="G37" s="2411">
        <v>5008</v>
      </c>
      <c r="H37" s="2412"/>
      <c r="I37" s="2409">
        <v>5713</v>
      </c>
      <c r="J37" s="2412"/>
      <c r="K37" s="1513"/>
      <c r="L37" s="3771">
        <f>C38*C31</f>
        <v>179149</v>
      </c>
      <c r="M37" s="1996"/>
      <c r="N37" s="1985"/>
      <c r="O37" s="1996"/>
      <c r="P37" s="3638" t="str">
        <f>A37</f>
        <v>成交单价</v>
      </c>
      <c r="Q37" s="3638"/>
      <c r="R37" s="3755">
        <f>E37</f>
        <v>6409</v>
      </c>
      <c r="S37" s="3755"/>
      <c r="T37" s="3755">
        <f>G37</f>
        <v>5008</v>
      </c>
      <c r="U37" s="3755"/>
      <c r="V37" s="3755">
        <f>I37</f>
        <v>5713</v>
      </c>
      <c r="W37" s="3755"/>
      <c r="X37" s="1469"/>
      <c r="Y37" s="1488"/>
      <c r="Z37" s="1469"/>
      <c r="AA37" s="1469"/>
      <c r="AB37" s="1469"/>
      <c r="AC37" s="1469"/>
    </row>
    <row r="38" spans="1:29" ht="15.75" thickBot="1">
      <c r="A38" s="591" t="s">
        <v>2659</v>
      </c>
      <c r="B38" s="858"/>
      <c r="C38" s="2413">
        <f>R39</f>
        <v>5779</v>
      </c>
      <c r="D38" s="2946" t="s">
        <v>2886</v>
      </c>
      <c r="E38" s="2414">
        <f>R38</f>
        <v>6409</v>
      </c>
      <c r="F38" s="2947"/>
      <c r="G38" s="2413">
        <f>T38</f>
        <v>5215</v>
      </c>
      <c r="H38" s="2947"/>
      <c r="I38" s="2414">
        <f>V38</f>
        <v>5713</v>
      </c>
      <c r="J38" s="2947"/>
      <c r="K38" s="2955">
        <f>F38+H38+J38</f>
        <v>0</v>
      </c>
      <c r="L38" s="1995"/>
      <c r="M38" s="1996"/>
      <c r="N38" s="1996"/>
      <c r="O38" s="1996"/>
      <c r="P38" s="3638" t="str">
        <f>A38</f>
        <v>比较价格（元/平方米）</v>
      </c>
      <c r="Q38" s="3638"/>
      <c r="R38" s="3755">
        <f>IF(F1="售价",ROUND(PRODUCT(R37,AA7:AA36),0),ROUND(PRODUCT(R37,AA7:AA36),1))</f>
        <v>6409</v>
      </c>
      <c r="S38" s="3755"/>
      <c r="T38" s="3755">
        <f>IF(F1="售价",ROUND(PRODUCT(T37,AB7:AB36),0),ROUND(PRODUCT(T37,AB7:AB36),1))</f>
        <v>5215</v>
      </c>
      <c r="U38" s="3755"/>
      <c r="V38" s="3755">
        <f>IF(F1="售价",ROUND(PRODUCT(V37,AC7:AC36),0),ROUND(PRODUCT(V37,AC7:AC36),1))</f>
        <v>5713</v>
      </c>
      <c r="W38" s="3755"/>
      <c r="X38" s="1469"/>
      <c r="Y38" s="1469"/>
      <c r="Z38" s="1469"/>
      <c r="AA38" s="1469"/>
      <c r="AB38" s="1469"/>
      <c r="AC38" s="1469"/>
    </row>
    <row r="39" spans="1:29" ht="15.75" thickBot="1">
      <c r="A39" s="595" t="s">
        <v>2819</v>
      </c>
      <c r="B39" s="596"/>
      <c r="C39" s="2415">
        <f>R39</f>
        <v>5779</v>
      </c>
      <c r="D39" s="2415"/>
      <c r="E39" s="2415"/>
      <c r="F39" s="2415"/>
      <c r="G39" s="2415"/>
      <c r="H39" s="2415"/>
      <c r="I39" s="2415"/>
      <c r="J39" s="2415"/>
      <c r="K39" s="1514"/>
      <c r="L39" s="1995"/>
      <c r="M39" s="1996"/>
      <c r="N39" s="1996"/>
      <c r="O39" s="1996"/>
      <c r="P39" s="3635" t="str">
        <f>A39</f>
        <v>估价对象XX用房的比较价格（楼面单价，元/平方米）</v>
      </c>
      <c r="Q39" s="3636"/>
      <c r="R39" s="3754">
        <f>IF(F1="售价",ROUND(IF(D38="简单平均",AVERAGE(R38:W38),R38*F38+T38*H38+V38*J38),0),ROUND(IF(D38="简单平均",AVERAGE(R38:V38),R38*F38+T38*H38+V38*J38),1))</f>
        <v>5779</v>
      </c>
      <c r="S39" s="3754"/>
      <c r="T39" s="3754"/>
      <c r="U39" s="3754"/>
      <c r="V39" s="3754"/>
      <c r="W39" s="3754"/>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0</v>
      </c>
      <c r="F42" s="601" t="str">
        <f>IF(OR(E42&gt;=0.3,E42&lt;=-0.3),"超过30%","")</f>
        <v/>
      </c>
      <c r="G42" s="600">
        <f>IF(G37&lt;G38,G38/G37-1,G37/G38-1)</f>
        <v>4.1333865814696447E-2</v>
      </c>
      <c r="H42" s="601" t="str">
        <f>IF(OR(G42&gt;=0.3,G42&lt;=-0.3),"超过30%","")</f>
        <v/>
      </c>
      <c r="I42" s="600">
        <f>IF(I37&lt;I38,I38/I37-1,I37/I38-1)</f>
        <v>0</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0.22895493767976993</v>
      </c>
      <c r="F43" s="601" t="str">
        <f>IF(OR(E43&gt;=0.2,E43&lt;=-0.2),"超过20%","")</f>
        <v>超过20%</v>
      </c>
      <c r="G43" s="600">
        <f>IF(G38&lt;I38,I38/G38-1,G38/I38-1)</f>
        <v>9.5493767976989385E-2</v>
      </c>
      <c r="H43" s="601" t="str">
        <f>IF(OR(G43&gt;=0.2,G43&lt;=-0.2),"超过20%","")</f>
        <v/>
      </c>
      <c r="I43" s="600">
        <f>IF(I38&lt;E38,E38/I38-1,I38/E38-1)</f>
        <v>0.12182741116751261</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0.27975239616613412</v>
      </c>
      <c r="F44" s="601" t="str">
        <f>IF(OR(E44&gt;=0.3,E44&lt;=-0.3),"超过30%","")</f>
        <v/>
      </c>
      <c r="G44" s="600">
        <f>IF(G37&lt;I37,I37/G37-1,G37/I37-1)</f>
        <v>0.14077476038338665</v>
      </c>
      <c r="H44" s="601" t="str">
        <f>IF(OR(G44&gt;=0.3,G44&lt;=-0.3),"超过30%","")</f>
        <v/>
      </c>
      <c r="I44" s="600">
        <f>IF(I37&lt;E37,E37/I37-1,I37/E37-1)</f>
        <v>0.12182741116751261</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c r="G49" s="624"/>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97</v>
      </c>
      <c r="E64" s="653">
        <f>D64-$K14</f>
        <v>94</v>
      </c>
      <c r="F64" s="653">
        <f>E64-$K14</f>
        <v>91</v>
      </c>
      <c r="G64" s="653">
        <f>F64-$K14</f>
        <v>88</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97</v>
      </c>
      <c r="E66" s="653">
        <f>D66-$K16</f>
        <v>94</v>
      </c>
      <c r="F66" s="653">
        <f>E66-$K16</f>
        <v>91</v>
      </c>
      <c r="G66" s="653">
        <f>F66-$K16</f>
        <v>88</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3166</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3170</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3168</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42450.9平方米。根据《建设工程规划许可证》[]、《出让合同》[]，估价对象规划建筑面积为173860.48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2022年1月19日（评估专业人员勘察现场之日）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根据《国有土地使用证》[]，估价对象（分摊）出让国有建设用地使用权面积为42450.9平方米。根据《建设工程规划许可证》[]、《出让合同》[]，估价对象规划建筑面积为173860.48平方米。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44" t="s">
        <v>781</v>
      </c>
      <c r="D4" s="3645"/>
      <c r="E4" s="3679" t="s">
        <v>782</v>
      </c>
      <c r="F4" s="3680"/>
      <c r="G4" s="3644" t="s">
        <v>783</v>
      </c>
      <c r="H4" s="3645"/>
      <c r="I4" s="3644" t="s">
        <v>784</v>
      </c>
      <c r="J4" s="3645"/>
      <c r="K4" s="490" t="s">
        <v>785</v>
      </c>
      <c r="L4" s="1984"/>
      <c r="M4" s="1985"/>
      <c r="N4" s="1985"/>
      <c r="O4" s="1985"/>
      <c r="P4" s="3646" t="s">
        <v>786</v>
      </c>
      <c r="Q4" s="3647"/>
      <c r="R4" s="3652" t="s">
        <v>782</v>
      </c>
      <c r="S4" s="3653"/>
      <c r="T4" s="3652" t="s">
        <v>783</v>
      </c>
      <c r="U4" s="3653"/>
      <c r="V4" s="3639" t="s">
        <v>784</v>
      </c>
      <c r="W4" s="3639"/>
      <c r="X4" s="1474"/>
      <c r="Y4" s="3652" t="s">
        <v>786</v>
      </c>
      <c r="Z4" s="3653"/>
      <c r="AA4" s="3641" t="s">
        <v>782</v>
      </c>
      <c r="AB4" s="3642" t="s">
        <v>783</v>
      </c>
      <c r="AC4" s="3641" t="s">
        <v>784</v>
      </c>
    </row>
    <row r="5" spans="1:29" ht="15">
      <c r="A5" s="491"/>
      <c r="B5" s="492"/>
      <c r="C5" s="3660" t="s">
        <v>2813</v>
      </c>
      <c r="D5" s="3661"/>
      <c r="E5" s="3681" t="s">
        <v>2814</v>
      </c>
      <c r="F5" s="3682"/>
      <c r="G5" s="3660" t="s">
        <v>2815</v>
      </c>
      <c r="H5" s="3661"/>
      <c r="I5" s="3660" t="s">
        <v>2816</v>
      </c>
      <c r="J5" s="3661"/>
      <c r="K5" s="490"/>
      <c r="L5" s="1984"/>
      <c r="M5" s="1985"/>
      <c r="N5" s="1985"/>
      <c r="O5" s="1985"/>
      <c r="P5" s="3648"/>
      <c r="Q5" s="3649"/>
      <c r="R5" s="3654"/>
      <c r="S5" s="3655"/>
      <c r="T5" s="3654"/>
      <c r="U5" s="3655"/>
      <c r="V5" s="3639"/>
      <c r="W5" s="3639"/>
      <c r="X5" s="1474"/>
      <c r="Y5" s="3654"/>
      <c r="Z5" s="3655"/>
      <c r="AA5" s="3642"/>
      <c r="AB5" s="3642"/>
      <c r="AC5" s="3642"/>
    </row>
    <row r="6" spans="1:29" ht="15.75" thickBot="1">
      <c r="A6" s="493"/>
      <c r="B6" s="494"/>
      <c r="C6" s="3658" t="s">
        <v>2817</v>
      </c>
      <c r="D6" s="3659"/>
      <c r="E6" s="3677" t="s">
        <v>2817</v>
      </c>
      <c r="F6" s="3678"/>
      <c r="G6" s="3658" t="s">
        <v>2817</v>
      </c>
      <c r="H6" s="3659"/>
      <c r="I6" s="3658" t="s">
        <v>2817</v>
      </c>
      <c r="J6" s="3659"/>
      <c r="K6" s="490" t="s">
        <v>511</v>
      </c>
      <c r="L6" s="1984"/>
      <c r="M6" s="1985"/>
      <c r="N6" s="1985"/>
      <c r="O6" s="1985"/>
      <c r="P6" s="3650"/>
      <c r="Q6" s="3651"/>
      <c r="R6" s="3654"/>
      <c r="S6" s="3655"/>
      <c r="T6" s="3656"/>
      <c r="U6" s="3657"/>
      <c r="V6" s="3639"/>
      <c r="W6" s="3639"/>
      <c r="X6" s="1474"/>
      <c r="Y6" s="3656"/>
      <c r="Z6" s="3657"/>
      <c r="AA6" s="3643"/>
      <c r="AB6" s="3643"/>
      <c r="AC6" s="3643"/>
    </row>
    <row r="7" spans="1:29" s="1184" customFormat="1" ht="15.75" thickBot="1">
      <c r="A7" s="2566"/>
      <c r="B7" s="2573" t="s">
        <v>512</v>
      </c>
      <c r="C7" s="495">
        <f>'数据-取费表'!B2</f>
        <v>44580</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70" t="s">
        <v>513</v>
      </c>
      <c r="Q7" s="3672"/>
      <c r="R7" s="1475" t="s">
        <v>8</v>
      </c>
      <c r="S7" s="1476">
        <f t="shared" ref="S7:S14" si="0">F7</f>
        <v>0</v>
      </c>
      <c r="T7" s="1475" t="s">
        <v>8</v>
      </c>
      <c r="U7" s="1476">
        <f t="shared" ref="U7:U14" si="1">H7</f>
        <v>0</v>
      </c>
      <c r="V7" s="1475" t="s">
        <v>8</v>
      </c>
      <c r="W7" s="1476">
        <f t="shared" ref="W7:W14" si="2">J7</f>
        <v>0</v>
      </c>
      <c r="X7" s="1477"/>
      <c r="Y7" s="3670" t="s">
        <v>513</v>
      </c>
      <c r="Z7" s="3671"/>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70" t="s">
        <v>516</v>
      </c>
      <c r="Q8" s="3671"/>
      <c r="R8" s="1475" t="s">
        <v>8</v>
      </c>
      <c r="S8" s="1476">
        <f t="shared" si="0"/>
        <v>0</v>
      </c>
      <c r="T8" s="1475" t="s">
        <v>8</v>
      </c>
      <c r="U8" s="1476">
        <f t="shared" si="1"/>
        <v>0</v>
      </c>
      <c r="V8" s="1475" t="s">
        <v>8</v>
      </c>
      <c r="W8" s="1476">
        <f t="shared" si="2"/>
        <v>0</v>
      </c>
      <c r="X8" s="1477"/>
      <c r="Y8" s="3670" t="s">
        <v>516</v>
      </c>
      <c r="Z8" s="3671"/>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38" t="s">
        <v>518</v>
      </c>
      <c r="Q9" s="1115" t="str">
        <f t="shared" ref="Q9:Q14" si="6">B9</f>
        <v>用途</v>
      </c>
      <c r="R9" s="1475" t="s">
        <v>8</v>
      </c>
      <c r="S9" s="1476">
        <f t="shared" si="0"/>
        <v>100</v>
      </c>
      <c r="T9" s="1475" t="s">
        <v>8</v>
      </c>
      <c r="U9" s="1476">
        <f t="shared" si="1"/>
        <v>100</v>
      </c>
      <c r="V9" s="1475" t="s">
        <v>8</v>
      </c>
      <c r="W9" s="1476">
        <f t="shared" si="2"/>
        <v>100</v>
      </c>
      <c r="X9" s="1477"/>
      <c r="Y9" s="3580"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38"/>
      <c r="Q10" s="1115" t="str">
        <f t="shared" si="6"/>
        <v>土地使用年限（年）</v>
      </c>
      <c r="R10" s="1475" t="s">
        <v>8</v>
      </c>
      <c r="S10" s="1476">
        <f t="shared" si="0"/>
        <v>100</v>
      </c>
      <c r="T10" s="1475" t="s">
        <v>8</v>
      </c>
      <c r="U10" s="1476">
        <f t="shared" si="1"/>
        <v>100</v>
      </c>
      <c r="V10" s="1475" t="s">
        <v>8</v>
      </c>
      <c r="W10" s="1476">
        <f t="shared" si="2"/>
        <v>100</v>
      </c>
      <c r="X10" s="1477"/>
      <c r="Y10" s="3580"/>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38"/>
      <c r="Q11" s="1115">
        <f t="shared" si="6"/>
        <v>111</v>
      </c>
      <c r="R11" s="1475" t="s">
        <v>8</v>
      </c>
      <c r="S11" s="1476">
        <f t="shared" si="0"/>
        <v>100</v>
      </c>
      <c r="T11" s="1475" t="s">
        <v>8</v>
      </c>
      <c r="U11" s="1476">
        <f t="shared" si="1"/>
        <v>100</v>
      </c>
      <c r="V11" s="1475" t="s">
        <v>8</v>
      </c>
      <c r="W11" s="1476">
        <f t="shared" si="2"/>
        <v>100</v>
      </c>
      <c r="X11" s="1477"/>
      <c r="Y11" s="3580"/>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38"/>
      <c r="Q12" s="1115">
        <f t="shared" si="6"/>
        <v>111</v>
      </c>
      <c r="R12" s="1475" t="s">
        <v>8</v>
      </c>
      <c r="S12" s="1476">
        <f t="shared" si="0"/>
        <v>100</v>
      </c>
      <c r="T12" s="1475" t="s">
        <v>8</v>
      </c>
      <c r="U12" s="1476">
        <f t="shared" si="1"/>
        <v>100</v>
      </c>
      <c r="V12" s="1475" t="s">
        <v>8</v>
      </c>
      <c r="W12" s="1476">
        <f t="shared" si="2"/>
        <v>100</v>
      </c>
      <c r="X12" s="1477"/>
      <c r="Y12" s="3580"/>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38"/>
      <c r="Q13" s="1115">
        <f t="shared" si="6"/>
        <v>111</v>
      </c>
      <c r="R13" s="1475" t="s">
        <v>8</v>
      </c>
      <c r="S13" s="1476">
        <f t="shared" si="0"/>
        <v>100</v>
      </c>
      <c r="T13" s="1475" t="s">
        <v>8</v>
      </c>
      <c r="U13" s="1476">
        <f t="shared" si="1"/>
        <v>100</v>
      </c>
      <c r="V13" s="1475" t="s">
        <v>8</v>
      </c>
      <c r="W13" s="1476">
        <f t="shared" si="2"/>
        <v>100</v>
      </c>
      <c r="X13" s="1477"/>
      <c r="Y13" s="3580"/>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73" t="s">
        <v>523</v>
      </c>
      <c r="Q14" s="1479" t="str">
        <f t="shared" si="6"/>
        <v>交通便捷度</v>
      </c>
      <c r="R14" s="1480" t="s">
        <v>8</v>
      </c>
      <c r="S14" s="1481">
        <f t="shared" si="0"/>
        <v>100</v>
      </c>
      <c r="T14" s="1480" t="s">
        <v>8</v>
      </c>
      <c r="U14" s="1481">
        <f t="shared" si="1"/>
        <v>100</v>
      </c>
      <c r="V14" s="1480" t="s">
        <v>8</v>
      </c>
      <c r="W14" s="1481">
        <f t="shared" si="2"/>
        <v>100</v>
      </c>
      <c r="X14" s="1474"/>
      <c r="Y14" s="3673"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74"/>
      <c r="Q15" s="1479"/>
      <c r="R15" s="1480"/>
      <c r="S15" s="1481"/>
      <c r="T15" s="1480"/>
      <c r="U15" s="1481"/>
      <c r="V15" s="1480"/>
      <c r="W15" s="1481"/>
      <c r="X15" s="1474"/>
      <c r="Y15" s="3674"/>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74"/>
      <c r="Q16" s="1479" t="str">
        <f>B16</f>
        <v>公共配套设施</v>
      </c>
      <c r="R16" s="1480" t="s">
        <v>8</v>
      </c>
      <c r="S16" s="1481">
        <f>F16</f>
        <v>100</v>
      </c>
      <c r="T16" s="1480" t="s">
        <v>8</v>
      </c>
      <c r="U16" s="1481">
        <f>H16</f>
        <v>100</v>
      </c>
      <c r="V16" s="1480" t="s">
        <v>8</v>
      </c>
      <c r="W16" s="1481">
        <f>J16</f>
        <v>100</v>
      </c>
      <c r="X16" s="1474"/>
      <c r="Y16" s="3674"/>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74"/>
      <c r="Q17" s="1479"/>
      <c r="R17" s="1480"/>
      <c r="S17" s="1481"/>
      <c r="T17" s="1480"/>
      <c r="U17" s="1481"/>
      <c r="V17" s="1480"/>
      <c r="W17" s="1481"/>
      <c r="X17" s="1474"/>
      <c r="Y17" s="3674"/>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74"/>
      <c r="Q18" s="2366" t="str">
        <f>B18</f>
        <v>基础设施水平</v>
      </c>
      <c r="R18" s="1480" t="s">
        <v>8</v>
      </c>
      <c r="S18" s="1481">
        <f>F18</f>
        <v>100</v>
      </c>
      <c r="T18" s="1480" t="s">
        <v>8</v>
      </c>
      <c r="U18" s="1481">
        <f>H18</f>
        <v>100</v>
      </c>
      <c r="V18" s="1480" t="s">
        <v>8</v>
      </c>
      <c r="W18" s="1481">
        <f>J18</f>
        <v>100</v>
      </c>
      <c r="X18" s="2368"/>
      <c r="Y18" s="3674"/>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74"/>
      <c r="Q19" s="2366"/>
      <c r="R19" s="1480"/>
      <c r="S19" s="1481"/>
      <c r="T19" s="1480"/>
      <c r="U19" s="1481"/>
      <c r="V19" s="1480"/>
      <c r="W19" s="1481"/>
      <c r="X19" s="2368"/>
      <c r="Y19" s="3674"/>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74"/>
      <c r="Q20" s="1479" t="str">
        <f>B20</f>
        <v>自然及人文环境</v>
      </c>
      <c r="R20" s="1480" t="s">
        <v>8</v>
      </c>
      <c r="S20" s="1481">
        <f>F20</f>
        <v>100</v>
      </c>
      <c r="T20" s="1480" t="s">
        <v>8</v>
      </c>
      <c r="U20" s="1481">
        <f>H20</f>
        <v>100</v>
      </c>
      <c r="V20" s="1480" t="s">
        <v>8</v>
      </c>
      <c r="W20" s="1481">
        <f>J20</f>
        <v>100</v>
      </c>
      <c r="X20" s="1474"/>
      <c r="Y20" s="3674"/>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74"/>
      <c r="Q21" s="1479"/>
      <c r="R21" s="1480"/>
      <c r="S21" s="1481"/>
      <c r="T21" s="1480"/>
      <c r="U21" s="1481"/>
      <c r="V21" s="1480"/>
      <c r="W21" s="1481"/>
      <c r="X21" s="1474"/>
      <c r="Y21" s="3674"/>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74"/>
      <c r="Q22" s="1479" t="str">
        <f>B22</f>
        <v>楼层</v>
      </c>
      <c r="R22" s="1480" t="s">
        <v>8</v>
      </c>
      <c r="S22" s="1481">
        <f>F22</f>
        <v>100</v>
      </c>
      <c r="T22" s="1480" t="s">
        <v>8</v>
      </c>
      <c r="U22" s="1481">
        <f>H22</f>
        <v>100</v>
      </c>
      <c r="V22" s="1480" t="s">
        <v>8</v>
      </c>
      <c r="W22" s="1481">
        <f>J22</f>
        <v>100</v>
      </c>
      <c r="X22" s="1474"/>
      <c r="Y22" s="3674"/>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74"/>
      <c r="Q23" s="1479">
        <f>B23</f>
        <v>111</v>
      </c>
      <c r="R23" s="1480" t="s">
        <v>8</v>
      </c>
      <c r="S23" s="1481">
        <f>F23</f>
        <v>100</v>
      </c>
      <c r="T23" s="1480" t="s">
        <v>8</v>
      </c>
      <c r="U23" s="1481">
        <f>H23</f>
        <v>100</v>
      </c>
      <c r="V23" s="1480" t="s">
        <v>8</v>
      </c>
      <c r="W23" s="1481">
        <f>J23</f>
        <v>100</v>
      </c>
      <c r="X23" s="1474"/>
      <c r="Y23" s="3674"/>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74"/>
      <c r="Q24" s="1479">
        <f t="shared" ref="Q24:Q34" si="11">B24</f>
        <v>111</v>
      </c>
      <c r="R24" s="1480" t="s">
        <v>8</v>
      </c>
      <c r="S24" s="1481">
        <f>F24</f>
        <v>100</v>
      </c>
      <c r="T24" s="1480" t="s">
        <v>8</v>
      </c>
      <c r="U24" s="1481">
        <f>H24</f>
        <v>100</v>
      </c>
      <c r="V24" s="1480" t="s">
        <v>8</v>
      </c>
      <c r="W24" s="1481">
        <f>J24</f>
        <v>100</v>
      </c>
      <c r="X24" s="1474"/>
      <c r="Y24" s="3674"/>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74"/>
      <c r="Q25" s="1115">
        <f t="shared" si="11"/>
        <v>111</v>
      </c>
      <c r="R25" s="1475" t="s">
        <v>8</v>
      </c>
      <c r="S25" s="1476">
        <f>F25</f>
        <v>100</v>
      </c>
      <c r="T25" s="1475" t="s">
        <v>8</v>
      </c>
      <c r="U25" s="1476">
        <f>H25</f>
        <v>100</v>
      </c>
      <c r="V25" s="1475" t="s">
        <v>8</v>
      </c>
      <c r="W25" s="1476">
        <f>J25</f>
        <v>100</v>
      </c>
      <c r="X25" s="1477"/>
      <c r="Y25" s="3674"/>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75"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76"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76"/>
      <c r="Q27" s="1508" t="str">
        <f t="shared" si="11"/>
        <v>成新率</v>
      </c>
      <c r="R27" s="1484" t="s">
        <v>8</v>
      </c>
      <c r="S27" s="1485" t="e">
        <f t="shared" si="12"/>
        <v>#N/A</v>
      </c>
      <c r="T27" s="1484" t="s">
        <v>8</v>
      </c>
      <c r="U27" s="1485" t="e">
        <f t="shared" si="13"/>
        <v>#N/A</v>
      </c>
      <c r="V27" s="1484" t="s">
        <v>8</v>
      </c>
      <c r="W27" s="1485" t="e">
        <f t="shared" si="14"/>
        <v>#N/A</v>
      </c>
      <c r="X27" s="1486"/>
      <c r="Y27" s="3676"/>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76"/>
      <c r="Q28" s="1479" t="str">
        <f t="shared" si="11"/>
        <v>物业等级</v>
      </c>
      <c r="R28" s="1480" t="s">
        <v>8</v>
      </c>
      <c r="S28" s="1481">
        <f t="shared" si="12"/>
        <v>100</v>
      </c>
      <c r="T28" s="1480" t="s">
        <v>8</v>
      </c>
      <c r="U28" s="1481">
        <f t="shared" si="13"/>
        <v>100</v>
      </c>
      <c r="V28" s="1480" t="s">
        <v>8</v>
      </c>
      <c r="W28" s="1481">
        <f t="shared" si="14"/>
        <v>100</v>
      </c>
      <c r="X28" s="1474"/>
      <c r="Y28" s="3676"/>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76"/>
      <c r="Q29" s="1479" t="str">
        <f t="shared" si="11"/>
        <v>有无电梯</v>
      </c>
      <c r="R29" s="1480" t="s">
        <v>8</v>
      </c>
      <c r="S29" s="1481">
        <f t="shared" si="12"/>
        <v>100</v>
      </c>
      <c r="T29" s="1480" t="s">
        <v>8</v>
      </c>
      <c r="U29" s="1481">
        <f t="shared" si="13"/>
        <v>100</v>
      </c>
      <c r="V29" s="1480" t="s">
        <v>8</v>
      </c>
      <c r="W29" s="1481">
        <f t="shared" si="14"/>
        <v>100</v>
      </c>
      <c r="X29" s="1474"/>
      <c r="Y29" s="3676"/>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76"/>
      <c r="Q30" s="1479" t="str">
        <f t="shared" si="11"/>
        <v>建筑面积</v>
      </c>
      <c r="R30" s="1480" t="s">
        <v>8</v>
      </c>
      <c r="S30" s="1481" t="e">
        <f t="shared" si="12"/>
        <v>#N/A</v>
      </c>
      <c r="T30" s="1480" t="s">
        <v>8</v>
      </c>
      <c r="U30" s="1481" t="e">
        <f t="shared" si="13"/>
        <v>#N/A</v>
      </c>
      <c r="V30" s="1480" t="s">
        <v>8</v>
      </c>
      <c r="W30" s="1481" t="e">
        <f t="shared" si="14"/>
        <v>#N/A</v>
      </c>
      <c r="X30" s="1474"/>
      <c r="Y30" s="3676"/>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76"/>
      <c r="Q31" s="1115" t="str">
        <f t="shared" si="11"/>
        <v>是否封闭</v>
      </c>
      <c r="R31" s="1475" t="s">
        <v>8</v>
      </c>
      <c r="S31" s="1476">
        <f t="shared" si="12"/>
        <v>100</v>
      </c>
      <c r="T31" s="1475" t="s">
        <v>8</v>
      </c>
      <c r="U31" s="1476">
        <f t="shared" si="13"/>
        <v>100</v>
      </c>
      <c r="V31" s="1475" t="s">
        <v>8</v>
      </c>
      <c r="W31" s="1476">
        <f t="shared" si="14"/>
        <v>100</v>
      </c>
      <c r="X31" s="1477"/>
      <c r="Y31" s="3676"/>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76" t="s">
        <v>533</v>
      </c>
      <c r="Q32" s="1479">
        <f t="shared" si="11"/>
        <v>111</v>
      </c>
      <c r="R32" s="1480" t="s">
        <v>8</v>
      </c>
      <c r="S32" s="1481">
        <f t="shared" si="12"/>
        <v>100</v>
      </c>
      <c r="T32" s="1480" t="s">
        <v>8</v>
      </c>
      <c r="U32" s="1481">
        <f t="shared" si="13"/>
        <v>100</v>
      </c>
      <c r="V32" s="1480" t="s">
        <v>8</v>
      </c>
      <c r="W32" s="1481">
        <f t="shared" si="14"/>
        <v>100</v>
      </c>
      <c r="X32" s="1474"/>
      <c r="Y32" s="3676"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76"/>
      <c r="Q33" s="1479">
        <f t="shared" si="11"/>
        <v>111</v>
      </c>
      <c r="R33" s="1480" t="s">
        <v>8</v>
      </c>
      <c r="S33" s="1481">
        <f t="shared" si="12"/>
        <v>100</v>
      </c>
      <c r="T33" s="1480" t="s">
        <v>8</v>
      </c>
      <c r="U33" s="1481">
        <f t="shared" si="13"/>
        <v>100</v>
      </c>
      <c r="V33" s="1480" t="s">
        <v>8</v>
      </c>
      <c r="W33" s="1481">
        <f t="shared" si="14"/>
        <v>100</v>
      </c>
      <c r="X33" s="1474"/>
      <c r="Y33" s="3676"/>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76"/>
      <c r="Q34" s="1479">
        <f t="shared" si="11"/>
        <v>111</v>
      </c>
      <c r="R34" s="1480" t="s">
        <v>8</v>
      </c>
      <c r="S34" s="1481">
        <f t="shared" si="12"/>
        <v>100</v>
      </c>
      <c r="T34" s="1480" t="s">
        <v>8</v>
      </c>
      <c r="U34" s="1481">
        <f t="shared" si="13"/>
        <v>100</v>
      </c>
      <c r="V34" s="1480" t="s">
        <v>8</v>
      </c>
      <c r="W34" s="1481">
        <f t="shared" si="14"/>
        <v>100</v>
      </c>
      <c r="X34" s="1474"/>
      <c r="Y34" s="3676"/>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38" t="str">
        <f>A35</f>
        <v>成交单价（元/平方米）</v>
      </c>
      <c r="Q35" s="3638"/>
      <c r="R35" s="3755">
        <f>E35</f>
        <v>0</v>
      </c>
      <c r="S35" s="3755"/>
      <c r="T35" s="3755">
        <f>G35</f>
        <v>0</v>
      </c>
      <c r="U35" s="3755"/>
      <c r="V35" s="3755">
        <f>I35</f>
        <v>0</v>
      </c>
      <c r="W35" s="3755"/>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38" t="str">
        <f>A36</f>
        <v>比较价格（元/平方米）</v>
      </c>
      <c r="Q36" s="3638"/>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35" t="str">
        <f>A37</f>
        <v>估价对象XX用房的比较价格（楼面单价，元/平方米）</v>
      </c>
      <c r="Q37" s="3636"/>
      <c r="R37" s="3754" t="e">
        <f>IF(F1="售价",ROUND(IF(D36="简单平均",AVERAGE(R36:W36),R36*F36+T36*H36+V36*J36),0),ROUND(IF(D36="简单平均",AVERAGE(R36:V36),R36*F36+T36*H36+V36*J36),1))</f>
        <v>#DIV/0!</v>
      </c>
      <c r="S37" s="3754"/>
      <c r="T37" s="3754"/>
      <c r="U37" s="3754"/>
      <c r="V37" s="3754"/>
      <c r="W37" s="3754"/>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64" t="s">
        <v>2276</v>
      </c>
      <c r="D1" s="3765"/>
      <c r="E1" s="3765"/>
      <c r="F1" s="3765"/>
      <c r="G1" s="3765"/>
      <c r="H1" s="3765"/>
      <c r="I1" s="3765"/>
      <c r="J1" s="3765"/>
      <c r="K1" s="3765"/>
      <c r="L1" s="3765"/>
      <c r="M1" s="3765"/>
      <c r="N1" s="3765"/>
      <c r="O1" s="3765"/>
      <c r="P1" s="3765"/>
      <c r="Q1" s="3765"/>
      <c r="R1" s="3765"/>
      <c r="S1" s="3766"/>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61" t="s">
        <v>20</v>
      </c>
      <c r="D22" s="3762"/>
      <c r="E22" s="3762"/>
      <c r="F22" s="3762"/>
      <c r="G22" s="3762"/>
      <c r="H22" s="3762"/>
      <c r="I22" s="3762"/>
      <c r="J22" s="3762"/>
      <c r="K22" s="3762"/>
      <c r="L22" s="3762"/>
      <c r="M22" s="3762"/>
      <c r="N22" s="3762"/>
      <c r="O22" s="3762"/>
      <c r="P22" s="3762"/>
      <c r="Q22" s="3763"/>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44580</v>
      </c>
      <c r="H1" s="2592">
        <f>IF(C1&gt;C13,0,MATCH(C1,C$13:C$105,-1))+IF(SUMIF(C13:C105,C1,D13:D105)=0,13,12)</f>
        <v>13</v>
      </c>
      <c r="I1" s="2592">
        <f ca="1">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3</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zoomScale="145" zoomScaleNormal="145" workbookViewId="0">
      <selection activeCell="L13" sqref="L13"/>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E39" sqref="E39"/>
    </sheetView>
  </sheetViews>
  <sheetFormatPr defaultRowHeight="13.5"/>
  <cols>
    <col min="1" max="1" width="85.25" customWidth="1"/>
    <col min="2" max="2" width="30" customWidth="1"/>
    <col min="3" max="3" width="9.75" customWidth="1"/>
    <col min="4" max="4" width="0" hidden="1" customWidth="1"/>
    <col min="5" max="5" width="13.25" customWidth="1"/>
    <col min="7" max="7" width="19.625" customWidth="1"/>
    <col min="8" max="8" width="13.25"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s>
  <sheetData>
    <row r="1" spans="1:20" ht="14.25">
      <c r="A1" s="3767" t="s">
        <v>3104</v>
      </c>
      <c r="B1" s="3767" t="s">
        <v>3105</v>
      </c>
      <c r="C1" s="3767" t="s">
        <v>3106</v>
      </c>
      <c r="D1" s="3767" t="s">
        <v>3107</v>
      </c>
      <c r="E1" s="3767" t="s">
        <v>3108</v>
      </c>
      <c r="F1" s="3767" t="s">
        <v>3109</v>
      </c>
      <c r="G1" s="3767" t="s">
        <v>2006</v>
      </c>
      <c r="H1" s="3767" t="s">
        <v>3110</v>
      </c>
      <c r="I1" s="3767" t="s">
        <v>3111</v>
      </c>
      <c r="J1" s="3767" t="s">
        <v>3112</v>
      </c>
      <c r="K1" s="3767" t="s">
        <v>3113</v>
      </c>
      <c r="L1" s="3767" t="s">
        <v>3114</v>
      </c>
      <c r="M1" s="3767" t="s">
        <v>3115</v>
      </c>
      <c r="N1" s="3767" t="s">
        <v>3116</v>
      </c>
      <c r="O1" s="3767" t="s">
        <v>3117</v>
      </c>
      <c r="P1" s="3767" t="s">
        <v>3118</v>
      </c>
      <c r="Q1" s="3767" t="s">
        <v>3119</v>
      </c>
      <c r="R1" s="3767" t="s">
        <v>3120</v>
      </c>
      <c r="S1" s="3767" t="s">
        <v>3121</v>
      </c>
      <c r="T1" s="3767" t="s">
        <v>3122</v>
      </c>
    </row>
    <row r="2" spans="1:20" ht="14.25">
      <c r="A2" s="3767" t="s">
        <v>3224</v>
      </c>
      <c r="B2" s="3767" t="s">
        <v>3225</v>
      </c>
      <c r="C2" s="3767" t="s">
        <v>1919</v>
      </c>
      <c r="D2" s="3767" t="s">
        <v>3226</v>
      </c>
      <c r="E2" s="3767">
        <v>40082.199999999997</v>
      </c>
      <c r="F2" s="3767">
        <v>60123.3</v>
      </c>
      <c r="G2" s="3767">
        <v>1.5</v>
      </c>
      <c r="H2" s="3767" t="s">
        <v>3227</v>
      </c>
      <c r="I2" s="3767" t="s">
        <v>3228</v>
      </c>
      <c r="J2" s="3767" t="s">
        <v>3229</v>
      </c>
      <c r="K2" s="3769">
        <v>44550</v>
      </c>
      <c r="L2" s="3769">
        <v>44550</v>
      </c>
      <c r="M2" s="3767" t="s">
        <v>3230</v>
      </c>
      <c r="N2" s="3767" t="s">
        <v>3231</v>
      </c>
      <c r="O2" s="3767">
        <v>81924</v>
      </c>
      <c r="P2" s="3767">
        <v>16400</v>
      </c>
      <c r="Q2" s="3767" t="s">
        <v>3232</v>
      </c>
      <c r="R2" s="3767">
        <v>81924</v>
      </c>
      <c r="S2" s="3767">
        <v>13626</v>
      </c>
      <c r="T2" s="3767">
        <v>0</v>
      </c>
    </row>
    <row r="3" spans="1:20" ht="14.25">
      <c r="A3" s="3767" t="s">
        <v>3233</v>
      </c>
      <c r="B3" s="3767" t="s">
        <v>3234</v>
      </c>
      <c r="C3" s="3767" t="s">
        <v>1919</v>
      </c>
      <c r="D3" s="3767" t="s">
        <v>3226</v>
      </c>
      <c r="E3" s="3767">
        <v>54389.09</v>
      </c>
      <c r="F3" s="3767">
        <v>123172</v>
      </c>
      <c r="G3" s="3767" t="s">
        <v>3235</v>
      </c>
      <c r="H3" s="3767" t="s">
        <v>3227</v>
      </c>
      <c r="I3" s="3767" t="s">
        <v>3236</v>
      </c>
      <c r="J3" s="3767" t="s">
        <v>3237</v>
      </c>
      <c r="K3" s="3769">
        <v>44482</v>
      </c>
      <c r="L3" s="3769">
        <v>44482</v>
      </c>
      <c r="M3" s="3767" t="s">
        <v>3230</v>
      </c>
      <c r="N3" s="3767" t="s">
        <v>3238</v>
      </c>
      <c r="O3" s="3767">
        <v>344000</v>
      </c>
      <c r="P3" s="3767">
        <v>69000</v>
      </c>
      <c r="Q3" s="3767" t="s">
        <v>3239</v>
      </c>
      <c r="R3" s="3767">
        <v>378400</v>
      </c>
      <c r="S3" s="3767">
        <v>30721</v>
      </c>
      <c r="T3" s="3767">
        <v>10</v>
      </c>
    </row>
    <row r="4" spans="1:20" ht="14.25">
      <c r="A4" s="3767" t="s">
        <v>3123</v>
      </c>
      <c r="B4" s="3767" t="s">
        <v>3124</v>
      </c>
      <c r="C4" s="3767" t="s">
        <v>1919</v>
      </c>
      <c r="D4" s="3767" t="s">
        <v>3240</v>
      </c>
      <c r="E4" s="3767">
        <v>71316.899999999994</v>
      </c>
      <c r="F4" s="3767">
        <v>178292.25</v>
      </c>
      <c r="G4" s="3767" t="s">
        <v>3241</v>
      </c>
      <c r="H4" s="3767" t="s">
        <v>3227</v>
      </c>
      <c r="I4" s="3767" t="s">
        <v>3242</v>
      </c>
      <c r="J4" s="3767" t="s">
        <v>3237</v>
      </c>
      <c r="K4" s="3769">
        <v>44481</v>
      </c>
      <c r="L4" s="3769">
        <v>44481</v>
      </c>
      <c r="M4" s="3767" t="s">
        <v>3230</v>
      </c>
      <c r="N4" s="3767" t="s">
        <v>3243</v>
      </c>
      <c r="O4" s="3767">
        <v>685000</v>
      </c>
      <c r="P4" s="3767">
        <v>137000</v>
      </c>
      <c r="Q4" s="3767" t="s">
        <v>3239</v>
      </c>
      <c r="R4" s="3767">
        <v>685000</v>
      </c>
      <c r="S4" s="3767">
        <v>38420</v>
      </c>
      <c r="T4" s="3767">
        <v>0</v>
      </c>
    </row>
    <row r="5" spans="1:20" s="3439" customFormat="1" ht="14.25">
      <c r="A5" s="3768" t="s">
        <v>3244</v>
      </c>
      <c r="B5" s="3768" t="s">
        <v>3245</v>
      </c>
      <c r="C5" s="3768" t="s">
        <v>1919</v>
      </c>
      <c r="D5" s="3768" t="s">
        <v>3226</v>
      </c>
      <c r="E5" s="3768">
        <v>94973.86</v>
      </c>
      <c r="F5" s="3768">
        <v>192900</v>
      </c>
      <c r="G5" s="3768" t="s">
        <v>3246</v>
      </c>
      <c r="H5" s="3768" t="s">
        <v>3227</v>
      </c>
      <c r="I5" s="3768" t="s">
        <v>3247</v>
      </c>
      <c r="J5" s="3768" t="s">
        <v>3248</v>
      </c>
      <c r="K5" s="3770">
        <v>44324</v>
      </c>
      <c r="L5" s="3770">
        <v>44327</v>
      </c>
      <c r="M5" s="3768" t="s">
        <v>3230</v>
      </c>
      <c r="N5" s="3768" t="s">
        <v>3249</v>
      </c>
      <c r="O5" s="3768">
        <v>595000</v>
      </c>
      <c r="P5" s="3768">
        <v>119000</v>
      </c>
      <c r="Q5" s="3768" t="s">
        <v>3250</v>
      </c>
      <c r="R5" s="3768">
        <v>625000</v>
      </c>
      <c r="S5" s="3768">
        <v>32400</v>
      </c>
      <c r="T5" s="3768">
        <v>5.04</v>
      </c>
    </row>
    <row r="6" spans="1:20" ht="14.25">
      <c r="A6" s="3767" t="s">
        <v>3251</v>
      </c>
      <c r="B6" s="3767" t="s">
        <v>3252</v>
      </c>
      <c r="C6" s="3767" t="s">
        <v>1919</v>
      </c>
      <c r="D6" s="3767" t="s">
        <v>3226</v>
      </c>
      <c r="E6" s="3767">
        <v>38598.46</v>
      </c>
      <c r="F6" s="3767">
        <v>82574</v>
      </c>
      <c r="G6" s="3767" t="s">
        <v>3253</v>
      </c>
      <c r="H6" s="3767" t="s">
        <v>3227</v>
      </c>
      <c r="I6" s="3767" t="s">
        <v>3254</v>
      </c>
      <c r="J6" s="3767" t="s">
        <v>3248</v>
      </c>
      <c r="K6" s="3769">
        <v>44324</v>
      </c>
      <c r="L6" s="3769">
        <v>44327</v>
      </c>
      <c r="M6" s="3767" t="s">
        <v>3230</v>
      </c>
      <c r="N6" s="3767" t="s">
        <v>3255</v>
      </c>
      <c r="O6" s="3767">
        <v>142000</v>
      </c>
      <c r="P6" s="3767">
        <v>29000</v>
      </c>
      <c r="Q6" s="3767" t="s">
        <v>3250</v>
      </c>
      <c r="R6" s="3767">
        <v>163000</v>
      </c>
      <c r="S6" s="3767">
        <v>19740</v>
      </c>
      <c r="T6" s="3767">
        <v>14.79</v>
      </c>
    </row>
    <row r="7" spans="1:20" ht="14.25">
      <c r="A7" s="3767" t="s">
        <v>3256</v>
      </c>
      <c r="B7" s="3767" t="s">
        <v>3257</v>
      </c>
      <c r="C7" s="3767" t="s">
        <v>1919</v>
      </c>
      <c r="D7" s="3767" t="s">
        <v>3226</v>
      </c>
      <c r="E7" s="3767">
        <v>108243.94</v>
      </c>
      <c r="F7" s="3767">
        <v>262360.75</v>
      </c>
      <c r="G7" s="3767" t="s">
        <v>3258</v>
      </c>
      <c r="H7" s="3767" t="s">
        <v>3227</v>
      </c>
      <c r="I7" s="3767" t="s">
        <v>3259</v>
      </c>
      <c r="J7" s="3767" t="s">
        <v>3248</v>
      </c>
      <c r="K7" s="3769">
        <v>44324</v>
      </c>
      <c r="L7" s="3769">
        <v>44324</v>
      </c>
      <c r="M7" s="3767" t="s">
        <v>3230</v>
      </c>
      <c r="N7" s="3767" t="s">
        <v>3260</v>
      </c>
      <c r="O7" s="3767">
        <v>452000</v>
      </c>
      <c r="P7" s="3767">
        <v>91000</v>
      </c>
      <c r="Q7" s="3767" t="s">
        <v>3250</v>
      </c>
      <c r="R7" s="3767">
        <v>452000</v>
      </c>
      <c r="S7" s="3767">
        <v>17228</v>
      </c>
      <c r="T7" s="3767">
        <v>0</v>
      </c>
    </row>
    <row r="8" spans="1:20" ht="14.25">
      <c r="A8" s="3767" t="s">
        <v>3125</v>
      </c>
      <c r="B8" s="3767" t="s">
        <v>3126</v>
      </c>
      <c r="C8" s="3767" t="s">
        <v>1919</v>
      </c>
      <c r="D8" s="3767" t="s">
        <v>3240</v>
      </c>
      <c r="E8" s="3767">
        <v>48407.51</v>
      </c>
      <c r="F8" s="3767">
        <v>96815.01</v>
      </c>
      <c r="G8" s="3767" t="s">
        <v>3246</v>
      </c>
      <c r="H8" s="3767" t="s">
        <v>3227</v>
      </c>
      <c r="I8" s="3767" t="s">
        <v>3242</v>
      </c>
      <c r="J8" s="3767" t="s">
        <v>3248</v>
      </c>
      <c r="K8" s="3769">
        <v>44324</v>
      </c>
      <c r="L8" s="3769">
        <v>44324</v>
      </c>
      <c r="M8" s="3767" t="s">
        <v>3230</v>
      </c>
      <c r="N8" s="3767" t="s">
        <v>3261</v>
      </c>
      <c r="O8" s="3767">
        <v>145800</v>
      </c>
      <c r="P8" s="3767">
        <v>30000</v>
      </c>
      <c r="Q8" s="3767" t="s">
        <v>3250</v>
      </c>
      <c r="R8" s="3767">
        <v>145800</v>
      </c>
      <c r="S8" s="3767">
        <v>15060</v>
      </c>
      <c r="T8" s="3767">
        <v>0</v>
      </c>
    </row>
    <row r="9" spans="1:20" ht="14.25">
      <c r="A9" s="3767" t="s">
        <v>3262</v>
      </c>
      <c r="B9" s="3767" t="s">
        <v>3263</v>
      </c>
      <c r="C9" s="3767" t="s">
        <v>1919</v>
      </c>
      <c r="D9" s="3767" t="s">
        <v>3226</v>
      </c>
      <c r="E9" s="3767">
        <v>41000.75</v>
      </c>
      <c r="F9" s="3767">
        <v>102502</v>
      </c>
      <c r="G9" s="3767" t="s">
        <v>3264</v>
      </c>
      <c r="H9" s="3767" t="s">
        <v>3227</v>
      </c>
      <c r="I9" s="3767" t="s">
        <v>3265</v>
      </c>
      <c r="J9" s="3767" t="s">
        <v>3229</v>
      </c>
      <c r="K9" s="3769">
        <v>44236</v>
      </c>
      <c r="L9" s="3769">
        <v>44237</v>
      </c>
      <c r="M9" s="3767" t="s">
        <v>3230</v>
      </c>
      <c r="N9" s="3767" t="s">
        <v>3266</v>
      </c>
      <c r="O9" s="3767">
        <v>146578</v>
      </c>
      <c r="P9" s="3767">
        <v>45000</v>
      </c>
      <c r="Q9" s="3767" t="s">
        <v>3232</v>
      </c>
      <c r="R9" s="3767">
        <v>146578</v>
      </c>
      <c r="S9" s="3767">
        <v>14300</v>
      </c>
      <c r="T9" s="3767">
        <v>0</v>
      </c>
    </row>
    <row r="10" spans="1:20" s="3439" customFormat="1" ht="14.25">
      <c r="A10" s="3768" t="s">
        <v>3127</v>
      </c>
      <c r="B10" s="3768" t="s">
        <v>3128</v>
      </c>
      <c r="C10" s="3768" t="s">
        <v>1919</v>
      </c>
      <c r="D10" s="3768" t="s">
        <v>3240</v>
      </c>
      <c r="E10" s="3768">
        <v>56860.73</v>
      </c>
      <c r="F10" s="3768">
        <v>133065.75</v>
      </c>
      <c r="G10" s="3768" t="s">
        <v>3267</v>
      </c>
      <c r="H10" s="3768" t="s">
        <v>3227</v>
      </c>
      <c r="I10" s="3768" t="s">
        <v>3242</v>
      </c>
      <c r="J10" s="3768" t="s">
        <v>3229</v>
      </c>
      <c r="K10" s="3770">
        <v>44222</v>
      </c>
      <c r="L10" s="3770">
        <v>44222</v>
      </c>
      <c r="M10" s="3768" t="s">
        <v>3230</v>
      </c>
      <c r="N10" s="3768" t="s">
        <v>3268</v>
      </c>
      <c r="O10" s="3768">
        <v>420000</v>
      </c>
      <c r="P10" s="3768">
        <v>85000</v>
      </c>
      <c r="Q10" s="3768" t="s">
        <v>3269</v>
      </c>
      <c r="R10" s="3768">
        <v>465700</v>
      </c>
      <c r="S10" s="3768">
        <v>34998</v>
      </c>
      <c r="T10" s="3768">
        <v>10.88</v>
      </c>
    </row>
    <row r="11" spans="1:20" ht="14.25">
      <c r="A11" s="3767" t="s">
        <v>3270</v>
      </c>
      <c r="B11" s="3767" t="s">
        <v>3271</v>
      </c>
      <c r="C11" s="3767" t="s">
        <v>1919</v>
      </c>
      <c r="D11" s="3767" t="s">
        <v>3226</v>
      </c>
      <c r="E11" s="3767">
        <v>62136.68</v>
      </c>
      <c r="F11" s="3767">
        <v>147241</v>
      </c>
      <c r="G11" s="3767" t="s">
        <v>3264</v>
      </c>
      <c r="H11" s="3767" t="s">
        <v>3227</v>
      </c>
      <c r="I11" s="3767" t="s">
        <v>3272</v>
      </c>
      <c r="J11" s="3767" t="s">
        <v>3229</v>
      </c>
      <c r="K11" s="3769">
        <v>44190</v>
      </c>
      <c r="L11" s="3769">
        <v>44190</v>
      </c>
      <c r="M11" s="3767" t="s">
        <v>3230</v>
      </c>
      <c r="N11" s="3767" t="s">
        <v>3273</v>
      </c>
      <c r="O11" s="3767">
        <v>206138</v>
      </c>
      <c r="P11" s="3767">
        <v>62000</v>
      </c>
      <c r="Q11" s="3767" t="s">
        <v>3274</v>
      </c>
      <c r="R11" s="3767">
        <v>206138</v>
      </c>
      <c r="S11" s="3767">
        <v>14000</v>
      </c>
      <c r="T11" s="3767">
        <v>0</v>
      </c>
    </row>
    <row r="12" spans="1:20" ht="14.25">
      <c r="A12" s="3767" t="s">
        <v>3275</v>
      </c>
      <c r="B12" s="3767" t="s">
        <v>3276</v>
      </c>
      <c r="C12" s="3767" t="s">
        <v>1919</v>
      </c>
      <c r="D12" s="3767" t="s">
        <v>3226</v>
      </c>
      <c r="E12" s="3767">
        <v>43870.1</v>
      </c>
      <c r="F12" s="3767">
        <v>109675.25</v>
      </c>
      <c r="G12" s="3767" t="s">
        <v>3277</v>
      </c>
      <c r="H12" s="3767" t="s">
        <v>3227</v>
      </c>
      <c r="I12" s="3767" t="s">
        <v>3265</v>
      </c>
      <c r="J12" s="3767" t="s">
        <v>3229</v>
      </c>
      <c r="K12" s="3769">
        <v>44187</v>
      </c>
      <c r="L12" s="3769">
        <v>44187</v>
      </c>
      <c r="M12" s="3767" t="s">
        <v>3230</v>
      </c>
      <c r="N12" s="3767" t="s">
        <v>3278</v>
      </c>
      <c r="O12" s="3767">
        <v>148061.57</v>
      </c>
      <c r="P12" s="3767">
        <v>45000</v>
      </c>
      <c r="Q12" s="3767" t="s">
        <v>3279</v>
      </c>
      <c r="R12" s="3767">
        <v>148061.57</v>
      </c>
      <c r="S12" s="3767">
        <v>13500</v>
      </c>
      <c r="T12" s="3767">
        <v>0</v>
      </c>
    </row>
    <row r="13" spans="1:20" ht="14.25">
      <c r="A13" s="3767" t="s">
        <v>3280</v>
      </c>
      <c r="B13" s="3767" t="s">
        <v>3281</v>
      </c>
      <c r="C13" s="3767" t="s">
        <v>1919</v>
      </c>
      <c r="D13" s="3767" t="s">
        <v>3226</v>
      </c>
      <c r="E13" s="3767">
        <v>85128.1</v>
      </c>
      <c r="F13" s="3767">
        <v>201473.8</v>
      </c>
      <c r="G13" s="3767" t="s">
        <v>3282</v>
      </c>
      <c r="H13" s="3767" t="s">
        <v>3227</v>
      </c>
      <c r="I13" s="3767" t="s">
        <v>3283</v>
      </c>
      <c r="J13" s="3767" t="s">
        <v>3229</v>
      </c>
      <c r="K13" s="3769">
        <v>44046</v>
      </c>
      <c r="L13" s="3769">
        <v>44046</v>
      </c>
      <c r="M13" s="3767" t="s">
        <v>3230</v>
      </c>
      <c r="N13" s="3767" t="s">
        <v>3284</v>
      </c>
      <c r="O13" s="3767">
        <v>640000</v>
      </c>
      <c r="P13" s="3767">
        <v>128000</v>
      </c>
      <c r="Q13" s="3767" t="s">
        <v>3285</v>
      </c>
      <c r="R13" s="3767">
        <v>790000</v>
      </c>
      <c r="S13" s="3767">
        <v>39211</v>
      </c>
      <c r="T13" s="3767">
        <v>23.44</v>
      </c>
    </row>
    <row r="14" spans="1:20" ht="14.25">
      <c r="A14" s="3767" t="s">
        <v>3286</v>
      </c>
      <c r="B14" s="3767" t="s">
        <v>3287</v>
      </c>
      <c r="C14" s="3767" t="s">
        <v>1919</v>
      </c>
      <c r="D14" s="3767" t="s">
        <v>3226</v>
      </c>
      <c r="E14" s="3767">
        <v>76997.05</v>
      </c>
      <c r="F14" s="3767">
        <v>79371.899999999994</v>
      </c>
      <c r="G14" s="3767" t="s">
        <v>3288</v>
      </c>
      <c r="H14" s="3767" t="s">
        <v>3227</v>
      </c>
      <c r="I14" s="3767" t="s">
        <v>3289</v>
      </c>
      <c r="J14" s="3767" t="s">
        <v>3229</v>
      </c>
      <c r="K14" s="3769">
        <v>43966</v>
      </c>
      <c r="L14" s="3769">
        <v>43966</v>
      </c>
      <c r="M14" s="3767" t="s">
        <v>3230</v>
      </c>
      <c r="N14" s="3767" t="s">
        <v>3290</v>
      </c>
      <c r="O14" s="3767">
        <v>98500</v>
      </c>
      <c r="P14" s="3767">
        <v>19800</v>
      </c>
      <c r="Q14" s="3767" t="s">
        <v>3291</v>
      </c>
      <c r="R14" s="3767">
        <v>130000</v>
      </c>
      <c r="S14" s="3767">
        <v>16379</v>
      </c>
      <c r="T14" s="3767">
        <v>31.98</v>
      </c>
    </row>
    <row r="15" spans="1:20" ht="14.25">
      <c r="A15" s="3767" t="s">
        <v>3129</v>
      </c>
      <c r="B15" s="3767" t="s">
        <v>3130</v>
      </c>
      <c r="C15" s="3767" t="s">
        <v>1919</v>
      </c>
      <c r="D15" s="3767" t="s">
        <v>3240</v>
      </c>
      <c r="E15" s="3767">
        <v>45081.99</v>
      </c>
      <c r="F15" s="3767">
        <v>94672</v>
      </c>
      <c r="G15" s="3767" t="s">
        <v>3292</v>
      </c>
      <c r="H15" s="3767" t="s">
        <v>3227</v>
      </c>
      <c r="I15" s="3767" t="s">
        <v>3242</v>
      </c>
      <c r="J15" s="3767" t="s">
        <v>3229</v>
      </c>
      <c r="K15" s="3769">
        <v>43950</v>
      </c>
      <c r="L15" s="3769">
        <v>43950</v>
      </c>
      <c r="M15" s="3767" t="s">
        <v>3230</v>
      </c>
      <c r="N15" s="3767" t="s">
        <v>3293</v>
      </c>
      <c r="O15" s="3767">
        <v>363000</v>
      </c>
      <c r="P15" s="3767">
        <v>72600</v>
      </c>
      <c r="Q15" s="3767" t="s">
        <v>3294</v>
      </c>
      <c r="R15" s="3767">
        <v>374000</v>
      </c>
      <c r="S15" s="3767">
        <v>39505</v>
      </c>
      <c r="T15" s="3767">
        <v>3.03</v>
      </c>
    </row>
    <row r="16" spans="1:20" ht="14.25">
      <c r="A16" s="3767" t="s">
        <v>3295</v>
      </c>
      <c r="B16" s="3767" t="s">
        <v>3296</v>
      </c>
      <c r="C16" s="3767" t="s">
        <v>1919</v>
      </c>
      <c r="D16" s="3767" t="s">
        <v>3226</v>
      </c>
      <c r="E16" s="3767">
        <v>60977.68</v>
      </c>
      <c r="F16" s="3767">
        <v>128053</v>
      </c>
      <c r="G16" s="3767" t="s">
        <v>3297</v>
      </c>
      <c r="H16" s="3767" t="s">
        <v>3227</v>
      </c>
      <c r="I16" s="3767" t="s">
        <v>3298</v>
      </c>
      <c r="J16" s="3767" t="s">
        <v>3229</v>
      </c>
      <c r="K16" s="3769">
        <v>43950</v>
      </c>
      <c r="L16" s="3769">
        <v>43950</v>
      </c>
      <c r="M16" s="3767" t="s">
        <v>3230</v>
      </c>
      <c r="N16" s="3767" t="s">
        <v>3299</v>
      </c>
      <c r="O16" s="3767">
        <v>273800</v>
      </c>
      <c r="P16" s="3767">
        <v>55000</v>
      </c>
      <c r="Q16" s="3767" t="s">
        <v>3294</v>
      </c>
      <c r="R16" s="3767">
        <v>294000</v>
      </c>
      <c r="S16" s="3767">
        <v>22959</v>
      </c>
      <c r="T16" s="3767">
        <v>7.38</v>
      </c>
    </row>
    <row r="17" spans="1:20" ht="14.25">
      <c r="A17" s="3767" t="s">
        <v>3131</v>
      </c>
      <c r="B17" s="3767" t="s">
        <v>3132</v>
      </c>
      <c r="C17" s="3767" t="s">
        <v>1919</v>
      </c>
      <c r="D17" s="3767" t="s">
        <v>3240</v>
      </c>
      <c r="E17" s="3767">
        <v>20403.86</v>
      </c>
      <c r="F17" s="3767">
        <v>51009</v>
      </c>
      <c r="G17" s="3767" t="s">
        <v>3277</v>
      </c>
      <c r="H17" s="3767" t="s">
        <v>3227</v>
      </c>
      <c r="I17" s="3767" t="s">
        <v>3242</v>
      </c>
      <c r="J17" s="3767" t="s">
        <v>3229</v>
      </c>
      <c r="K17" s="3769">
        <v>43879</v>
      </c>
      <c r="L17" s="3769">
        <v>43879</v>
      </c>
      <c r="M17" s="3767" t="s">
        <v>3230</v>
      </c>
      <c r="N17" s="3767" t="s">
        <v>3300</v>
      </c>
      <c r="O17" s="3767">
        <v>65600</v>
      </c>
      <c r="P17" s="3767">
        <v>13200</v>
      </c>
      <c r="Q17" s="3767" t="s">
        <v>3301</v>
      </c>
      <c r="R17" s="3767">
        <v>65600</v>
      </c>
      <c r="S17" s="3767">
        <v>12860</v>
      </c>
      <c r="T17" s="3767">
        <v>0</v>
      </c>
    </row>
    <row r="18" spans="1:20" s="3439" customFormat="1" ht="14.25">
      <c r="A18" s="3768" t="s">
        <v>3302</v>
      </c>
      <c r="B18" s="3768" t="s">
        <v>3303</v>
      </c>
      <c r="C18" s="3768" t="s">
        <v>1919</v>
      </c>
      <c r="D18" s="3768" t="s">
        <v>3226</v>
      </c>
      <c r="E18" s="3768">
        <v>78681.47</v>
      </c>
      <c r="F18" s="3768">
        <v>188033.66</v>
      </c>
      <c r="G18" s="3768" t="s">
        <v>3304</v>
      </c>
      <c r="H18" s="3768" t="s">
        <v>3227</v>
      </c>
      <c r="I18" s="3768" t="s">
        <v>3305</v>
      </c>
      <c r="J18" s="3768" t="s">
        <v>3229</v>
      </c>
      <c r="K18" s="3770">
        <v>43879</v>
      </c>
      <c r="L18" s="3770">
        <v>43879</v>
      </c>
      <c r="M18" s="3768" t="s">
        <v>3230</v>
      </c>
      <c r="N18" s="3768" t="s">
        <v>3306</v>
      </c>
      <c r="O18" s="3768">
        <v>500000</v>
      </c>
      <c r="P18" s="3768">
        <v>100000</v>
      </c>
      <c r="Q18" s="3768" t="s">
        <v>3301</v>
      </c>
      <c r="R18" s="3768">
        <v>670000</v>
      </c>
      <c r="S18" s="3768">
        <v>35632</v>
      </c>
      <c r="T18" s="3768">
        <v>34</v>
      </c>
    </row>
    <row r="19" spans="1:20" ht="14.25">
      <c r="A19" s="3767" t="s">
        <v>3133</v>
      </c>
      <c r="B19" s="3767" t="s">
        <v>3134</v>
      </c>
      <c r="C19" s="3767" t="s">
        <v>1919</v>
      </c>
      <c r="D19" s="3767" t="s">
        <v>3240</v>
      </c>
      <c r="E19" s="3767">
        <v>20796</v>
      </c>
      <c r="F19" s="3767">
        <v>21836</v>
      </c>
      <c r="G19" s="3767" t="s">
        <v>3307</v>
      </c>
      <c r="H19" s="3767" t="s">
        <v>3227</v>
      </c>
      <c r="I19" s="3767" t="s">
        <v>3242</v>
      </c>
      <c r="J19" s="3767" t="s">
        <v>3229</v>
      </c>
      <c r="K19" s="3769">
        <v>43872</v>
      </c>
      <c r="L19" s="3769">
        <v>43872</v>
      </c>
      <c r="M19" s="3767" t="s">
        <v>3230</v>
      </c>
      <c r="N19" s="3767" t="s">
        <v>3308</v>
      </c>
      <c r="O19" s="3767">
        <v>28800</v>
      </c>
      <c r="P19" s="3767">
        <v>5800</v>
      </c>
      <c r="Q19" s="3767" t="s">
        <v>3309</v>
      </c>
      <c r="R19" s="3767">
        <v>36000</v>
      </c>
      <c r="S19" s="3767">
        <v>16487</v>
      </c>
      <c r="T19" s="3767">
        <v>25</v>
      </c>
    </row>
    <row r="20" spans="1:20" ht="14.25">
      <c r="A20" s="3767" t="s">
        <v>3310</v>
      </c>
      <c r="B20" s="3767" t="s">
        <v>3311</v>
      </c>
      <c r="C20" s="3767" t="s">
        <v>1919</v>
      </c>
      <c r="D20" s="3767" t="s">
        <v>3226</v>
      </c>
      <c r="E20" s="3767">
        <v>42541.4</v>
      </c>
      <c r="F20" s="3767">
        <v>108921.52</v>
      </c>
      <c r="G20" s="3767" t="s">
        <v>3312</v>
      </c>
      <c r="H20" s="3767" t="s">
        <v>3227</v>
      </c>
      <c r="I20" s="3767" t="s">
        <v>3313</v>
      </c>
      <c r="J20" s="3767" t="s">
        <v>3229</v>
      </c>
      <c r="K20" s="3769">
        <v>43782</v>
      </c>
      <c r="L20" s="3769">
        <v>43782</v>
      </c>
      <c r="M20" s="3767" t="s">
        <v>3230</v>
      </c>
      <c r="N20" s="3767" t="s">
        <v>3314</v>
      </c>
      <c r="O20" s="3767">
        <v>292000</v>
      </c>
      <c r="P20" s="3767">
        <v>58400</v>
      </c>
      <c r="Q20" s="3767" t="s">
        <v>3315</v>
      </c>
      <c r="R20" s="3767">
        <v>307000</v>
      </c>
      <c r="S20" s="3767">
        <v>28185</v>
      </c>
      <c r="T20" s="3767">
        <v>5.14</v>
      </c>
    </row>
    <row r="21" spans="1:20" ht="14.25">
      <c r="A21" s="3767" t="s">
        <v>3135</v>
      </c>
      <c r="B21" s="3767" t="s">
        <v>3136</v>
      </c>
      <c r="C21" s="3767" t="s">
        <v>1919</v>
      </c>
      <c r="D21" s="3767" t="s">
        <v>3240</v>
      </c>
      <c r="E21" s="3767">
        <v>54735.8</v>
      </c>
      <c r="F21" s="3767">
        <v>153260.24</v>
      </c>
      <c r="G21" s="3767" t="s">
        <v>3316</v>
      </c>
      <c r="H21" s="3767" t="s">
        <v>3227</v>
      </c>
      <c r="I21" s="3767" t="s">
        <v>3242</v>
      </c>
      <c r="J21" s="3767" t="s">
        <v>3229</v>
      </c>
      <c r="K21" s="3769">
        <v>43782</v>
      </c>
      <c r="L21" s="3769">
        <v>43782</v>
      </c>
      <c r="M21" s="3767" t="s">
        <v>3230</v>
      </c>
      <c r="N21" s="3767" t="s">
        <v>3317</v>
      </c>
      <c r="O21" s="3767">
        <v>426000</v>
      </c>
      <c r="P21" s="3767">
        <v>85200</v>
      </c>
      <c r="Q21" s="3767" t="s">
        <v>3315</v>
      </c>
      <c r="R21" s="3767">
        <v>428150</v>
      </c>
      <c r="S21" s="3767">
        <v>27936</v>
      </c>
      <c r="T21" s="3767">
        <v>0.5</v>
      </c>
    </row>
    <row r="22" spans="1:20" ht="14.25">
      <c r="A22" s="3767" t="s">
        <v>3318</v>
      </c>
      <c r="B22" s="3767" t="s">
        <v>3319</v>
      </c>
      <c r="C22" s="3767" t="s">
        <v>1919</v>
      </c>
      <c r="D22" s="3767" t="s">
        <v>3226</v>
      </c>
      <c r="E22" s="3767">
        <v>58822.99</v>
      </c>
      <c r="F22" s="3767">
        <v>97871</v>
      </c>
      <c r="G22" s="3767" t="s">
        <v>3320</v>
      </c>
      <c r="H22" s="3767" t="s">
        <v>3227</v>
      </c>
      <c r="I22" s="3767" t="s">
        <v>3313</v>
      </c>
      <c r="J22" s="3767" t="s">
        <v>3229</v>
      </c>
      <c r="K22" s="3769">
        <v>43753</v>
      </c>
      <c r="L22" s="3769">
        <v>43753</v>
      </c>
      <c r="M22" s="3767" t="s">
        <v>3230</v>
      </c>
      <c r="N22" s="3767" t="s">
        <v>3321</v>
      </c>
      <c r="O22" s="3767">
        <v>181000</v>
      </c>
      <c r="P22" s="3767">
        <v>36500</v>
      </c>
      <c r="Q22" s="3767" t="s">
        <v>3322</v>
      </c>
      <c r="R22" s="3767">
        <v>203000</v>
      </c>
      <c r="S22" s="3767">
        <v>20742</v>
      </c>
      <c r="T22" s="3767">
        <v>12.15</v>
      </c>
    </row>
    <row r="23" spans="1:20" ht="14.25">
      <c r="A23" s="3767" t="s">
        <v>3323</v>
      </c>
      <c r="B23" s="3767" t="s">
        <v>3324</v>
      </c>
      <c r="C23" s="3767" t="s">
        <v>1919</v>
      </c>
      <c r="D23" s="3767" t="s">
        <v>3226</v>
      </c>
      <c r="E23" s="3767">
        <v>56722.42</v>
      </c>
      <c r="F23" s="3767">
        <v>124449</v>
      </c>
      <c r="G23" s="3767" t="s">
        <v>3325</v>
      </c>
      <c r="H23" s="3767" t="s">
        <v>3227</v>
      </c>
      <c r="I23" s="3767" t="s">
        <v>3326</v>
      </c>
      <c r="J23" s="3767" t="s">
        <v>3229</v>
      </c>
      <c r="K23" s="3769">
        <v>43753</v>
      </c>
      <c r="L23" s="3769">
        <v>43753</v>
      </c>
      <c r="M23" s="3767" t="s">
        <v>3230</v>
      </c>
      <c r="N23" s="3767" t="s">
        <v>3327</v>
      </c>
      <c r="O23" s="3767">
        <v>330000</v>
      </c>
      <c r="P23" s="3767">
        <v>66000</v>
      </c>
      <c r="Q23" s="3767" t="s">
        <v>3322</v>
      </c>
      <c r="R23" s="3767">
        <v>443000</v>
      </c>
      <c r="S23" s="3767">
        <v>35597</v>
      </c>
      <c r="T23" s="3767">
        <v>34.24</v>
      </c>
    </row>
    <row r="24" spans="1:20" ht="14.25">
      <c r="A24" s="3767" t="s">
        <v>3328</v>
      </c>
      <c r="B24" s="3767" t="s">
        <v>3329</v>
      </c>
      <c r="C24" s="3767" t="s">
        <v>1919</v>
      </c>
      <c r="D24" s="3767" t="s">
        <v>3226</v>
      </c>
      <c r="E24" s="3767">
        <v>88404.4</v>
      </c>
      <c r="F24" s="3767">
        <v>173209</v>
      </c>
      <c r="G24" s="3767" t="s">
        <v>3330</v>
      </c>
      <c r="H24" s="3767" t="s">
        <v>3227</v>
      </c>
      <c r="I24" s="3767" t="s">
        <v>3313</v>
      </c>
      <c r="J24" s="3767" t="s">
        <v>3229</v>
      </c>
      <c r="K24" s="3769">
        <v>43733</v>
      </c>
      <c r="L24" s="3769">
        <v>43733</v>
      </c>
      <c r="M24" s="3767" t="s">
        <v>3230</v>
      </c>
      <c r="N24" s="3767" t="s">
        <v>3331</v>
      </c>
      <c r="O24" s="3767">
        <v>330000</v>
      </c>
      <c r="P24" s="3767">
        <v>66000</v>
      </c>
      <c r="Q24" s="3767" t="s">
        <v>3332</v>
      </c>
      <c r="R24" s="3767">
        <v>330000</v>
      </c>
      <c r="S24" s="3767">
        <v>19052</v>
      </c>
      <c r="T24" s="3767">
        <v>0</v>
      </c>
    </row>
    <row r="25" spans="1:20" ht="14.25">
      <c r="A25" s="3767" t="s">
        <v>3137</v>
      </c>
      <c r="B25" s="3767" t="s">
        <v>3138</v>
      </c>
      <c r="C25" s="3767" t="s">
        <v>1919</v>
      </c>
      <c r="D25" s="3767" t="s">
        <v>3240</v>
      </c>
      <c r="E25" s="3767">
        <v>45889.5</v>
      </c>
      <c r="F25" s="3767">
        <v>100957</v>
      </c>
      <c r="G25" s="3767" t="s">
        <v>3333</v>
      </c>
      <c r="H25" s="3767" t="s">
        <v>3227</v>
      </c>
      <c r="I25" s="3767" t="s">
        <v>3242</v>
      </c>
      <c r="J25" s="3767" t="s">
        <v>3229</v>
      </c>
      <c r="K25" s="3769">
        <v>43733</v>
      </c>
      <c r="L25" s="3769">
        <v>43733</v>
      </c>
      <c r="M25" s="3767" t="s">
        <v>3230</v>
      </c>
      <c r="N25" s="3767" t="s">
        <v>3284</v>
      </c>
      <c r="O25" s="3767">
        <v>260000</v>
      </c>
      <c r="P25" s="3767">
        <v>52000</v>
      </c>
      <c r="Q25" s="3767" t="s">
        <v>3332</v>
      </c>
      <c r="R25" s="3767">
        <v>327000</v>
      </c>
      <c r="S25" s="3767">
        <v>32390</v>
      </c>
      <c r="T25" s="3767">
        <v>25.77</v>
      </c>
    </row>
    <row r="26" spans="1:20" ht="14.25">
      <c r="A26" s="3767" t="s">
        <v>3334</v>
      </c>
      <c r="B26" s="3767" t="s">
        <v>3335</v>
      </c>
      <c r="C26" s="3767" t="s">
        <v>1919</v>
      </c>
      <c r="D26" s="3767" t="s">
        <v>3226</v>
      </c>
      <c r="E26" s="3767">
        <v>47891.78</v>
      </c>
      <c r="F26" s="3767">
        <v>108059</v>
      </c>
      <c r="G26" s="3767" t="s">
        <v>3264</v>
      </c>
      <c r="H26" s="3767" t="s">
        <v>3227</v>
      </c>
      <c r="I26" s="3767" t="s">
        <v>3272</v>
      </c>
      <c r="J26" s="3767" t="s">
        <v>3229</v>
      </c>
      <c r="K26" s="3769">
        <v>43720</v>
      </c>
      <c r="L26" s="3769">
        <v>43720</v>
      </c>
      <c r="M26" s="3767" t="s">
        <v>3230</v>
      </c>
      <c r="N26" s="3767" t="s">
        <v>3336</v>
      </c>
      <c r="O26" s="3767">
        <v>151283</v>
      </c>
      <c r="P26" s="3767">
        <v>50000</v>
      </c>
      <c r="Q26" s="3767" t="s">
        <v>3232</v>
      </c>
      <c r="R26" s="3767">
        <v>151283</v>
      </c>
      <c r="S26" s="3767">
        <v>14000</v>
      </c>
      <c r="T26" s="3767">
        <v>0</v>
      </c>
    </row>
    <row r="27" spans="1:20" ht="14.25">
      <c r="A27" s="3767" t="s">
        <v>3139</v>
      </c>
      <c r="B27" s="3767" t="s">
        <v>3140</v>
      </c>
      <c r="C27" s="3767" t="s">
        <v>1919</v>
      </c>
      <c r="D27" s="3767" t="s">
        <v>3240</v>
      </c>
      <c r="E27" s="3767">
        <v>36478.1</v>
      </c>
      <c r="F27" s="3767">
        <v>80251.820000000007</v>
      </c>
      <c r="G27" s="3767" t="s">
        <v>3333</v>
      </c>
      <c r="H27" s="3767" t="s">
        <v>3227</v>
      </c>
      <c r="I27" s="3767" t="s">
        <v>3242</v>
      </c>
      <c r="J27" s="3767" t="s">
        <v>3229</v>
      </c>
      <c r="K27" s="3769">
        <v>43637</v>
      </c>
      <c r="L27" s="3769">
        <v>43637</v>
      </c>
      <c r="M27" s="3767" t="s">
        <v>3230</v>
      </c>
      <c r="N27" s="3767" t="s">
        <v>3337</v>
      </c>
      <c r="O27" s="3767">
        <v>225000</v>
      </c>
      <c r="P27" s="3767">
        <v>45000</v>
      </c>
      <c r="Q27" s="3767" t="s">
        <v>3232</v>
      </c>
      <c r="R27" s="3767">
        <v>318000</v>
      </c>
      <c r="S27" s="3767">
        <v>39625</v>
      </c>
      <c r="T27" s="3767">
        <v>41.33</v>
      </c>
    </row>
    <row r="28" spans="1:20" ht="14.25">
      <c r="A28" s="3767" t="s">
        <v>3141</v>
      </c>
      <c r="B28" s="3767" t="s">
        <v>3142</v>
      </c>
      <c r="C28" s="3767" t="s">
        <v>1919</v>
      </c>
      <c r="D28" s="3767" t="s">
        <v>3240</v>
      </c>
      <c r="E28" s="3767">
        <v>35704</v>
      </c>
      <c r="F28" s="3767">
        <v>78548.800000000003</v>
      </c>
      <c r="G28" s="3767" t="s">
        <v>3333</v>
      </c>
      <c r="H28" s="3767" t="s">
        <v>3227</v>
      </c>
      <c r="I28" s="3767" t="s">
        <v>3242</v>
      </c>
      <c r="J28" s="3767" t="s">
        <v>3229</v>
      </c>
      <c r="K28" s="3769">
        <v>43637</v>
      </c>
      <c r="L28" s="3769">
        <v>43637</v>
      </c>
      <c r="M28" s="3767" t="s">
        <v>3230</v>
      </c>
      <c r="N28" s="3767" t="s">
        <v>3338</v>
      </c>
      <c r="O28" s="3767">
        <v>220000</v>
      </c>
      <c r="P28" s="3767">
        <v>44000</v>
      </c>
      <c r="Q28" s="3767" t="s">
        <v>3232</v>
      </c>
      <c r="R28" s="3767">
        <v>306000</v>
      </c>
      <c r="S28" s="3767">
        <v>38957</v>
      </c>
      <c r="T28" s="3767">
        <v>39.090000000000003</v>
      </c>
    </row>
    <row r="29" spans="1:20" ht="14.25">
      <c r="A29" s="3767" t="s">
        <v>3339</v>
      </c>
      <c r="B29" s="3767" t="s">
        <v>3340</v>
      </c>
      <c r="C29" s="3767" t="s">
        <v>1919</v>
      </c>
      <c r="D29" s="3767" t="s">
        <v>3226</v>
      </c>
      <c r="E29" s="3767">
        <v>79276.91</v>
      </c>
      <c r="F29" s="3767">
        <v>177023</v>
      </c>
      <c r="G29" s="3767" t="s">
        <v>3341</v>
      </c>
      <c r="H29" s="3767" t="s">
        <v>3227</v>
      </c>
      <c r="I29" s="3767" t="s">
        <v>3342</v>
      </c>
      <c r="J29" s="3767" t="s">
        <v>3229</v>
      </c>
      <c r="K29" s="3769">
        <v>43521</v>
      </c>
      <c r="L29" s="3769">
        <v>43521</v>
      </c>
      <c r="M29" s="3767" t="s">
        <v>3230</v>
      </c>
      <c r="N29" s="3767" t="s">
        <v>3284</v>
      </c>
      <c r="O29" s="3767">
        <v>365000</v>
      </c>
      <c r="P29" s="3767">
        <v>73000</v>
      </c>
      <c r="Q29" s="3767" t="s">
        <v>3232</v>
      </c>
      <c r="R29" s="3767">
        <v>444000</v>
      </c>
      <c r="S29" s="3767">
        <v>25081</v>
      </c>
      <c r="T29" s="3767">
        <v>21.64</v>
      </c>
    </row>
    <row r="30" spans="1:20" s="3439" customFormat="1" ht="14.25">
      <c r="A30" s="3768" t="s">
        <v>3347</v>
      </c>
      <c r="B30" s="3768" t="s">
        <v>3343</v>
      </c>
      <c r="C30" s="3768" t="s">
        <v>1919</v>
      </c>
      <c r="D30" s="3768" t="s">
        <v>3226</v>
      </c>
      <c r="E30" s="3768">
        <v>34940.019999999997</v>
      </c>
      <c r="F30" s="3768">
        <v>94338</v>
      </c>
      <c r="G30" s="3768">
        <v>2.7</v>
      </c>
      <c r="H30" s="3768" t="s">
        <v>3227</v>
      </c>
      <c r="I30" s="3768" t="s">
        <v>3344</v>
      </c>
      <c r="J30" s="3768" t="s">
        <v>3229</v>
      </c>
      <c r="K30" s="3770">
        <v>43521</v>
      </c>
      <c r="L30" s="3770">
        <v>43521</v>
      </c>
      <c r="M30" s="3768" t="s">
        <v>3230</v>
      </c>
      <c r="N30" s="3768" t="s">
        <v>3345</v>
      </c>
      <c r="O30" s="3768">
        <v>210000</v>
      </c>
      <c r="P30" s="3768">
        <v>42000</v>
      </c>
      <c r="Q30" s="3768" t="s">
        <v>3232</v>
      </c>
      <c r="R30" s="3768">
        <v>246000</v>
      </c>
      <c r="S30" s="3768">
        <v>26076</v>
      </c>
      <c r="T30" s="3768">
        <v>17.14</v>
      </c>
    </row>
    <row r="31" spans="1:20" ht="14.25">
      <c r="A31" s="3767" t="s">
        <v>3143</v>
      </c>
      <c r="B31" s="3767" t="s">
        <v>3144</v>
      </c>
      <c r="C31" s="3767" t="s">
        <v>1919</v>
      </c>
      <c r="D31" s="3767" t="s">
        <v>3240</v>
      </c>
      <c r="E31" s="3767">
        <v>54637.78</v>
      </c>
      <c r="F31" s="3767">
        <v>57370</v>
      </c>
      <c r="G31" s="3767">
        <v>1.05</v>
      </c>
      <c r="H31" s="3767" t="s">
        <v>3227</v>
      </c>
      <c r="I31" s="3767" t="s">
        <v>3242</v>
      </c>
      <c r="J31" s="3767" t="s">
        <v>3229</v>
      </c>
      <c r="K31" s="3769">
        <v>43430</v>
      </c>
      <c r="L31" s="3769">
        <v>43430</v>
      </c>
      <c r="M31" s="3767" t="s">
        <v>3230</v>
      </c>
      <c r="N31" s="3767" t="s">
        <v>3346</v>
      </c>
      <c r="O31" s="3767">
        <v>73950</v>
      </c>
      <c r="P31" s="3767">
        <v>14800</v>
      </c>
      <c r="Q31" s="3767" t="s">
        <v>3232</v>
      </c>
      <c r="R31" s="3767">
        <v>94000</v>
      </c>
      <c r="S31" s="3767">
        <v>16385</v>
      </c>
      <c r="T31" s="3767">
        <v>27.11</v>
      </c>
    </row>
  </sheetData>
  <mergeCells count="620">
    <mergeCell ref="A1"/>
    <mergeCell ref="B1"/>
    <mergeCell ref="C1"/>
    <mergeCell ref="D1"/>
    <mergeCell ref="E1"/>
    <mergeCell ref="F1"/>
    <mergeCell ref="G1"/>
    <mergeCell ref="H1"/>
    <mergeCell ref="I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A3"/>
    <mergeCell ref="B3"/>
    <mergeCell ref="C3"/>
    <mergeCell ref="D3"/>
    <mergeCell ref="E3"/>
    <mergeCell ref="F3"/>
    <mergeCell ref="G3"/>
    <mergeCell ref="H3"/>
    <mergeCell ref="I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A5"/>
    <mergeCell ref="B5"/>
    <mergeCell ref="C5"/>
    <mergeCell ref="D5"/>
    <mergeCell ref="E5"/>
    <mergeCell ref="F5"/>
    <mergeCell ref="G5"/>
    <mergeCell ref="H5"/>
    <mergeCell ref="I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A7"/>
    <mergeCell ref="B7"/>
    <mergeCell ref="C7"/>
    <mergeCell ref="D7"/>
    <mergeCell ref="E7"/>
    <mergeCell ref="F7"/>
    <mergeCell ref="G7"/>
    <mergeCell ref="H7"/>
    <mergeCell ref="I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A9"/>
    <mergeCell ref="B9"/>
    <mergeCell ref="C9"/>
    <mergeCell ref="D9"/>
    <mergeCell ref="E9"/>
    <mergeCell ref="F9"/>
    <mergeCell ref="G9"/>
    <mergeCell ref="H9"/>
    <mergeCell ref="I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A11"/>
    <mergeCell ref="B11"/>
    <mergeCell ref="C11"/>
    <mergeCell ref="D11"/>
    <mergeCell ref="E11"/>
    <mergeCell ref="F11"/>
    <mergeCell ref="G11"/>
    <mergeCell ref="H11"/>
    <mergeCell ref="I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J13"/>
    <mergeCell ref="K13"/>
    <mergeCell ref="L15"/>
    <mergeCell ref="M15"/>
    <mergeCell ref="N15"/>
    <mergeCell ref="O15"/>
    <mergeCell ref="P15"/>
    <mergeCell ref="Q15"/>
    <mergeCell ref="R15"/>
    <mergeCell ref="A15"/>
    <mergeCell ref="B15"/>
    <mergeCell ref="C15"/>
    <mergeCell ref="D15"/>
    <mergeCell ref="E15"/>
    <mergeCell ref="F15"/>
    <mergeCell ref="G15"/>
    <mergeCell ref="H15"/>
    <mergeCell ref="I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J15"/>
    <mergeCell ref="K15"/>
    <mergeCell ref="L17"/>
    <mergeCell ref="M17"/>
    <mergeCell ref="N17"/>
    <mergeCell ref="O17"/>
    <mergeCell ref="P17"/>
    <mergeCell ref="Q17"/>
    <mergeCell ref="R17"/>
    <mergeCell ref="A17"/>
    <mergeCell ref="B17"/>
    <mergeCell ref="C17"/>
    <mergeCell ref="D17"/>
    <mergeCell ref="E17"/>
    <mergeCell ref="F17"/>
    <mergeCell ref="G17"/>
    <mergeCell ref="H17"/>
    <mergeCell ref="I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J17"/>
    <mergeCell ref="K17"/>
    <mergeCell ref="L19"/>
    <mergeCell ref="M19"/>
    <mergeCell ref="N19"/>
    <mergeCell ref="O19"/>
    <mergeCell ref="P19"/>
    <mergeCell ref="Q19"/>
    <mergeCell ref="R19"/>
    <mergeCell ref="A19"/>
    <mergeCell ref="B19"/>
    <mergeCell ref="C19"/>
    <mergeCell ref="D19"/>
    <mergeCell ref="E19"/>
    <mergeCell ref="F19"/>
    <mergeCell ref="G19"/>
    <mergeCell ref="H19"/>
    <mergeCell ref="I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J19"/>
    <mergeCell ref="K19"/>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J21"/>
    <mergeCell ref="K21"/>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J23"/>
    <mergeCell ref="K23"/>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J25"/>
    <mergeCell ref="K25"/>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J27"/>
    <mergeCell ref="K27"/>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J29"/>
    <mergeCell ref="K29"/>
    <mergeCell ref="A31"/>
    <mergeCell ref="B31"/>
    <mergeCell ref="C31"/>
    <mergeCell ref="D31"/>
    <mergeCell ref="E31"/>
    <mergeCell ref="F31"/>
    <mergeCell ref="G31"/>
    <mergeCell ref="H31"/>
    <mergeCell ref="I31"/>
    <mergeCell ref="S31"/>
    <mergeCell ref="T31"/>
    <mergeCell ref="J31"/>
    <mergeCell ref="K31"/>
    <mergeCell ref="L31"/>
    <mergeCell ref="M31"/>
    <mergeCell ref="N31"/>
    <mergeCell ref="O31"/>
    <mergeCell ref="P31"/>
    <mergeCell ref="Q31"/>
    <mergeCell ref="R31"/>
    <mergeCell ref="S11"/>
    <mergeCell ref="M11"/>
    <mergeCell ref="N11"/>
    <mergeCell ref="O11"/>
    <mergeCell ref="P11"/>
    <mergeCell ref="Q11"/>
    <mergeCell ref="R11"/>
    <mergeCell ref="S9"/>
    <mergeCell ref="M9"/>
    <mergeCell ref="N9"/>
    <mergeCell ref="O9"/>
    <mergeCell ref="P9"/>
    <mergeCell ref="Q9"/>
    <mergeCell ref="R9"/>
    <mergeCell ref="S7"/>
    <mergeCell ref="M7"/>
    <mergeCell ref="N7"/>
    <mergeCell ref="O7"/>
    <mergeCell ref="P7"/>
    <mergeCell ref="Q7"/>
    <mergeCell ref="R7"/>
    <mergeCell ref="S5"/>
    <mergeCell ref="M5"/>
    <mergeCell ref="N5"/>
    <mergeCell ref="O5"/>
    <mergeCell ref="P5"/>
    <mergeCell ref="Q5"/>
    <mergeCell ref="R5"/>
    <mergeCell ref="S3"/>
    <mergeCell ref="M3"/>
    <mergeCell ref="N3"/>
    <mergeCell ref="O3"/>
    <mergeCell ref="P3"/>
    <mergeCell ref="Q3"/>
    <mergeCell ref="R3"/>
    <mergeCell ref="S1"/>
    <mergeCell ref="M1"/>
    <mergeCell ref="N1"/>
    <mergeCell ref="O1"/>
    <mergeCell ref="P1"/>
    <mergeCell ref="Q1"/>
    <mergeCell ref="R1"/>
  </mergeCells>
  <phoneticPr fontId="22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9"/>
  <sheetViews>
    <sheetView workbookViewId="0">
      <selection activeCell="M21" sqref="M21"/>
    </sheetView>
  </sheetViews>
  <sheetFormatPr defaultRowHeight="13.5"/>
  <cols>
    <col min="10" max="10" width="17.625" customWidth="1"/>
  </cols>
  <sheetData>
    <row r="1" spans="10:12">
      <c r="J1" s="3180" t="s">
        <v>3214</v>
      </c>
      <c r="K1">
        <v>200</v>
      </c>
      <c r="L1">
        <f>250.41+99.82</f>
        <v>350.23</v>
      </c>
    </row>
    <row r="2" spans="10:12">
      <c r="J2" s="3180" t="s">
        <v>3215</v>
      </c>
      <c r="K2">
        <v>800</v>
      </c>
      <c r="L2">
        <f>299.92+500.16</f>
        <v>800.08</v>
      </c>
    </row>
    <row r="3" spans="10:12">
      <c r="J3" s="3180" t="s">
        <v>3216</v>
      </c>
      <c r="K3">
        <v>100</v>
      </c>
      <c r="L3">
        <v>200.24</v>
      </c>
    </row>
    <row r="4" spans="10:12">
      <c r="J4" s="3180" t="s">
        <v>3217</v>
      </c>
      <c r="K4">
        <v>100</v>
      </c>
      <c r="L4">
        <f>100.07*2</f>
        <v>200.14</v>
      </c>
    </row>
    <row r="5" spans="10:12">
      <c r="J5" s="3180" t="s">
        <v>3218</v>
      </c>
      <c r="K5">
        <v>400</v>
      </c>
      <c r="L5">
        <v>400.12</v>
      </c>
    </row>
    <row r="6" spans="10:12">
      <c r="J6" s="3180" t="s">
        <v>3219</v>
      </c>
      <c r="K6">
        <v>400</v>
      </c>
      <c r="L6" s="3180">
        <f>130.02+104.84+165.2</f>
        <v>400.06</v>
      </c>
    </row>
    <row r="7" spans="10:12">
      <c r="J7" s="3180" t="s">
        <v>3220</v>
      </c>
      <c r="K7">
        <v>120</v>
      </c>
      <c r="L7">
        <v>120.12</v>
      </c>
    </row>
    <row r="8" spans="10:12">
      <c r="J8" s="3180" t="s">
        <v>3221</v>
      </c>
      <c r="K8">
        <v>250</v>
      </c>
      <c r="L8">
        <v>250.15</v>
      </c>
    </row>
    <row r="9" spans="10:12">
      <c r="K9">
        <f>SUM(K1:K8)</f>
        <v>2370</v>
      </c>
      <c r="L9">
        <f>SUM(L1:L8)</f>
        <v>2721.14</v>
      </c>
    </row>
  </sheetData>
  <phoneticPr fontId="22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1" t="s">
        <v>2012</v>
      </c>
      <c r="B1" s="3461"/>
      <c r="C1" s="3461"/>
      <c r="D1" s="3461"/>
      <c r="E1" s="3461"/>
      <c r="F1" s="3461"/>
      <c r="G1" s="3461"/>
      <c r="H1" s="3461"/>
      <c r="I1" s="3461"/>
      <c r="J1" s="3461"/>
      <c r="K1" s="3461"/>
      <c r="L1" s="3461"/>
      <c r="M1" s="3461"/>
      <c r="N1" s="3461"/>
      <c r="O1" s="3461"/>
      <c r="P1" s="3461"/>
      <c r="Q1" s="3461"/>
      <c r="R1" s="3461"/>
    </row>
    <row r="2" spans="1:18">
      <c r="A2" s="1693" t="s">
        <v>2014</v>
      </c>
      <c r="B2" s="1693"/>
      <c r="C2" s="1693"/>
      <c r="D2" s="1693"/>
      <c r="E2" s="1693"/>
      <c r="F2" s="1693"/>
      <c r="G2" s="1693"/>
      <c r="H2" s="1693"/>
      <c r="I2" s="1694"/>
      <c r="J2" s="1694"/>
      <c r="K2" s="1695" t="str">
        <f>"估价期日："&amp;TEXT(项目基本情况!D3,"yyyy年m月d日;;")</f>
        <v>估价期日：2022年1月19日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62" t="s">
        <v>2003</v>
      </c>
      <c r="B3" s="3462" t="s">
        <v>2630</v>
      </c>
      <c r="C3" s="3463" t="s">
        <v>2004</v>
      </c>
      <c r="D3" s="3462" t="s">
        <v>2634</v>
      </c>
      <c r="E3" s="3465" t="s">
        <v>2005</v>
      </c>
      <c r="F3" s="3465"/>
      <c r="G3" s="3465"/>
      <c r="H3" s="3465" t="s">
        <v>2006</v>
      </c>
      <c r="I3" s="3465"/>
      <c r="J3" s="3465"/>
      <c r="K3" s="3463" t="s">
        <v>2007</v>
      </c>
      <c r="L3" s="3463" t="s">
        <v>2008</v>
      </c>
      <c r="M3" s="3462" t="s">
        <v>2631</v>
      </c>
      <c r="N3" s="3464" t="str">
        <f>"（分摊）"&amp;项目基本情况!B16&amp;"国有建设用地使用权面积/㎡"</f>
        <v>（分摊）出让国有建设用地使用权面积/㎡</v>
      </c>
      <c r="O3" s="3462" t="s">
        <v>2037</v>
      </c>
      <c r="P3" s="3463" t="s">
        <v>2017</v>
      </c>
      <c r="Q3" s="3463" t="s">
        <v>2038</v>
      </c>
      <c r="R3" s="3463" t="s">
        <v>2009</v>
      </c>
    </row>
    <row r="4" spans="1:18" ht="36.75" customHeight="1">
      <c r="A4" s="3462"/>
      <c r="B4" s="3462"/>
      <c r="C4" s="3463"/>
      <c r="D4" s="3462"/>
      <c r="E4" s="2428" t="s">
        <v>2016</v>
      </c>
      <c r="F4" s="2428" t="s">
        <v>2643</v>
      </c>
      <c r="G4" s="2428" t="s">
        <v>2010</v>
      </c>
      <c r="H4" s="2428" t="s">
        <v>2011</v>
      </c>
      <c r="I4" s="2428" t="s">
        <v>2644</v>
      </c>
      <c r="J4" s="2428" t="s">
        <v>2010</v>
      </c>
      <c r="K4" s="3463"/>
      <c r="L4" s="3463"/>
      <c r="M4" s="3462"/>
      <c r="N4" s="3464"/>
      <c r="O4" s="3462"/>
      <c r="P4" s="3463"/>
      <c r="Q4" s="3463"/>
      <c r="R4" s="3463"/>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42450.9</v>
      </c>
      <c r="O5" s="1696">
        <f>项目基本情况!C21</f>
        <v>173860.47999999998</v>
      </c>
      <c r="P5" s="1696">
        <f ca="1">结果表!E42</f>
        <v>86646</v>
      </c>
      <c r="Q5" s="1696">
        <f ca="1">结果表!D42</f>
        <v>21156</v>
      </c>
      <c r="R5" s="1697">
        <f ca="1">结果表!C42</f>
        <v>367820</v>
      </c>
    </row>
    <row r="6" spans="1:18">
      <c r="A6" s="3458" t="str">
        <f>IF(项目基本情况!B9="市场价格","——","抵押价格")</f>
        <v>抵押价格</v>
      </c>
      <c r="B6" s="3459"/>
      <c r="C6" s="3459"/>
      <c r="D6" s="3459"/>
      <c r="E6" s="3459"/>
      <c r="F6" s="3459"/>
      <c r="G6" s="3459"/>
      <c r="H6" s="3459"/>
      <c r="I6" s="3459"/>
      <c r="J6" s="3459"/>
      <c r="K6" s="3459"/>
      <c r="L6" s="3459"/>
      <c r="M6" s="3459"/>
      <c r="N6" s="3459"/>
      <c r="O6" s="3459"/>
      <c r="P6" s="3459"/>
      <c r="Q6" s="3460"/>
      <c r="R6" s="1698">
        <f ca="1">结果表!O39</f>
        <v>362580</v>
      </c>
    </row>
    <row r="7" spans="1:18">
      <c r="A7" s="3458" t="str">
        <f>IF(项目基本情况!B9="市场价格","——",IF(项目基本情况!E8="已注销及未注销","抵押担保权已注销时的抵押价格","——"))</f>
        <v>——</v>
      </c>
      <c r="B7" s="3459"/>
      <c r="C7" s="3459"/>
      <c r="D7" s="3459"/>
      <c r="E7" s="3459"/>
      <c r="F7" s="3459"/>
      <c r="G7" s="3459"/>
      <c r="H7" s="3459"/>
      <c r="I7" s="3459"/>
      <c r="J7" s="3459"/>
      <c r="K7" s="3459"/>
      <c r="L7" s="3459"/>
      <c r="M7" s="3459"/>
      <c r="N7" s="3459"/>
      <c r="O7" s="3459"/>
      <c r="P7" s="3459"/>
      <c r="Q7" s="3460"/>
      <c r="R7" s="1698" t="str">
        <f>结果表!O40</f>
        <v>——</v>
      </c>
    </row>
    <row r="8" spans="1:18">
      <c r="A8" s="3458">
        <f>IF(项目基本情况!B9="市场价格","——",项目基本情况!E9)</f>
        <v>0</v>
      </c>
      <c r="B8" s="3459"/>
      <c r="C8" s="3459"/>
      <c r="D8" s="3459"/>
      <c r="E8" s="3459"/>
      <c r="F8" s="3459"/>
      <c r="G8" s="3459"/>
      <c r="H8" s="3459"/>
      <c r="I8" s="3459"/>
      <c r="J8" s="3459"/>
      <c r="K8" s="3459"/>
      <c r="L8" s="3459"/>
      <c r="M8" s="3459"/>
      <c r="N8" s="3459"/>
      <c r="O8" s="3459"/>
      <c r="P8" s="3459"/>
      <c r="Q8" s="3460"/>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7" t="s">
        <v>2039</v>
      </c>
      <c r="B1" s="3467"/>
      <c r="C1" s="3467"/>
      <c r="D1" s="3467"/>
    </row>
    <row r="2" spans="1:4" ht="47.25" customHeight="1">
      <c r="A2" s="3468" t="str">
        <f>"1.权利限制："&amp;项目基本情况!L24&amp;"未设定租赁等其他他项权利。"</f>
        <v>1.权利限制：根据估价对象《不动产权证书》原件、《国有土地使用权》复印件，截至估价期日，估价对象抵押权未见登记。未设定租赁等其他他项权利。</v>
      </c>
      <c r="B2" s="3468"/>
      <c r="C2" s="3468"/>
      <c r="D2" s="3468"/>
    </row>
    <row r="3" spans="1:4" ht="48" customHeight="1">
      <c r="A3" s="34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7"/>
      <c r="C3" s="3467"/>
      <c r="D3" s="3467"/>
    </row>
    <row r="4" spans="1:4" ht="36.75" customHeight="1">
      <c r="A4" s="3467" t="str">
        <f>"3.估价规划限制条件：详见"&amp;项目基本情况!E21&amp;"。"</f>
        <v>3.估价规划限制条件：详见《建设工程规划许可证》[]、《出让合同》[]。</v>
      </c>
      <c r="B4" s="3467"/>
      <c r="C4" s="3467"/>
      <c r="D4" s="3467"/>
    </row>
    <row r="5" spans="1:4">
      <c r="A5" s="3466" t="s">
        <v>2040</v>
      </c>
      <c r="B5" s="3466"/>
      <c r="C5" s="3466"/>
      <c r="D5" s="3466"/>
    </row>
    <row r="6" spans="1:4">
      <c r="A6" s="3467" t="s">
        <v>2018</v>
      </c>
      <c r="B6" s="3467"/>
      <c r="C6" s="3467"/>
      <c r="D6" s="3467"/>
    </row>
    <row r="7" spans="1:4" ht="33" customHeight="1">
      <c r="A7" s="3467" t="s">
        <v>2474</v>
      </c>
      <c r="B7" s="3467"/>
      <c r="C7" s="3467"/>
      <c r="D7" s="3467"/>
    </row>
    <row r="8" spans="1:4" ht="32.25" customHeight="1">
      <c r="A8" s="34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7"/>
      <c r="C8" s="3467"/>
      <c r="D8" s="3467"/>
    </row>
    <row r="9" spans="1:4" ht="33.75" customHeight="1">
      <c r="A9" s="34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7"/>
      <c r="C9" s="3467"/>
      <c r="D9" s="3467"/>
    </row>
    <row r="10" spans="1:4">
      <c r="A10" s="3467" t="str">
        <f>IF(项目基本情况!B8="抵押","4.估价师所知悉的法定优先受偿款情况为：","——")</f>
        <v>4.估价师所知悉的法定优先受偿款情况为：</v>
      </c>
      <c r="B10" s="3467"/>
      <c r="C10" s="3467"/>
      <c r="D10" s="3467"/>
    </row>
    <row r="11" spans="1:4" ht="37.5" customHeight="1">
      <c r="A11" s="34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9"/>
      <c r="C11" s="3469"/>
      <c r="D11" s="3469"/>
    </row>
    <row r="12" spans="1:4" ht="168" customHeight="1">
      <c r="A12" s="3466" t="s">
        <v>2042</v>
      </c>
      <c r="B12" s="3466"/>
      <c r="C12" s="3466"/>
      <c r="D12" s="3466"/>
    </row>
    <row r="13" spans="1:4">
      <c r="A13" s="3470" t="s">
        <v>2645</v>
      </c>
      <c r="B13" s="3470"/>
      <c r="C13" s="3470"/>
      <c r="D13" s="3470"/>
    </row>
    <row r="14" spans="1:4">
      <c r="A14" s="3469" t="str">
        <f>IF(项目基本情况!B8="抵押","综上，"&amp;结果表!K47,"——")</f>
        <v>综上，本次评估估价师知悉的法定优先受偿款为人民币5240万元整。</v>
      </c>
      <c r="B14" s="3469"/>
      <c r="C14" s="3469"/>
      <c r="D14" s="3469"/>
    </row>
    <row r="15" spans="1:4" ht="58.5" customHeight="1">
      <c r="A15" s="34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7"/>
      <c r="C15" s="3467"/>
      <c r="D15" s="3467"/>
    </row>
    <row r="16" spans="1:4" ht="70.5" customHeight="1">
      <c r="A16" s="34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7"/>
      <c r="C16" s="3467"/>
      <c r="D16" s="3467"/>
    </row>
    <row r="17" spans="1:4">
      <c r="A17" s="3467" t="s">
        <v>2601</v>
      </c>
      <c r="B17" s="3467"/>
      <c r="C17" s="3467"/>
      <c r="D17" s="3467"/>
    </row>
    <row r="18" spans="1:4">
      <c r="A18" s="3467" t="s">
        <v>2593</v>
      </c>
      <c r="B18" s="3467"/>
      <c r="C18" s="3467"/>
      <c r="D18" s="3467"/>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7" t="s">
        <v>2598</v>
      </c>
      <c r="B23" s="3467"/>
      <c r="C23" s="3467"/>
      <c r="D23" s="3467"/>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8" t="s">
        <v>53</v>
      </c>
      <c r="B15" s="3479" t="s">
        <v>827</v>
      </c>
      <c r="C15" s="3475"/>
    </row>
    <row r="16" spans="1:7" ht="14.25">
      <c r="A16" s="3478"/>
      <c r="B16" s="3476" t="s">
        <v>54</v>
      </c>
      <c r="C16" s="1136" t="s">
        <v>53</v>
      </c>
    </row>
    <row r="17" spans="1:3" ht="14.25">
      <c r="A17" s="3478"/>
      <c r="B17" s="3476"/>
      <c r="C17" s="1136" t="s">
        <v>55</v>
      </c>
    </row>
    <row r="18" spans="1:3" ht="14.25">
      <c r="A18" s="3478"/>
      <c r="B18" s="3476"/>
      <c r="C18" s="1136" t="s">
        <v>56</v>
      </c>
    </row>
    <row r="19" spans="1:3" ht="14.25">
      <c r="A19" s="3478"/>
      <c r="B19" s="3474" t="s">
        <v>57</v>
      </c>
      <c r="C19" s="3475"/>
    </row>
    <row r="20" spans="1:3" ht="14.25">
      <c r="A20" s="1137" t="s">
        <v>58</v>
      </c>
      <c r="B20" s="1138"/>
      <c r="C20" s="1139"/>
    </row>
    <row r="21" spans="1:3" ht="14.25">
      <c r="A21" s="3477" t="s">
        <v>59</v>
      </c>
      <c r="B21" s="3474" t="s">
        <v>60</v>
      </c>
      <c r="C21" s="3475"/>
    </row>
    <row r="22" spans="1:3" ht="14.25">
      <c r="A22" s="3477"/>
      <c r="B22" s="3474" t="s">
        <v>61</v>
      </c>
      <c r="C22" s="3475"/>
    </row>
    <row r="23" spans="1:3" ht="14.25">
      <c r="A23" s="3477"/>
      <c r="B23" s="3474" t="s">
        <v>62</v>
      </c>
      <c r="C23" s="3475"/>
    </row>
    <row r="24" spans="1:3" ht="14.25">
      <c r="A24" s="3477"/>
      <c r="B24" s="3480" t="s">
        <v>63</v>
      </c>
      <c r="C24" s="1140" t="s">
        <v>818</v>
      </c>
    </row>
    <row r="25" spans="1:3" ht="14.25">
      <c r="A25" s="3477"/>
      <c r="B25" s="3481"/>
      <c r="C25" s="1140" t="s">
        <v>819</v>
      </c>
    </row>
    <row r="26" spans="1:3" ht="14.25">
      <c r="A26" s="3477"/>
      <c r="B26" s="3481"/>
      <c r="C26" s="1140" t="s">
        <v>820</v>
      </c>
    </row>
    <row r="27" spans="1:3" ht="14.25">
      <c r="A27" s="3477"/>
      <c r="B27" s="3481"/>
      <c r="C27" s="1140" t="s">
        <v>821</v>
      </c>
    </row>
    <row r="28" spans="1:3" ht="14.25">
      <c r="A28" s="3477"/>
      <c r="B28" s="3481"/>
      <c r="C28" s="1140" t="s">
        <v>822</v>
      </c>
    </row>
    <row r="29" spans="1:3" ht="14.25">
      <c r="A29" s="3477"/>
      <c r="B29" s="3481"/>
      <c r="C29" s="1140" t="s">
        <v>823</v>
      </c>
    </row>
    <row r="30" spans="1:3" ht="14.25">
      <c r="A30" s="3477"/>
      <c r="B30" s="3481"/>
      <c r="C30" s="1140" t="s">
        <v>824</v>
      </c>
    </row>
    <row r="31" spans="1:3" ht="14.25">
      <c r="A31" s="3477"/>
      <c r="B31" s="3481"/>
      <c r="C31" s="1140" t="s">
        <v>825</v>
      </c>
    </row>
    <row r="32" spans="1:3" ht="14.25">
      <c r="A32" s="3477"/>
      <c r="B32" s="3481"/>
      <c r="C32" s="1140" t="s">
        <v>1626</v>
      </c>
    </row>
    <row r="33" spans="1:3" ht="14.25">
      <c r="A33" s="3477"/>
      <c r="B33" s="3471" t="s">
        <v>1632</v>
      </c>
      <c r="C33" s="1140" t="s">
        <v>1627</v>
      </c>
    </row>
    <row r="34" spans="1:3" ht="14.25">
      <c r="A34" s="3477"/>
      <c r="B34" s="3472"/>
      <c r="C34" s="1145" t="s">
        <v>1628</v>
      </c>
    </row>
    <row r="35" spans="1:3" ht="14.25">
      <c r="A35" s="3477"/>
      <c r="B35" s="3472"/>
      <c r="C35" s="1146" t="s">
        <v>1629</v>
      </c>
    </row>
    <row r="36" spans="1:3" ht="14.25">
      <c r="A36" s="3477"/>
      <c r="B36" s="3472"/>
      <c r="C36" s="1146" t="s">
        <v>1630</v>
      </c>
    </row>
    <row r="37" spans="1:3" ht="14.25">
      <c r="A37" s="3477"/>
      <c r="B37" s="3473"/>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44617</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85" t="s">
        <v>1900</v>
      </c>
      <c r="B17" s="3486"/>
      <c r="C17" s="3486"/>
      <c r="D17" s="3486"/>
      <c r="E17" s="3486"/>
      <c r="F17" s="3486"/>
      <c r="G17" s="2966"/>
    </row>
    <row r="18" spans="1:7" ht="20.25" customHeight="1">
      <c r="A18" s="3482" t="s">
        <v>1901</v>
      </c>
      <c r="B18" s="3482"/>
      <c r="C18" s="3483"/>
      <c r="D18" s="3484" t="s">
        <v>1902</v>
      </c>
      <c r="E18" s="3482"/>
      <c r="F18" s="3482"/>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Z25" sqref="Z25"/>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1113" t="s">
        <v>3368</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7"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19日，在规划利用条件下、设定土地开发程度为红线外“七通”、宗地内场地，设定用途为，剩余土地使用年限为的出让国有建设用地使用权价格。</v>
      </c>
      <c r="D53" s="1656"/>
      <c r="E53" s="1656"/>
    </row>
    <row r="54" spans="1:5">
      <c r="A54" s="3487"/>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7"/>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7"/>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7"/>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2022-02-25T05:45:32Z</dcterms:modified>
</cp:coreProperties>
</file>