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3" i="9" l="1"/>
  <c r="N20" i="1"/>
  <c r="G7" i="80"/>
  <c r="G3" i="80"/>
  <c r="L11" i="80" l="1"/>
  <c r="G4" i="80"/>
  <c r="C14" i="74" l="1"/>
  <c r="B14" i="74"/>
  <c r="D10" i="80" l="1"/>
  <c r="L7" i="80"/>
  <c r="L6" i="80"/>
  <c r="L4" i="80"/>
  <c r="L5" i="80"/>
  <c r="L3" i="80"/>
  <c r="J4" i="80"/>
  <c r="J5" i="80"/>
  <c r="J6" i="80"/>
  <c r="J7" i="80"/>
  <c r="J3" i="80"/>
  <c r="D8" i="80"/>
  <c r="H4" i="80"/>
  <c r="H5" i="80"/>
  <c r="H6" i="80"/>
  <c r="H7" i="80"/>
  <c r="H3" i="80"/>
  <c r="H8" i="80" s="1"/>
  <c r="G8" i="80" s="1"/>
  <c r="N18" i="1" s="1"/>
  <c r="L8" i="80" l="1"/>
  <c r="K8" i="80" s="1"/>
  <c r="J8" i="80"/>
  <c r="I8" i="80" s="1"/>
  <c r="L12" i="80" l="1"/>
  <c r="K12" i="80" s="1"/>
  <c r="G5" i="80" l="1"/>
  <c r="G6" i="80"/>
  <c r="D7" i="80"/>
  <c r="D6" i="80"/>
  <c r="D5" i="80"/>
  <c r="D4" i="80"/>
  <c r="D3" i="80"/>
  <c r="N6"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67"/>
  <c r="M23" i="67"/>
  <c r="F40" i="15"/>
  <c r="L47" i="67"/>
  <c r="M29" i="67"/>
  <c r="E11" i="76"/>
  <c r="F13" i="15"/>
  <c r="B8" i="76"/>
  <c r="F20" i="31"/>
  <c r="E9" i="76"/>
  <c r="F6" i="15"/>
  <c r="B9" i="76"/>
  <c r="M24" i="67"/>
  <c r="B12" i="76"/>
  <c r="L47" i="15"/>
  <c r="F36" i="15"/>
  <c r="M28" i="15"/>
  <c r="F8" i="67"/>
  <c r="M22" i="67"/>
  <c r="M22" i="15"/>
  <c r="B10" i="76"/>
  <c r="M6" i="67"/>
  <c r="F42" i="67"/>
  <c r="E8" i="76"/>
  <c r="C76" i="67"/>
  <c r="M8" i="67"/>
  <c r="M9" i="67"/>
  <c r="F42" i="15"/>
  <c r="F43" i="15"/>
  <c r="F3" i="73"/>
  <c r="L48" i="67"/>
  <c r="L48" i="15"/>
  <c r="E2" i="68"/>
  <c r="F5" i="73"/>
  <c r="M26" i="67"/>
  <c r="AO13" i="1"/>
  <c r="F7" i="67"/>
  <c r="E10" i="76"/>
  <c r="M29" i="15"/>
  <c r="F37" i="67"/>
  <c r="M8" i="15"/>
  <c r="F6" i="73"/>
  <c r="F4" i="73"/>
  <c r="F43" i="67"/>
  <c r="F38" i="67"/>
  <c r="M9" i="15"/>
  <c r="F40" i="67"/>
  <c r="F7" i="15"/>
  <c r="M23" i="15"/>
  <c r="F26" i="67"/>
  <c r="F36" i="67"/>
  <c r="E13" i="76"/>
  <c r="J15" i="15"/>
  <c r="M28" i="67"/>
  <c r="F13" i="67"/>
  <c r="B11" i="76"/>
  <c r="E7" i="76"/>
  <c r="F6" i="67"/>
  <c r="B13" i="76"/>
  <c r="E2" i="69"/>
  <c r="B7" i="76"/>
  <c r="D6" i="73"/>
  <c r="J15" i="67"/>
  <c r="F16" i="15"/>
  <c r="F9" i="15"/>
  <c r="C76" i="15"/>
  <c r="M24" i="15"/>
  <c r="F16" i="67"/>
  <c r="F7" i="73"/>
  <c r="M26" i="15"/>
  <c r="F37" i="15"/>
  <c r="F38" i="15"/>
  <c r="F8" i="15"/>
  <c r="E12" i="76"/>
  <c r="F26" i="15"/>
  <c r="M6" i="15"/>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7" i="73"/>
  <c r="D3" i="73"/>
  <c r="C16" i="67"/>
  <c r="D4" i="73"/>
  <c r="D5"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M21" i="67"/>
  <c r="F35" i="15"/>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C20" i="9"/>
  <c r="D35" i="9"/>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8"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45" i="9"/>
  <c r="D52" i="9" s="1"/>
  <c r="M48" i="9"/>
  <c r="H107" i="9"/>
  <c r="D6" i="53"/>
  <c r="B22" i="72" s="1"/>
  <c r="B20" i="72"/>
  <c r="C105" i="9"/>
  <c r="I4" i="52"/>
  <c r="H102" i="9"/>
  <c r="E118" i="9"/>
  <c r="E4" i="52" s="1"/>
  <c r="B48" i="72" s="1"/>
  <c r="C93" i="9" l="1"/>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D48" i="9" l="1"/>
  <c r="M52" i="9" s="1"/>
  <c r="C95" i="9"/>
  <c r="C96" i="9" s="1"/>
  <c r="E96" i="9" s="1"/>
  <c r="E97" i="9" s="1"/>
  <c r="C79" i="9"/>
  <c r="C80" i="9" s="1"/>
  <c r="E80" i="9" s="1"/>
  <c r="E81" i="9" s="1"/>
  <c r="B30" i="72"/>
  <c r="D14" i="53"/>
  <c r="B32" i="72" s="1"/>
  <c r="L65" i="9"/>
  <c r="M65" i="9" s="1"/>
  <c r="L63" i="9"/>
  <c r="M63" i="9" s="1"/>
  <c r="L66" i="9"/>
  <c r="M66" i="9" s="1"/>
  <c r="L64" i="9"/>
  <c r="M64" i="9" s="1"/>
  <c r="L67" i="9"/>
  <c r="M67" i="9" s="1"/>
  <c r="L68" i="9"/>
  <c r="M68" i="9" s="1"/>
  <c r="D8" i="52"/>
  <c r="D123" i="9"/>
  <c r="D9" i="52" s="1"/>
  <c r="D15" i="53"/>
  <c r="B31" i="72" s="1"/>
  <c r="C6" i="74"/>
  <c r="C81" i="9" l="1"/>
  <c r="Q57" i="9"/>
  <c r="Q59" i="9" s="1"/>
  <c r="Q61" i="9" s="1"/>
  <c r="C97" i="9"/>
  <c r="D58" i="9" s="1"/>
  <c r="D56" i="9" s="1"/>
  <c r="M54" i="9" s="1"/>
  <c r="N57" i="9" s="1"/>
  <c r="P57" i="9" s="1"/>
  <c r="M69" i="9"/>
  <c r="N69" i="9" s="1"/>
  <c r="Q60" i="9" l="1"/>
  <c r="N58" i="9"/>
  <c r="N59" i="9"/>
  <c r="N61" i="9" l="1"/>
  <c r="H112" i="9" s="1"/>
  <c r="D21" i="53" s="1"/>
  <c r="B39" i="72" s="1"/>
  <c r="H111" i="9"/>
  <c r="N60" i="9"/>
  <c r="D126" i="9" l="1"/>
  <c r="I14" i="74" s="1"/>
  <c r="B8" i="74" s="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<sst xmlns="http://schemas.openxmlformats.org/spreadsheetml/2006/main" count="7868" uniqueCount="3461">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</sst>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10" fontId="47" fillId="22"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36467</v>
      </c>
    </row>
    <row r="21" spans="1:2" s="1203" customFormat="1">
      <c r="A21" s="1201" t="s">
        <v>537</v>
      </c>
      <c r="B21" s="1202">
        <f ca="1">'预评函-2'!D7</f>
        <v>9437</v>
      </c>
    </row>
    <row r="22" spans="1:2" s="1203" customFormat="1">
      <c r="A22" s="1201" t="s">
        <v>538</v>
      </c>
      <c r="B22" s="1202" t="str">
        <f ca="1">'预评函-2'!D6</f>
        <v>叁亿陆仟肆佰陆拾柒万元整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36467</v>
      </c>
    </row>
    <row r="31" spans="1:2" s="1203" customFormat="1">
      <c r="A31" s="1201" t="s">
        <v>576</v>
      </c>
      <c r="B31" s="1202">
        <f ca="1">'预评函-2'!D15</f>
        <v>9437</v>
      </c>
    </row>
    <row r="32" spans="1:2" s="1203" customFormat="1">
      <c r="A32" s="1201" t="s">
        <v>543</v>
      </c>
      <c r="B32" s="1202" t="str">
        <f ca="1">'预评函-2'!D14</f>
        <v>叁亿陆仟肆佰陆拾柒万元整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29810</v>
      </c>
    </row>
    <row r="39" spans="1:2" s="1203" customFormat="1">
      <c r="A39" s="1201" t="s">
        <v>545</v>
      </c>
      <c r="B39" s="1202">
        <f ca="1">'预评函-2'!D21</f>
        <v>7714</v>
      </c>
    </row>
    <row r="40" spans="1:2" s="1203" customFormat="1">
      <c r="A40" s="1201" t="s">
        <v>546</v>
      </c>
      <c r="B40" s="1202" t="str">
        <f ca="1">'预评函-2'!D20</f>
        <v>贰亿玖仟捌佰壹拾万元整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14222</v>
      </c>
    </row>
    <row r="48" spans="1:2" s="1203" customFormat="1">
      <c r="A48" s="1201" t="s">
        <v>549</v>
      </c>
      <c r="B48" s="1202">
        <f ca="1">'预评函-3'!E4</f>
        <v>3681</v>
      </c>
    </row>
    <row r="49" spans="1:2" s="1203" customFormat="1">
      <c r="A49" s="1201" t="s">
        <v>550</v>
      </c>
      <c r="B49" s="1202" t="str">
        <f ca="1">'预评函-3'!D5</f>
        <v>壹亿肆仟贰佰贰拾贰万元整</v>
      </c>
    </row>
    <row r="50" spans="1:2" s="1203" customFormat="1">
      <c r="A50" s="1201" t="s">
        <v>574</v>
      </c>
      <c r="B50" s="1202" t="str">
        <f>'预评函-3'!F2</f>
        <v>在建建筑物价值</v>
      </c>
    </row>
    <row r="51" spans="1:2" s="1203" customFormat="1">
      <c r="A51" s="1201" t="s">
        <v>551</v>
      </c>
      <c r="B51" s="1202">
        <f ca="1">'预评函-3'!F4</f>
        <v>22245</v>
      </c>
    </row>
    <row r="52" spans="1:2" s="1203" customFormat="1">
      <c r="A52" s="1201" t="s">
        <v>552</v>
      </c>
      <c r="B52" s="1202">
        <f ca="1">'预评函-3'!G4</f>
        <v>5756</v>
      </c>
    </row>
    <row r="53" spans="1:2" s="1203" customFormat="1">
      <c r="A53" s="1201" t="s">
        <v>580</v>
      </c>
      <c r="B53" s="1202" t="str">
        <f ca="1">'预评函-3'!F5</f>
        <v>贰亿贰仟贰佰肆拾伍万元整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8" t="s">
        <v>2582</v>
      </c>
      <c r="J2" s="3498"/>
      <c r="K2" s="3498"/>
      <c r="L2" s="3498"/>
      <c r="M2" s="3498"/>
      <c r="N2" s="3498"/>
      <c r="O2" s="3498"/>
      <c r="P2" s="3498"/>
      <c r="Q2" s="3498"/>
      <c r="R2" s="3498"/>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10"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11"/>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38644.11</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455">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40"/>
      <c r="B4" s="3541"/>
      <c r="C4" s="3542"/>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3" t="s">
        <v>1111</v>
      </c>
      <c r="C6" s="3543"/>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v>4000</v>
      </c>
      <c r="M6" s="67">
        <f t="shared" ref="M6:M14" si="0">ROUND(K6*L6/10000,0)</f>
        <v>15458</v>
      </c>
      <c r="N6" s="3456">
        <f>N20</f>
        <v>0.76500000000000001</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2.2000000000000002</v>
      </c>
      <c r="V6" s="70">
        <v>0.02</v>
      </c>
      <c r="W6" s="70">
        <v>0.1</v>
      </c>
      <c r="X6" s="1040"/>
      <c r="Y6" s="71">
        <f>N6</f>
        <v>0.76500000000000001</v>
      </c>
      <c r="Z6" s="72"/>
      <c r="AA6" s="66"/>
      <c r="AB6" s="66"/>
      <c r="AC6" s="1040"/>
      <c r="AD6" s="73"/>
      <c r="AE6" s="1041">
        <f ca="1">IF(AN6="",0,SUMIF(INDIRECT("'"&amp;AN6&amp;"'"&amp;"!E:E"),$AE$5,INDIRECT("'"&amp;AN6&amp;"'"&amp;"!F:F")))</f>
        <v>28.7</v>
      </c>
      <c r="AF6" s="1348"/>
      <c r="AG6" s="138">
        <f>IF(AF6="",0,AE6-AF6)</f>
        <v>0</v>
      </c>
      <c r="AH6" s="74"/>
      <c r="AI6" s="76">
        <v>365</v>
      </c>
      <c r="AJ6" s="77"/>
      <c r="AK6" s="78">
        <v>3.0000000000000001E-3</v>
      </c>
      <c r="AL6" s="79">
        <v>1E-3</v>
      </c>
      <c r="AM6" s="80">
        <v>5.0000000000000001E-3</v>
      </c>
      <c r="AN6" s="1715" t="s">
        <v>3407</v>
      </c>
      <c r="AO6" s="52">
        <f ca="1">SUMIF(INDIRECT("'"&amp;AN6&amp;"'"&amp;"!A:A"),"总价",INDIRECT("'"&amp;AN6&amp;"'"&amp;"!B:B"))</f>
        <v>40595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4000</v>
      </c>
      <c r="M16" s="93">
        <f>SUM(M6:M14)</f>
        <v>15458</v>
      </c>
      <c r="N16" s="94">
        <f>ROUND(SUMPRODUCT(M6:M14,N6:N14)/M16,3)</f>
        <v>0.76500000000000001</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0.76500000000000001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36467</v>
      </c>
      <c r="C5" s="2512">
        <f ca="1">IF(B5=D14,结果表!H102,ROUND(B5*10000/$B$1,0))</f>
        <v>9437</v>
      </c>
      <c r="D5" s="2512">
        <f ca="1">ROUND(B5*10000/$B$2,0)</f>
        <v>16116</v>
      </c>
      <c r="E5" s="2686"/>
      <c r="F5" s="2687"/>
      <c r="G5" s="2687"/>
      <c r="H5" s="2688"/>
      <c r="I5" s="2688"/>
      <c r="J5" s="2688"/>
      <c r="K5" s="2688"/>
    </row>
    <row r="6" spans="1:11" ht="16.5">
      <c r="A6" s="2512" t="s">
        <v>656</v>
      </c>
      <c r="B6" s="2512">
        <f ca="1">SUM(G14:G23)</f>
        <v>36467</v>
      </c>
      <c r="C6" s="2512">
        <f ca="1">IF(B6=G14,结果表!H108,ROUND(B6*10000/$B$1,0))</f>
        <v>9437</v>
      </c>
      <c r="D6" s="2512">
        <f ca="1">ROUND(B6*10000/$B$2,0)</f>
        <v>16116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29810</v>
      </c>
      <c r="C8" s="2512">
        <f ca="1">IF(B8=I14,结果表!H112,ROUND(B8*10000/$B$1,0))</f>
        <v>7714</v>
      </c>
      <c r="D8" s="2512">
        <f ca="1">ROUND(B8*10000/$B$2,0)</f>
        <v>13174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36467</v>
      </c>
      <c r="E14" s="2518">
        <f ca="1">ROUND(D14*10000/B14,0)</f>
        <v>9437</v>
      </c>
      <c r="F14" s="2518">
        <f ca="1">ROUND(D14*10000/C14,0)</f>
        <v>16116</v>
      </c>
      <c r="G14" s="2518">
        <f ca="1">结果表!D122</f>
        <v>36467</v>
      </c>
      <c r="H14" s="2518"/>
      <c r="I14" s="2518">
        <f ca="1">结果表!D126</f>
        <v>29810</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3419</v>
      </c>
      <c r="D4" s="1756" t="s">
        <v>3407</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3</v>
      </c>
      <c r="D14" s="3583">
        <v>7</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70" t="s">
        <v>2131</v>
      </c>
      <c r="F18" s="3571"/>
      <c r="G18" s="3571"/>
      <c r="H18" s="3571"/>
      <c r="I18" s="3571"/>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26835</v>
      </c>
      <c r="D19" s="135">
        <f ca="1">SUMIF(INDIRECT("'"&amp;D4&amp;"'"&amp;"!A:A"),结果表!B19,INDIRECT("'"&amp;D4&amp;"'"&amp;"!B:B"))</f>
        <v>40595</v>
      </c>
      <c r="E19" s="1761" t="s">
        <v>1292</v>
      </c>
      <c r="F19" s="1762" t="s">
        <v>1291</v>
      </c>
      <c r="G19" s="136">
        <f ca="1">ROUND(C19*$C$18+D19*$D$18,0)</f>
        <v>36467</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6944</v>
      </c>
      <c r="D20" s="138">
        <f ca="1">SUMIF(INDIRECT("'"&amp;D4&amp;"'"&amp;"!A:A"),结果表!B20,INDIRECT("'"&amp;D4&amp;"'"&amp;"!B:B"))</f>
        <v>10505</v>
      </c>
      <c r="E20" s="1764"/>
      <c r="F20" s="1026" t="s">
        <v>1295</v>
      </c>
      <c r="G20" s="139">
        <f ca="1">ROUND(C20*$C$18+D20*$D$18,0)</f>
        <v>9437</v>
      </c>
      <c r="H20" s="808" t="s">
        <v>1296</v>
      </c>
      <c r="I20" s="129"/>
      <c r="J20" s="725" t="s">
        <v>3455</v>
      </c>
    </row>
    <row r="21" spans="1:36" ht="15" customHeight="1" thickBot="1">
      <c r="A21" s="828"/>
      <c r="B21" s="1765" t="s">
        <v>1297</v>
      </c>
      <c r="C21" s="719">
        <f ca="1">ROUND(C19*10000/L19,0)</f>
        <v>11859</v>
      </c>
      <c r="D21" s="720">
        <f ca="1">ROUND(D19*10000/L19,0)</f>
        <v>17940</v>
      </c>
      <c r="E21" s="828"/>
      <c r="F21" s="1765" t="s">
        <v>1297</v>
      </c>
      <c r="G21" s="140">
        <f ca="1">ROUND(G19*10000/L19,0)</f>
        <v>16116</v>
      </c>
      <c r="H21" s="1766" t="s">
        <v>1296</v>
      </c>
      <c r="I21" s="129"/>
      <c r="J21" s="3453" t="s">
        <v>3456</v>
      </c>
      <c r="K21" s="725">
        <v>37165</v>
      </c>
      <c r="L21" s="725">
        <v>9617</v>
      </c>
    </row>
    <row r="22" spans="1:36" ht="15" thickBot="1">
      <c r="A22" s="1688" t="s">
        <v>1298</v>
      </c>
      <c r="B22" s="1767"/>
      <c r="C22" s="1768"/>
      <c r="D22" s="721">
        <f ca="1">IF(C19&lt;D19,D19/C19-1,C19/D19-1)</f>
        <v>0.51276318241103036</v>
      </c>
      <c r="E22" s="129"/>
      <c r="F22" s="129"/>
      <c r="G22" s="129"/>
      <c r="H22" s="129"/>
      <c r="I22" s="129"/>
      <c r="J22" s="3453" t="s">
        <v>3457</v>
      </c>
      <c r="K22" s="725">
        <v>32954</v>
      </c>
    </row>
    <row r="23" spans="1:36" ht="13.5" thickBot="1">
      <c r="A23" s="1747"/>
      <c r="B23" s="1747"/>
      <c r="C23" s="1747"/>
      <c r="D23" s="1747"/>
      <c r="E23" s="129"/>
      <c r="F23" s="129"/>
      <c r="G23" s="129"/>
      <c r="H23" s="129"/>
      <c r="I23" s="129"/>
      <c r="K23" s="725">
        <f>K21-K22</f>
        <v>4211</v>
      </c>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36467</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14222</v>
      </c>
      <c r="D34" s="861">
        <f ca="1">IF(C33="自定义",ROUND(C34/C32,3),IF(C33="收益比率",SUMIF(INDIRECT("'"&amp;D33&amp;"'"&amp;"!b:b"),"土地收益比率",INDIRECT("'"&amp;D33&amp;"'"&amp;"!c:c")),SUMIF(INDIRECT("'"&amp;D33&amp;"'"&amp;"!b:b"),"土地成本比率",INDIRECT("'"&amp;D33&amp;"'"&amp;"!c:c"))))</f>
        <v>0.39</v>
      </c>
      <c r="E34" s="1783" t="s">
        <v>1309</v>
      </c>
      <c r="F34" s="1330"/>
      <c r="G34" s="129"/>
      <c r="H34" s="129"/>
      <c r="I34" s="129"/>
    </row>
    <row r="35" spans="1:15" ht="15.75" thickBot="1">
      <c r="A35" s="1784"/>
      <c r="B35" s="1785" t="s">
        <v>1310</v>
      </c>
      <c r="C35" s="1170">
        <f ca="1">IF(C33="自定义",F35,ROUND(C32*D35,0))</f>
        <v>22245</v>
      </c>
      <c r="D35" s="1171">
        <f ca="1">IF(C33="自定义",ROUND(C35/C32,3),IF(C33="收益比率",SUMIF(INDIRECT("'"&amp;D33&amp;"'"&amp;"!b:b"),"建筑物收益比率",INDIRECT("'"&amp;D33&amp;"'"&amp;"!c:c")),SUMIF(INDIRECT("'"&amp;D33&amp;"'"&amp;"!b:b"),"建筑物成本比率",INDIRECT("'"&amp;D33&amp;"'"&amp;"!c:c"))))</f>
        <v>0.61</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36467</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45595</v>
      </c>
      <c r="N47" s="3631"/>
      <c r="O47" s="3631"/>
    </row>
    <row r="48" spans="1:15" ht="25.5">
      <c r="A48" s="3579" t="s">
        <v>1338</v>
      </c>
      <c r="B48" s="3562"/>
      <c r="C48" s="3562"/>
      <c r="D48" s="2324">
        <f ca="1">IF(H48="情况1",0,IF(H48="情况2",D52,IF(H48="情况3",D53,IF(H48="情况4",D54))))</f>
        <v>1945</v>
      </c>
      <c r="E48" s="2334" t="str">
        <f>IF(H48="情况4","(销售额-原购置价)×税（费）率","销售额×税（费）率")</f>
        <v>销售额×税（费）率</v>
      </c>
      <c r="F48" s="2548">
        <f>IF(H48="情况1","免征",'数据-取费表'!B41)</f>
        <v>5.6000000000000001E-2</v>
      </c>
      <c r="G48" s="2549" t="s">
        <v>1339</v>
      </c>
      <c r="H48" s="2550" t="s">
        <v>3422</v>
      </c>
      <c r="I48" s="1806"/>
      <c r="J48" s="2523">
        <v>3</v>
      </c>
      <c r="K48" s="3610" t="s">
        <v>1340</v>
      </c>
      <c r="L48" s="3610"/>
      <c r="M48" s="3632">
        <f ca="1">H101</f>
        <v>36467</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36467</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1945</v>
      </c>
      <c r="E52" s="2334" t="s">
        <v>1354</v>
      </c>
      <c r="F52" s="2554">
        <f>'数据-取费表'!B41</f>
        <v>5.6000000000000001E-2</v>
      </c>
      <c r="G52" s="2555"/>
      <c r="H52" s="2544"/>
      <c r="I52" s="1807"/>
      <c r="J52" s="2523">
        <v>1</v>
      </c>
      <c r="K52" s="3611" t="s">
        <v>1355</v>
      </c>
      <c r="L52" s="3611"/>
      <c r="M52" s="2525">
        <f ca="1">D48</f>
        <v>1945</v>
      </c>
      <c r="N52" s="2523" t="str">
        <f>E48</f>
        <v>销售额×税（费）率</v>
      </c>
      <c r="O52" s="2526">
        <f>F48</f>
        <v>5.6000000000000001E-2</v>
      </c>
    </row>
    <row r="53" spans="1:35" ht="12" customHeight="1">
      <c r="A53" s="2335" t="s">
        <v>1356</v>
      </c>
      <c r="B53" s="3572" t="s">
        <v>2291</v>
      </c>
      <c r="C53" s="3573"/>
      <c r="D53" s="1087">
        <f ca="1">ROUND(D45*'数据-取费表'!B41/(1+'数据-取费表'!C42),0)</f>
        <v>1945</v>
      </c>
      <c r="E53" s="2334" t="s">
        <v>1354</v>
      </c>
      <c r="F53" s="2554">
        <f>'数据-取费表'!B41</f>
        <v>5.6000000000000001E-2</v>
      </c>
      <c r="G53" s="2555"/>
      <c r="H53" s="2544"/>
      <c r="I53" s="1807"/>
      <c r="J53" s="2523">
        <v>2</v>
      </c>
      <c r="K53" s="3611" t="s">
        <v>1357</v>
      </c>
      <c r="L53" s="3611"/>
      <c r="M53" s="2525">
        <f t="shared" ref="M53:O54" ca="1" si="0">D55</f>
        <v>18</v>
      </c>
      <c r="N53" s="2523" t="str">
        <f t="shared" si="0"/>
        <v>销售额×税（费）率</v>
      </c>
      <c r="O53" s="2526">
        <f t="shared" si="0"/>
        <v>5.0000000000000001E-4</v>
      </c>
    </row>
    <row r="54" spans="1:35" ht="12" customHeight="1">
      <c r="A54" s="2335" t="s">
        <v>1358</v>
      </c>
      <c r="B54" s="3572" t="s">
        <v>2292</v>
      </c>
      <c r="C54" s="3573"/>
      <c r="D54" s="1087">
        <f ca="1">C68</f>
        <v>1945</v>
      </c>
      <c r="E54" s="327" t="s">
        <v>1359</v>
      </c>
      <c r="F54" s="2554">
        <f>'数据-取费表'!B41</f>
        <v>5.6000000000000001E-2</v>
      </c>
      <c r="G54" s="2555"/>
      <c r="H54" s="2556"/>
      <c r="I54" s="1807"/>
      <c r="J54" s="2523">
        <v>3</v>
      </c>
      <c r="K54" s="3611" t="s">
        <v>1360</v>
      </c>
      <c r="L54" s="3611"/>
      <c r="M54" s="2525">
        <f t="shared" ca="1" si="0"/>
        <v>4694</v>
      </c>
      <c r="N54" s="2523" t="str">
        <f t="shared" si="0"/>
        <v>增值额×税（费）率</v>
      </c>
      <c r="O54" s="2527" t="str">
        <f t="shared" si="0"/>
        <v>——</v>
      </c>
      <c r="Q54" s="725">
        <f ca="1">ROUND(M49/1.05*0.05,0)</f>
        <v>1737</v>
      </c>
    </row>
    <row r="55" spans="1:35" ht="24" customHeight="1">
      <c r="A55" s="3561" t="s">
        <v>1361</v>
      </c>
      <c r="B55" s="3562"/>
      <c r="C55" s="3562"/>
      <c r="D55" s="2324">
        <f ca="1">IF(H55="个人住宅",0,ROUND(D45*I55,0))</f>
        <v>18</v>
      </c>
      <c r="E55" s="2334" t="s">
        <v>1362</v>
      </c>
      <c r="F55" s="2554">
        <f>IF(H55="正常",I55,"免征")</f>
        <v>5.0000000000000001E-4</v>
      </c>
      <c r="G55" s="2555"/>
      <c r="H55" s="2550" t="s">
        <v>3423</v>
      </c>
      <c r="I55" s="165">
        <f>'数据-取费表'!B49</f>
        <v>5.0000000000000001E-4</v>
      </c>
      <c r="J55" s="2523" t="str">
        <f>IF(H59="非个人房产","",4)</f>
        <v/>
      </c>
      <c r="K55" s="3611" t="str">
        <f>IF(H59="非个人房产","——","个人所得税")</f>
        <v>——</v>
      </c>
      <c r="L55" s="3611"/>
      <c r="M55" s="2528" t="str">
        <f>D59</f>
        <v>——</v>
      </c>
      <c r="N55" s="2040" t="str">
        <f>E59</f>
        <v>——</v>
      </c>
      <c r="O55" s="2529" t="str">
        <f>F59</f>
        <v>——</v>
      </c>
    </row>
    <row r="56" spans="1:35" ht="24.75">
      <c r="A56" s="3561" t="s">
        <v>1363</v>
      </c>
      <c r="B56" s="3562"/>
      <c r="C56" s="3562"/>
      <c r="D56" s="2324">
        <f ca="1">IF(H56="个人住宅",D57,D58)</f>
        <v>4694</v>
      </c>
      <c r="E56" s="2334" t="s">
        <v>1364</v>
      </c>
      <c r="F56" s="2554" t="str">
        <f>IF(H56="正常",F58,"免征")</f>
        <v>——</v>
      </c>
      <c r="G56" s="2557" t="s">
        <v>1365</v>
      </c>
      <c r="H56" s="2558" t="s">
        <v>3423</v>
      </c>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4</v>
      </c>
      <c r="K57" s="3611" t="s">
        <v>1367</v>
      </c>
      <c r="L57" s="2530" t="s">
        <v>1368</v>
      </c>
      <c r="M57" s="2531"/>
      <c r="N57" s="2532">
        <f ca="1">SUMIF(M52:M56,"&lt;9e307")</f>
        <v>6657</v>
      </c>
      <c r="O57" s="2533"/>
      <c r="P57" s="2690">
        <f ca="1">N57/M49</f>
        <v>0.18254860558861435</v>
      </c>
      <c r="Q57" s="725">
        <f ca="1">M52+M53+Q54</f>
        <v>3700</v>
      </c>
    </row>
    <row r="58" spans="1:35" ht="24.75">
      <c r="A58" s="2335" t="s">
        <v>1352</v>
      </c>
      <c r="B58" s="3572" t="s">
        <v>1369</v>
      </c>
      <c r="C58" s="3546"/>
      <c r="D58" s="2324">
        <f ca="1">IF(H58="转让取得",C81,C97)</f>
        <v>4694</v>
      </c>
      <c r="E58" s="2334" t="s">
        <v>1364</v>
      </c>
      <c r="F58" s="302" t="s">
        <v>28</v>
      </c>
      <c r="G58" s="2555"/>
      <c r="H58" s="2558" t="s">
        <v>3424</v>
      </c>
      <c r="I58" s="1808"/>
      <c r="J58" s="3611"/>
      <c r="K58" s="3611"/>
      <c r="L58" s="2530" t="s">
        <v>1370</v>
      </c>
      <c r="M58" s="2534"/>
      <c r="N58" s="2535" t="str">
        <f ca="1">NUMBERSTRING(INT(N57*10000),2)&amp;"元整"</f>
        <v>陆仟陆佰伍拾柒万元整</v>
      </c>
      <c r="O58" s="2536"/>
    </row>
    <row r="59" spans="1:35" ht="24.75" thickBot="1">
      <c r="A59" s="3614" t="s">
        <v>1371</v>
      </c>
      <c r="B59" s="3615"/>
      <c r="C59" s="361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612">
        <f>J57+1</f>
        <v>5</v>
      </c>
      <c r="K59" s="3611" t="s">
        <v>1372</v>
      </c>
      <c r="L59" s="2523" t="s">
        <v>1368</v>
      </c>
      <c r="M59" s="2537"/>
      <c r="N59" s="2538">
        <f ca="1">M49-N57</f>
        <v>29810</v>
      </c>
      <c r="O59" s="2539"/>
      <c r="Q59" s="725">
        <f ca="1">M49-Q57</f>
        <v>32767</v>
      </c>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贰亿玖仟捌佰壹拾万元整</v>
      </c>
      <c r="O60" s="2536"/>
      <c r="Q60" s="3796" t="str">
        <f ca="1">NUMBERSTRING(INT(Q59*10000),2)&amp;"元整"</f>
        <v>叁亿贰仟柒佰陆拾柒万元整</v>
      </c>
    </row>
    <row r="61" spans="1:35" ht="13.5" thickBot="1">
      <c r="A61" s="3559" t="s">
        <v>1373</v>
      </c>
      <c r="B61" s="3559"/>
      <c r="C61" s="3559"/>
      <c r="D61" s="3559"/>
      <c r="E61" s="3559"/>
      <c r="F61" s="1808"/>
      <c r="G61" s="1808"/>
      <c r="H61" s="1810"/>
      <c r="I61" s="129"/>
      <c r="J61" s="2523">
        <f>J59+1</f>
        <v>6</v>
      </c>
      <c r="K61" s="3611" t="s">
        <v>1374</v>
      </c>
      <c r="L61" s="3611"/>
      <c r="M61" s="2540"/>
      <c r="N61" s="2541">
        <f ca="1">ROUND(N59*10000/'数据-汇总表'!E3,0)</f>
        <v>7714</v>
      </c>
      <c r="O61" s="2542"/>
      <c r="Q61" s="3797">
        <f ca="1">ROUND(Q59*10000/'数据-汇总表'!E3,0)</f>
        <v>8479</v>
      </c>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34730</v>
      </c>
      <c r="D63" s="167"/>
      <c r="E63" s="168"/>
      <c r="F63" s="1808"/>
      <c r="G63" s="1808"/>
      <c r="H63" s="1810"/>
      <c r="I63" s="129"/>
      <c r="J63" s="3636" t="s">
        <v>1379</v>
      </c>
      <c r="K63" s="1332" t="s">
        <v>1380</v>
      </c>
      <c r="L63" s="1332">
        <f ca="1">IF(M49&gt;10000,M49*0.5%,IF(AND(M49&gt;1000,M49&lt;=10000),M49*1%,IF(AND(M49&gt;100,M49&lt;=1000),M49*3%,IF(AND(M49&gt;10,M49&lt;=100),M49*5%,M49*8%))))</f>
        <v>182.33500000000001</v>
      </c>
      <c r="M63" s="302">
        <f ca="1">ROUND(L63,1)</f>
        <v>182.3</v>
      </c>
      <c r="N63" s="2543"/>
      <c r="Z63" s="1752"/>
      <c r="AI63" s="1753"/>
    </row>
    <row r="64" spans="1:35" ht="14.25" customHeight="1">
      <c r="A64" s="169" t="s">
        <v>325</v>
      </c>
      <c r="B64" s="170" t="s">
        <v>1381</v>
      </c>
      <c r="C64" s="2565">
        <f ca="1">D45</f>
        <v>36467</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182.33500000000001</v>
      </c>
      <c r="M64" s="302">
        <f t="shared" ref="M64:M65" ca="1" si="1">ROUND(L64,1)</f>
        <v>182.3</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36.466999999999999</v>
      </c>
      <c r="M65" s="302">
        <f t="shared" ca="1" si="1"/>
        <v>36.5</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182.33500000000001</v>
      </c>
      <c r="M66" s="302">
        <f ca="1">IF(L66&gt;0.5,0.5,ROUND(L66,0))</f>
        <v>0.5</v>
      </c>
      <c r="N66" s="2544" t="s">
        <v>1388</v>
      </c>
      <c r="Z66" s="1752"/>
      <c r="AI66" s="1753"/>
    </row>
    <row r="67" spans="1:35" ht="14.25" customHeight="1">
      <c r="A67" s="173" t="s">
        <v>328</v>
      </c>
      <c r="B67" s="174" t="s">
        <v>1389</v>
      </c>
      <c r="C67" s="2568">
        <f ca="1">C63-C66</f>
        <v>34730</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10.896699999999999</v>
      </c>
      <c r="M67" s="302">
        <f ca="1">ROUND(L67*0.9,1)</f>
        <v>9.8000000000000007</v>
      </c>
      <c r="N67" s="2543"/>
      <c r="Z67" s="1752"/>
      <c r="AI67" s="1753"/>
    </row>
    <row r="68" spans="1:35" ht="14.25" customHeight="1" thickBot="1">
      <c r="A68" s="176" t="s">
        <v>329</v>
      </c>
      <c r="B68" s="177" t="s">
        <v>1391</v>
      </c>
      <c r="C68" s="2569">
        <f ca="1">IF(C67&lt;=0,0,ROUND(C67*D68,0))</f>
        <v>1945</v>
      </c>
      <c r="D68" s="2570">
        <f>'数据-取费表'!B41</f>
        <v>5.6000000000000001E-2</v>
      </c>
      <c r="E68" s="178"/>
      <c r="F68" s="1808"/>
      <c r="G68" s="1808"/>
      <c r="H68" s="1810"/>
      <c r="I68" s="129"/>
      <c r="J68" s="3636"/>
      <c r="K68" s="1332" t="s">
        <v>1392</v>
      </c>
      <c r="L68" s="1332">
        <f ca="1">IF(M49&gt;10000,M49*0.5%,IF(AND(M49&gt;5000,M49&lt;=10000),M49*1%,IF(AND(M49&gt;1000,M49&lt;=5000),M49*2%,IF(AND(M49&gt;200,M49&lt;=1000),M49*3%,M49*5%))))</f>
        <v>182.33500000000001</v>
      </c>
      <c r="M68" s="302">
        <f ca="1">ROUND(L68,1)</f>
        <v>182.3</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594</v>
      </c>
      <c r="N69" s="2545">
        <f ca="1">M69/M49</f>
        <v>1.628869937203499E-2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34730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208</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34522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165.97115384615384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20640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34730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20439.9064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17468</v>
      </c>
      <c r="D91" s="2577"/>
      <c r="E91" s="3556" t="s">
        <v>1419</v>
      </c>
      <c r="F91" s="3557"/>
      <c r="G91" s="3557"/>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1839</v>
      </c>
      <c r="D92" s="2583">
        <v>0.1</v>
      </c>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208</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14290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0.69912257523840715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4694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v>
      </c>
      <c r="D101" s="2586" t="str">
        <f>D4</f>
        <v>收益法</v>
      </c>
      <c r="E101" s="3633" t="s">
        <v>1431</v>
      </c>
      <c r="F101" s="3590"/>
      <c r="G101" s="1827" t="s">
        <v>1432</v>
      </c>
      <c r="H101" s="2595">
        <f ca="1">H118</f>
        <v>36467</v>
      </c>
      <c r="I101" s="129"/>
    </row>
    <row r="102" spans="1:35" ht="18.75" customHeight="1">
      <c r="A102" s="3592" t="s">
        <v>1433</v>
      </c>
      <c r="B102" s="2584" t="s">
        <v>1432</v>
      </c>
      <c r="C102" s="2585">
        <f ca="1">IF(D32="楼面单价",ROUND(C19,0),C19)</f>
        <v>26835</v>
      </c>
      <c r="D102" s="2586">
        <f ca="1">IF(D32="楼面单价",ROUND(D19,0),D19)</f>
        <v>40595</v>
      </c>
      <c r="E102" s="3633"/>
      <c r="F102" s="3590"/>
      <c r="G102" s="1827" t="s">
        <v>1434</v>
      </c>
      <c r="H102" s="2555">
        <f ca="1">I118</f>
        <v>9437</v>
      </c>
      <c r="I102" s="129"/>
    </row>
    <row r="103" spans="1:35" ht="42.75" customHeight="1">
      <c r="A103" s="3592"/>
      <c r="B103" s="2584" t="s">
        <v>1434</v>
      </c>
      <c r="C103" s="2587">
        <f ca="1">C20</f>
        <v>6944</v>
      </c>
      <c r="D103" s="2588">
        <f ca="1">D20</f>
        <v>10505</v>
      </c>
      <c r="E103" s="3627" t="s">
        <v>1435</v>
      </c>
      <c r="F103" s="3628"/>
      <c r="G103" s="1828" t="s">
        <v>1436</v>
      </c>
      <c r="H103" s="2595">
        <f>IF(D36="正常操作",H104+H105+H106,H105+H106)</f>
        <v>0</v>
      </c>
      <c r="I103" s="129"/>
    </row>
    <row r="104" spans="1:35" ht="18.75" customHeight="1">
      <c r="A104" s="3592" t="s">
        <v>1437</v>
      </c>
      <c r="B104" s="2589" t="s">
        <v>1432</v>
      </c>
      <c r="C104" s="2590">
        <f ca="1">H118</f>
        <v>36467</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9437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36467</v>
      </c>
      <c r="I107" s="129"/>
    </row>
    <row r="108" spans="1:35" ht="18.75" customHeight="1">
      <c r="A108" s="129"/>
      <c r="B108" s="129"/>
      <c r="C108" s="129"/>
      <c r="D108" s="129"/>
      <c r="E108" s="3589"/>
      <c r="F108" s="3590"/>
      <c r="G108" s="1827" t="s">
        <v>1434</v>
      </c>
      <c r="H108" s="2555">
        <f ca="1">IF(H107=H101,H102,ROUND(H107*10000/'数据-汇总表'!E3,0))</f>
        <v>9437</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4.抵押净值</v>
      </c>
      <c r="F111" s="3591"/>
      <c r="G111" s="1827" t="s">
        <v>1432</v>
      </c>
      <c r="H111" s="2595">
        <f ca="1">IF(E111="——","——",N59)</f>
        <v>29810</v>
      </c>
      <c r="I111" s="129"/>
    </row>
    <row r="112" spans="1:35" ht="18.75" customHeight="1" thickBot="1">
      <c r="A112" s="129"/>
      <c r="B112" s="129"/>
      <c r="C112" s="129"/>
      <c r="D112" s="129"/>
      <c r="E112" s="3622"/>
      <c r="F112" s="3623"/>
      <c r="G112" s="1830" t="s">
        <v>1434</v>
      </c>
      <c r="H112" s="2599">
        <f ca="1">IF(E111="——","——",N61)</f>
        <v>7714</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14222</v>
      </c>
      <c r="E118" s="2329">
        <f ca="1">ROUND(IF(C33="自定义",IF(D32="楼面单价",C34,D118*10000/B118),I118-G118),0)</f>
        <v>3681</v>
      </c>
      <c r="F118" s="2329">
        <f ca="1">ROUND(IF(D32="总价",C35,G118*B118/10000),0)</f>
        <v>22245</v>
      </c>
      <c r="G118" s="2329">
        <f ca="1">ROUND(IF(D32="楼面单价",C35,F118*10000/B118),0)</f>
        <v>5756</v>
      </c>
      <c r="H118" s="2329">
        <f ca="1">ROUND(IF(D32="总价",C32,I118*B118/10000),0)</f>
        <v>36467</v>
      </c>
      <c r="I118" s="2329">
        <f ca="1">ROUND(IF(D32="楼面单价",C32,H118*10000/B118),0)</f>
        <v>9437</v>
      </c>
    </row>
    <row r="119" spans="1:27" ht="18.75" customHeight="1">
      <c r="A119" s="3560" t="s">
        <v>1452</v>
      </c>
      <c r="B119" s="3560"/>
      <c r="C119" s="3560"/>
      <c r="D119" s="3600" t="str">
        <f ca="1">NUMBERSTRING(INT(D118*10000),2)&amp;"元整"</f>
        <v>壹亿肆仟贰佰贰拾贰万元整</v>
      </c>
      <c r="E119" s="3602"/>
      <c r="F119" s="3600" t="str">
        <f ca="1">NUMBERSTRING(INT(F118*10000),2)&amp;"元整"</f>
        <v>贰亿贰仟贰佰肆拾伍万元整</v>
      </c>
      <c r="G119" s="3602"/>
      <c r="H119" s="3600" t="str">
        <f ca="1">NUMBERSTRING(INT(H118*10000),2)&amp;"元整"</f>
        <v>叁亿陆仟肆佰陆拾柒万元整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36467</v>
      </c>
      <c r="E122" s="3625"/>
      <c r="F122" s="3625"/>
      <c r="G122" s="3625"/>
      <c r="H122" s="3625"/>
      <c r="I122" s="3626"/>
      <c r="AA122" s="725"/>
    </row>
    <row r="123" spans="1:27" ht="18.75" customHeight="1">
      <c r="A123" s="3560" t="s">
        <v>1452</v>
      </c>
      <c r="B123" s="3560"/>
      <c r="C123" s="3560"/>
      <c r="D123" s="3600" t="str">
        <f ca="1">NUMBERSTRING(INT(D122*10000),2)&amp;"元整"</f>
        <v>叁亿陆仟肆佰陆拾柒万元整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抵押净值</v>
      </c>
      <c r="B126" s="3591"/>
      <c r="C126" s="3591"/>
      <c r="D126" s="3624">
        <f ca="1">H111</f>
        <v>29810</v>
      </c>
      <c r="E126" s="3625"/>
      <c r="F126" s="3625"/>
      <c r="G126" s="3625"/>
      <c r="H126" s="3625"/>
      <c r="I126" s="3626"/>
      <c r="AA126" s="725"/>
    </row>
    <row r="127" spans="1:27" ht="18.75" customHeight="1">
      <c r="A127" s="3560" t="s">
        <v>1452</v>
      </c>
      <c r="B127" s="3560"/>
      <c r="C127" s="3560"/>
      <c r="D127" s="3600" t="str">
        <f ca="1">NUMBERSTRING(INT(D126*10000),2)&amp;"元整"</f>
        <v>贰亿玖仟捌佰壹拾万元整</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26835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8296</v>
      </c>
      <c r="D5" s="211" t="s">
        <v>1469</v>
      </c>
      <c r="E5" s="212" t="s">
        <v>1470</v>
      </c>
      <c r="F5" s="212" t="s">
        <v>1471</v>
      </c>
      <c r="G5" s="213"/>
    </row>
    <row r="6" spans="1:9" s="214" customFormat="1" ht="13.5" customHeight="1">
      <c r="A6" s="778" t="s">
        <v>1472</v>
      </c>
      <c r="B6" s="215" t="s">
        <v>1473</v>
      </c>
      <c r="C6" s="216">
        <f>基准地价修正!B2</f>
        <v>7300</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527</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17468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15458</v>
      </c>
      <c r="D34" s="217"/>
      <c r="E34" s="220"/>
      <c r="F34" s="257">
        <f ca="1">IF('数据-取费表'!B24=0,1,IF(B1="",'数据-取费表'!N16,INDIRECT("'数据-取费表'!n"&amp;$G$1)))</f>
        <v>1</v>
      </c>
      <c r="G34" s="219" t="s">
        <v>1526</v>
      </c>
    </row>
    <row r="35" spans="1:7" ht="13.5" customHeight="1">
      <c r="A35" s="780" t="s">
        <v>351</v>
      </c>
      <c r="B35" s="215" t="s">
        <v>1527</v>
      </c>
      <c r="C35" s="220">
        <f ca="1">ROUND(C34*F35,0)</f>
        <v>773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464</v>
      </c>
      <c r="D38" s="220"/>
      <c r="E38" s="220"/>
      <c r="F38" s="259">
        <f>'数据-取费表'!B36</f>
        <v>0.03</v>
      </c>
      <c r="G38" s="219" t="s">
        <v>1528</v>
      </c>
    </row>
    <row r="39" spans="1:7" s="214" customFormat="1" ht="13.5" customHeight="1">
      <c r="A39" s="255" t="s">
        <v>1534</v>
      </c>
      <c r="B39" s="210" t="s">
        <v>1535</v>
      </c>
      <c r="C39" s="232">
        <f ca="1">ROUND(C33*F20,0)</f>
        <v>349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542</v>
      </c>
      <c r="D42" s="238"/>
      <c r="E42" s="238"/>
      <c r="F42" s="239"/>
      <c r="G42" s="3640" t="s">
        <v>1544</v>
      </c>
    </row>
    <row r="43" spans="1:7" ht="13.5" customHeight="1">
      <c r="A43" s="780" t="s">
        <v>347</v>
      </c>
      <c r="B43" s="215" t="s">
        <v>1545</v>
      </c>
      <c r="C43" s="238">
        <f ca="1">ROUND(IF('数据-取费表'!B22&lt;=1,C39*F22*'数据-取费表'!B21/2,C39*(POWER((1+F22),'数据-取费表'!B21/2)-1)),0)</f>
        <v>11</v>
      </c>
      <c r="D43" s="238"/>
      <c r="E43" s="238"/>
      <c r="F43" s="239"/>
      <c r="G43" s="3641"/>
    </row>
    <row r="44" spans="1:7" ht="13.5" customHeight="1">
      <c r="A44" s="780" t="s">
        <v>348</v>
      </c>
      <c r="B44" s="215" t="s">
        <v>1546</v>
      </c>
      <c r="C44" s="238">
        <f ca="1">ROUND(IF('数据-取费表'!B22&lt;=1,C40*F22*'数据-取费表'!B21/2,C40*(POWER((1+F22),'数据-取费表'!B21/2)-1)),4)</f>
        <v>5.9999999999999995E-4</v>
      </c>
      <c r="D44" s="238"/>
      <c r="E44" s="238"/>
      <c r="F44" s="239"/>
      <c r="G44" s="3642"/>
    </row>
    <row r="45" spans="1:7" s="214" customFormat="1" ht="13.5" customHeight="1">
      <c r="A45" s="255" t="s">
        <v>1547</v>
      </c>
      <c r="B45" s="244" t="s">
        <v>1513</v>
      </c>
      <c r="C45" s="245">
        <f ca="1">C46</f>
        <v>1425</v>
      </c>
      <c r="D45" s="235">
        <f ca="1">C47</f>
        <v>1.6000000000000001E-3</v>
      </c>
      <c r="E45" s="236" t="s">
        <v>1539</v>
      </c>
      <c r="F45" s="246">
        <f ca="1">F27</f>
        <v>0.08</v>
      </c>
      <c r="G45" s="247" t="s">
        <v>1548</v>
      </c>
    </row>
    <row r="46" spans="1:7" s="214" customFormat="1" ht="13.5" customHeight="1">
      <c r="A46" s="780" t="s">
        <v>346</v>
      </c>
      <c r="B46" s="248" t="s">
        <v>1549</v>
      </c>
      <c r="C46" s="249">
        <f ca="1">ROUND((C33+C39)*F27,0)</f>
        <v>1425</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21412</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16380</v>
      </c>
      <c r="D51" s="232"/>
      <c r="E51" s="232"/>
      <c r="F51" s="264"/>
      <c r="G51" s="234" t="s">
        <v>1560</v>
      </c>
    </row>
    <row r="52" spans="1:7" s="208" customFormat="1" ht="16.5" thickBot="1">
      <c r="A52" s="265" t="s">
        <v>1561</v>
      </c>
      <c r="B52" s="266"/>
      <c r="C52" s="267">
        <f ca="1">C31+C51</f>
        <v>26835</v>
      </c>
      <c r="D52" s="266"/>
      <c r="E52" s="266"/>
      <c r="F52" s="266"/>
      <c r="G52" s="268"/>
    </row>
    <row r="55" spans="1:7" ht="15">
      <c r="B55" s="270" t="s">
        <v>1562</v>
      </c>
      <c r="C55" s="271"/>
    </row>
    <row r="56" spans="1:7">
      <c r="B56" s="273" t="s">
        <v>802</v>
      </c>
      <c r="C56" s="275">
        <f ca="1">1-C57</f>
        <v>0.39</v>
      </c>
    </row>
    <row r="57" spans="1:7">
      <c r="B57" s="273" t="s">
        <v>803</v>
      </c>
      <c r="C57" s="274">
        <f ca="1">ROUND(C51/C52,3)</f>
        <v>0.61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18327.3004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174671377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154576440</v>
      </c>
      <c r="D34" s="217"/>
      <c r="E34" s="220"/>
      <c r="F34" s="257"/>
      <c r="G34" s="219"/>
    </row>
    <row r="35" spans="1:7" ht="13.5" customHeight="1">
      <c r="A35" s="780" t="s">
        <v>351</v>
      </c>
      <c r="B35" s="215" t="s">
        <v>1527</v>
      </c>
      <c r="C35" s="220">
        <f ca="1">ROUND(C34*F35,0)</f>
        <v>7728822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4637293</v>
      </c>
      <c r="D38" s="220"/>
      <c r="E38" s="220"/>
      <c r="F38" s="259">
        <f>'数据-取费表'!B36</f>
        <v>0.03</v>
      </c>
      <c r="G38" s="219" t="s">
        <v>1528</v>
      </c>
    </row>
    <row r="39" spans="1:7" s="214" customFormat="1" ht="13.5" customHeight="1">
      <c r="A39" s="255" t="s">
        <v>1534</v>
      </c>
      <c r="B39" s="210" t="s">
        <v>1535</v>
      </c>
      <c r="C39" s="232">
        <f ca="1">ROUND(C33*F20,0)</f>
        <v>3493428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5523109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5414813</v>
      </c>
      <c r="D42" s="238"/>
      <c r="E42" s="238"/>
      <c r="F42" s="239"/>
      <c r="G42" s="3640" t="s">
        <v>1591</v>
      </c>
    </row>
    <row r="43" spans="1:7" ht="13.5" customHeight="1">
      <c r="A43" s="780" t="s">
        <v>347</v>
      </c>
      <c r="B43" s="215" t="s">
        <v>1545</v>
      </c>
      <c r="C43" s="238">
        <f ca="1">ROUND(IF('数据-取费表'!B22&lt;=1,C39*F22*'数据-取费表'!B20/2,C39*(POWER((1+F22),'数据-取费表'!B20/2)-1)),0)</f>
        <v>108296</v>
      </c>
      <c r="D43" s="238"/>
      <c r="E43" s="238"/>
      <c r="F43" s="239"/>
      <c r="G43" s="3641"/>
    </row>
    <row r="44" spans="1:7" ht="13.5" customHeight="1">
      <c r="A44" s="780" t="s">
        <v>348</v>
      </c>
      <c r="B44" s="215" t="s">
        <v>1546</v>
      </c>
      <c r="C44" s="238">
        <f ca="1">ROUND(IF('数据-取费表'!B22&lt;=1,C40*F22*'数据-取费表'!B20/2,C40*(POWER((1+F22),'数据-取费表'!B20/2)-1)),4)</f>
        <v>5.9999999999999995E-4</v>
      </c>
      <c r="D44" s="238"/>
      <c r="E44" s="238"/>
      <c r="F44" s="239"/>
      <c r="G44" s="3642"/>
    </row>
    <row r="45" spans="1:7" s="214" customFormat="1" ht="13.5" customHeight="1">
      <c r="A45" s="255" t="s">
        <v>1547</v>
      </c>
      <c r="B45" s="244" t="s">
        <v>1513</v>
      </c>
      <c r="C45" s="245">
        <f ca="1">C46</f>
        <v>14253184</v>
      </c>
      <c r="D45" s="235">
        <f ca="1">C47</f>
        <v>1.6000000000000001E-3</v>
      </c>
      <c r="E45" s="236" t="s">
        <v>1539</v>
      </c>
      <c r="F45" s="246">
        <f ca="1">F27</f>
        <v>0.08</v>
      </c>
      <c r="G45" s="247" t="s">
        <v>1548</v>
      </c>
    </row>
    <row r="46" spans="1:7" s="214" customFormat="1" ht="13.5" customHeight="1">
      <c r="A46" s="780" t="s">
        <v>346</v>
      </c>
      <c r="B46" s="248" t="s">
        <v>1549</v>
      </c>
      <c r="C46" s="249">
        <f ca="1">ROUND((C33+C39)*F27,0)</f>
        <v>14253184</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214106109</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163791173</v>
      </c>
      <c r="D51" s="232"/>
      <c r="E51" s="232"/>
      <c r="F51" s="264"/>
      <c r="G51" s="234" t="s">
        <v>1560</v>
      </c>
    </row>
    <row r="52" spans="1:7" s="208" customFormat="1" ht="16.5" thickBot="1">
      <c r="A52" s="265" t="s">
        <v>1561</v>
      </c>
      <c r="B52" s="266"/>
      <c r="C52" s="267">
        <f ca="1">C31+C51</f>
        <v>183273004</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40595</v>
      </c>
      <c r="C2" s="1387" t="s">
        <v>805</v>
      </c>
      <c r="D2" s="1387"/>
      <c r="E2" s="1388"/>
      <c r="F2" s="1389"/>
      <c r="G2" s="2706"/>
      <c r="H2" s="2695"/>
      <c r="I2" s="2695"/>
      <c r="J2" s="2695"/>
      <c r="K2" s="2696"/>
      <c r="L2" s="2695"/>
      <c r="M2" s="2695"/>
    </row>
    <row r="3" spans="1:37" ht="18" customHeight="1" thickBot="1">
      <c r="A3" s="1390" t="s">
        <v>806</v>
      </c>
      <c r="B3" s="1391">
        <f ca="1">IF(ISERROR(B2*10000/F43),0,ROUND(B2*10000/F43,0))</f>
        <v>10505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2796</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2793</v>
      </c>
      <c r="D6" s="155" t="s">
        <v>2109</v>
      </c>
      <c r="E6" s="302" t="s">
        <v>696</v>
      </c>
      <c r="F6" s="303">
        <f ca="1">INDIRECT("'数据-取费表'!u"&amp;$G$1)</f>
        <v>2.2000000000000002</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38644.11</v>
      </c>
      <c r="G7" s="1384"/>
      <c r="H7" s="304"/>
      <c r="I7" s="3646"/>
      <c r="J7" s="306"/>
      <c r="K7" s="307"/>
      <c r="L7" s="302" t="s">
        <v>697</v>
      </c>
      <c r="M7" s="303">
        <f ca="1">F7</f>
        <v>38644.11</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16380</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15458</v>
      </c>
      <c r="D14" s="1345" t="s">
        <v>708</v>
      </c>
      <c r="E14" s="1342"/>
      <c r="F14" s="319"/>
      <c r="G14" s="1384"/>
      <c r="H14" s="982" t="s">
        <v>398</v>
      </c>
      <c r="I14" s="302" t="s">
        <v>709</v>
      </c>
      <c r="J14" s="21">
        <f ca="1">C29</f>
        <v>21412</v>
      </c>
      <c r="K14" s="12"/>
      <c r="L14" s="807"/>
      <c r="M14" s="808"/>
    </row>
    <row r="15" spans="1:37" s="1397" customFormat="1" ht="18" customHeight="1" thickBot="1">
      <c r="A15" s="982" t="s">
        <v>399</v>
      </c>
      <c r="B15" s="302" t="s">
        <v>710</v>
      </c>
      <c r="C15" s="21">
        <f ca="1">ROUND(C14*F15,0)</f>
        <v>773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68</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464</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17468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64.239999999999995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-68</v>
      </c>
      <c r="K25" s="1095" t="s">
        <v>753</v>
      </c>
      <c r="L25" s="1096"/>
      <c r="M25" s="1097"/>
    </row>
    <row r="26" spans="1:37">
      <c r="A26" s="982" t="s">
        <v>397</v>
      </c>
      <c r="B26" s="302" t="s">
        <v>754</v>
      </c>
      <c r="C26" s="21">
        <f ca="1">ROUND((C19+C20)*F26,0)</f>
        <v>1425</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21412</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471.55</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148.96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319.2</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64.239999999999995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16.38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2230</v>
      </c>
      <c r="D39" s="1095" t="s">
        <v>773</v>
      </c>
      <c r="E39" s="1096"/>
      <c r="F39" s="1097"/>
      <c r="G39" s="1384"/>
      <c r="H39" s="2700">
        <f ca="1">C39/C6</f>
        <v>0.79842463301109923</v>
      </c>
      <c r="I39" s="1398"/>
      <c r="J39" s="1399"/>
      <c r="K39" s="2704"/>
      <c r="L39" s="2700"/>
      <c r="M39" s="2700"/>
    </row>
    <row r="40" spans="1:18" ht="18" customHeight="1">
      <c r="A40" s="299" t="s">
        <v>395</v>
      </c>
      <c r="B40" s="300" t="s">
        <v>774</v>
      </c>
      <c r="C40" s="301">
        <f ca="1">ROUND(C39*(1-((1+F42)/(1+F40))^F41)/(F40-F42),0)</f>
        <v>39520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10227</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-40719</v>
      </c>
      <c r="D46" s="1406" t="str">
        <f>C2</f>
        <v>万元</v>
      </c>
      <c r="E46" s="1400"/>
      <c r="F46" s="1400"/>
      <c r="I46" s="1407" t="s">
        <v>810</v>
      </c>
      <c r="J46" s="1408"/>
      <c r="K46" s="1409"/>
      <c r="L46" s="1410">
        <f ca="1">IF(M47="住宅",0,IF(L48&gt;J51,L60,J60))</f>
        <v>1075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39520</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21412</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18876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3" t="s">
        <v>837</v>
      </c>
      <c r="L53" s="3644"/>
      <c r="O53" s="1418" t="s">
        <v>409</v>
      </c>
      <c r="P53" s="1419" t="s">
        <v>838</v>
      </c>
      <c r="Q53" s="1420">
        <f ca="1">Q47+Q48</f>
        <v>40595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16380</v>
      </c>
      <c r="D56" s="1447"/>
      <c r="E56" s="1448"/>
      <c r="F56" s="1440"/>
      <c r="I56" s="1449" t="s">
        <v>842</v>
      </c>
      <c r="J56" s="1450" t="s">
        <v>3411</v>
      </c>
      <c r="K56" s="1421" t="s">
        <v>843</v>
      </c>
      <c r="L56" s="1424" t="str">
        <f ca="1">IF(L48&lt;J51,"——",L48-J53)</f>
        <v>——</v>
      </c>
      <c r="O56" s="1418" t="s">
        <v>403</v>
      </c>
      <c r="P56" s="1419" t="s">
        <v>817</v>
      </c>
      <c r="Q56" s="1420">
        <f ca="1">C40+J29</f>
        <v>39520</v>
      </c>
      <c r="R56" s="1420" t="s">
        <v>818</v>
      </c>
    </row>
    <row r="57" spans="1:18" s="1384" customFormat="1" ht="24.75" thickBot="1">
      <c r="A57" s="1451"/>
      <c r="B57" s="950" t="s">
        <v>767</v>
      </c>
      <c r="C57" s="238">
        <f ca="1">C29</f>
        <v>21412</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8565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39520</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64.239999999999995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16.38</v>
      </c>
      <c r="D65" s="964" t="s">
        <v>743</v>
      </c>
      <c r="E65" s="950" t="s">
        <v>744</v>
      </c>
      <c r="F65" s="330">
        <f t="shared" ca="1" si="0"/>
        <v>1E-3</v>
      </c>
      <c r="I65" s="1462" t="s">
        <v>867</v>
      </c>
      <c r="J65" s="1463">
        <v>40</v>
      </c>
      <c r="K65" s="1463">
        <v>30</v>
      </c>
      <c r="L65" s="1463">
        <v>50</v>
      </c>
      <c r="M65" s="1465">
        <v>0.02</v>
      </c>
      <c r="O65" s="1418" t="s">
        <v>403</v>
      </c>
      <c r="P65" s="1419" t="s">
        <v>868</v>
      </c>
      <c r="Q65" s="1420">
        <f ca="1">C40+J29</f>
        <v>39520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-84</v>
      </c>
      <c r="D67" s="963" t="s">
        <v>753</v>
      </c>
      <c r="E67" s="968"/>
      <c r="F67" s="969"/>
      <c r="O67" s="1428" t="s">
        <v>405</v>
      </c>
      <c r="P67" s="1419" t="s">
        <v>850</v>
      </c>
      <c r="Q67" s="1466">
        <f ca="1">L51</f>
        <v>18876</v>
      </c>
      <c r="R67" s="1420" t="s">
        <v>870</v>
      </c>
    </row>
    <row r="68" spans="1:18" s="1384" customFormat="1" ht="16.5" thickBot="1">
      <c r="A68" s="947" t="s">
        <v>395</v>
      </c>
      <c r="B68" s="948" t="s">
        <v>774</v>
      </c>
      <c r="C68" s="301">
        <f ca="1">ROUND(C67*(1-((1+F70)/(1+F68))^F69)/(F68-F70),0)</f>
        <v>-1199</v>
      </c>
      <c r="D68" s="965" t="s">
        <v>758</v>
      </c>
      <c r="E68" s="950" t="s">
        <v>759</v>
      </c>
      <c r="F68" s="312">
        <f ca="1">F40</f>
        <v>5.5E-2</v>
      </c>
      <c r="O68" s="1428" t="s">
        <v>406</v>
      </c>
      <c r="P68" s="1467" t="s">
        <v>871</v>
      </c>
      <c r="Q68" s="1420">
        <f ca="1">ROUND(Q69-Q70*Q71,0)</f>
        <v>1083</v>
      </c>
      <c r="R68" s="1420" t="s">
        <v>414</v>
      </c>
    </row>
    <row r="69" spans="1:18" s="1384" customFormat="1" ht="13.5" thickBot="1">
      <c r="A69" s="951"/>
      <c r="B69" s="952"/>
      <c r="C69" s="306"/>
      <c r="D69" s="970" t="s">
        <v>762</v>
      </c>
      <c r="E69" s="950" t="s">
        <v>763</v>
      </c>
      <c r="F69" s="333">
        <f ca="1">F41</f>
        <v>28.7</v>
      </c>
      <c r="O69" s="1428" t="s">
        <v>411</v>
      </c>
      <c r="P69" s="1467" t="s">
        <v>872</v>
      </c>
      <c r="Q69" s="1420">
        <f ca="1">C39</f>
        <v>2230</v>
      </c>
      <c r="R69" s="1420" t="s">
        <v>818</v>
      </c>
    </row>
    <row r="70" spans="1:18" s="1384" customFormat="1" ht="13.5" thickBot="1">
      <c r="A70" s="954"/>
      <c r="B70" s="955"/>
      <c r="C70" s="310"/>
      <c r="D70" s="966"/>
      <c r="E70" s="950" t="s">
        <v>766</v>
      </c>
      <c r="F70" s="1054"/>
      <c r="O70" s="1428" t="s">
        <v>412</v>
      </c>
      <c r="P70" s="1467" t="s">
        <v>873</v>
      </c>
      <c r="Q70" s="1420">
        <f ca="1">C13</f>
        <v>16380</v>
      </c>
      <c r="R70" s="1420" t="s">
        <v>818</v>
      </c>
    </row>
    <row r="71" spans="1:18" s="1384" customFormat="1" ht="13.5" thickBot="1">
      <c r="A71" s="971" t="s">
        <v>396</v>
      </c>
      <c r="B71" s="972" t="s">
        <v>776</v>
      </c>
      <c r="C71" s="336">
        <f ca="1">ROUND(C68*10000/F71,0)</f>
        <v>-310</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1147</v>
      </c>
      <c r="D75" s="1384"/>
      <c r="E75" s="1384"/>
      <c r="F75" s="1384"/>
      <c r="K75" s="1402"/>
      <c r="L75" s="1384"/>
      <c r="O75" s="1418" t="s">
        <v>409</v>
      </c>
      <c r="P75" s="1419" t="s">
        <v>838</v>
      </c>
      <c r="Q75" s="1420">
        <f ca="1">Q65+Q66</f>
        <v>39520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0.58600000000000008</v>
      </c>
    </row>
    <row r="83" spans="2:3">
      <c r="B83" s="273" t="s">
        <v>803</v>
      </c>
      <c r="C83" s="274">
        <f ca="1">ROUND(C13/C40,3)</f>
        <v>0.41399999999999998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4" t="s">
        <v>2319</v>
      </c>
      <c r="K2" s="3655"/>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6" t="s">
        <v>2329</v>
      </c>
      <c r="K3" s="3657"/>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6" t="s">
        <v>2331</v>
      </c>
      <c r="K4" s="3657"/>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2" t="s">
        <v>2335</v>
      </c>
      <c r="B6" s="3663"/>
      <c r="C6" s="3664"/>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5" t="s">
        <v>2349</v>
      </c>
      <c r="C8" s="3666"/>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5" t="s">
        <v>2355</v>
      </c>
      <c r="C9" s="3666"/>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65" t="s">
        <v>2358</v>
      </c>
      <c r="C10" s="3666"/>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65" t="s">
        <v>2361</v>
      </c>
      <c r="C11" s="3666"/>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8" t="s">
        <v>2364</v>
      </c>
      <c r="C12" s="3659"/>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8" t="s">
        <v>2370</v>
      </c>
      <c r="C14" s="3659"/>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8" t="s">
        <v>2374</v>
      </c>
      <c r="C15" s="3659"/>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8" t="s">
        <v>2383</v>
      </c>
      <c r="C16" s="3659"/>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2386</v>
      </c>
      <c r="C17" s="3661"/>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2">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4" t="s">
        <v>2319</v>
      </c>
      <c r="K32" s="3655"/>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6" t="s">
        <v>2329</v>
      </c>
      <c r="K33" s="3657"/>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6" t="s">
        <v>2331</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2">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40595</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10505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40595</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97" t="s">
        <v>1668</v>
      </c>
      <c r="S4" s="3698"/>
      <c r="T4" s="3697" t="s">
        <v>1669</v>
      </c>
      <c r="U4" s="3698"/>
      <c r="V4" s="3703" t="s">
        <v>1670</v>
      </c>
      <c r="W4" s="3703"/>
      <c r="X4" s="1355"/>
      <c r="Y4" s="3697" t="s">
        <v>1672</v>
      </c>
      <c r="Z4" s="3698"/>
      <c r="AA4" s="3684" t="s">
        <v>1668</v>
      </c>
      <c r="AB4" s="3684" t="s">
        <v>1669</v>
      </c>
      <c r="AC4" s="3684" t="s">
        <v>1670</v>
      </c>
    </row>
    <row r="5" spans="1:29" ht="15">
      <c r="A5" s="358"/>
      <c r="B5" s="359"/>
      <c r="C5" s="3706" t="s">
        <v>1673</v>
      </c>
      <c r="D5" s="3707"/>
      <c r="E5" s="3713" t="s">
        <v>1674</v>
      </c>
      <c r="F5" s="3714"/>
      <c r="G5" s="3706" t="s">
        <v>1675</v>
      </c>
      <c r="H5" s="3707"/>
      <c r="I5" s="3706" t="s">
        <v>1676</v>
      </c>
      <c r="J5" s="3707"/>
      <c r="K5" s="1890"/>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1890"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10"/>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7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7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7"/>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7"/>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2" t="str">
        <f>A47</f>
        <v>成交单价（元/平方米）</v>
      </c>
      <c r="Q47" s="3672"/>
      <c r="R47" s="3673">
        <f>E47</f>
        <v>0</v>
      </c>
      <c r="S47" s="3673"/>
      <c r="T47" s="3673">
        <f>G47</f>
        <v>0</v>
      </c>
      <c r="U47" s="3673"/>
      <c r="V47" s="3673">
        <f>I47</f>
        <v>0</v>
      </c>
      <c r="W47" s="367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703"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703"/>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703"/>
      <c r="AC6" s="3686"/>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2"/>
      <c r="Q22" s="1352"/>
      <c r="R22" s="705"/>
      <c r="S22" s="706"/>
      <c r="T22" s="705"/>
      <c r="U22" s="706"/>
      <c r="V22" s="705"/>
      <c r="W22" s="706"/>
      <c r="X22" s="1355"/>
      <c r="Y22" s="367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2"/>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2" t="str">
        <f>A47</f>
        <v>成交单价（元/平方米）</v>
      </c>
      <c r="Q47" s="3672"/>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25" t="s">
        <v>1771</v>
      </c>
      <c r="S4" s="3726"/>
      <c r="T4" s="3725" t="s">
        <v>1772</v>
      </c>
      <c r="U4" s="3726"/>
      <c r="V4" s="3727" t="s">
        <v>1773</v>
      </c>
      <c r="W4" s="3727"/>
      <c r="X4" s="1958"/>
      <c r="Y4" s="3725" t="s">
        <v>1775</v>
      </c>
      <c r="Z4" s="3726"/>
      <c r="AA4" s="3729" t="s">
        <v>1771</v>
      </c>
      <c r="AB4" s="3729" t="s">
        <v>1772</v>
      </c>
      <c r="AC4" s="3718" t="s">
        <v>1773</v>
      </c>
    </row>
    <row r="5" spans="1:29" ht="15">
      <c r="A5" s="358"/>
      <c r="B5" s="359"/>
      <c r="C5" s="3706" t="s">
        <v>1673</v>
      </c>
      <c r="D5" s="3707"/>
      <c r="E5" s="3713" t="s">
        <v>1674</v>
      </c>
      <c r="F5" s="3714"/>
      <c r="G5" s="3706" t="s">
        <v>1675</v>
      </c>
      <c r="H5" s="3707"/>
      <c r="I5" s="3706" t="s">
        <v>1676</v>
      </c>
      <c r="J5" s="3707"/>
      <c r="K5" s="559"/>
      <c r="L5" s="2715"/>
      <c r="M5" s="2716"/>
      <c r="N5" s="2716"/>
      <c r="O5" s="2716"/>
      <c r="P5" s="3723"/>
      <c r="Q5" s="3694"/>
      <c r="R5" s="3699"/>
      <c r="S5" s="3700"/>
      <c r="T5" s="3699"/>
      <c r="U5" s="3700"/>
      <c r="V5" s="3703"/>
      <c r="W5" s="3703"/>
      <c r="X5" s="1355"/>
      <c r="Y5" s="3699"/>
      <c r="Z5" s="3700"/>
      <c r="AA5" s="3685"/>
      <c r="AB5" s="3685"/>
      <c r="AC5" s="3719"/>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724"/>
      <c r="Q6" s="3696"/>
      <c r="R6" s="3699"/>
      <c r="S6" s="3700"/>
      <c r="T6" s="3701"/>
      <c r="U6" s="3702"/>
      <c r="V6" s="3703"/>
      <c r="W6" s="3703"/>
      <c r="X6" s="1355"/>
      <c r="Y6" s="3701"/>
      <c r="Z6" s="3702"/>
      <c r="AA6" s="3686"/>
      <c r="AB6" s="3686"/>
      <c r="AC6" s="3720"/>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7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7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913"/>
      <c r="M5" s="914"/>
      <c r="N5" s="914"/>
      <c r="O5" s="914"/>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913"/>
      <c r="M6" s="914"/>
      <c r="N6" s="914"/>
      <c r="O6" s="914"/>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5"/>
      <c r="Q15" s="1352"/>
      <c r="R15" s="705"/>
      <c r="S15" s="706"/>
      <c r="T15" s="705"/>
      <c r="U15" s="706"/>
      <c r="V15" s="705"/>
      <c r="W15" s="706"/>
      <c r="X15" s="1355"/>
      <c r="Y15" s="367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5"/>
      <c r="Q17" s="1352"/>
      <c r="R17" s="705"/>
      <c r="S17" s="706"/>
      <c r="T17" s="705"/>
      <c r="U17" s="706"/>
      <c r="V17" s="705"/>
      <c r="W17" s="706"/>
      <c r="X17" s="1355"/>
      <c r="Y17" s="367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5"/>
      <c r="Q19" s="1352"/>
      <c r="R19" s="705"/>
      <c r="S19" s="706"/>
      <c r="T19" s="705"/>
      <c r="U19" s="706"/>
      <c r="V19" s="705"/>
      <c r="W19" s="706"/>
      <c r="X19" s="1355"/>
      <c r="Y19" s="367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9" t="str">
        <f>A39</f>
        <v>估价对象XX用房的比较价值（楼面单价，元/平方米）</v>
      </c>
      <c r="Q39" s="367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5"/>
      <c r="Q15" s="1352"/>
      <c r="R15" s="705"/>
      <c r="S15" s="706"/>
      <c r="T15" s="705"/>
      <c r="U15" s="706"/>
      <c r="V15" s="705"/>
      <c r="W15" s="706"/>
      <c r="X15" s="1355"/>
      <c r="Y15" s="367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5"/>
      <c r="Q17" s="1352"/>
      <c r="R17" s="705"/>
      <c r="S17" s="706"/>
      <c r="T17" s="705"/>
      <c r="U17" s="706"/>
      <c r="V17" s="705"/>
      <c r="W17" s="706"/>
      <c r="X17" s="1355"/>
      <c r="Y17" s="367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5"/>
      <c r="Q19" s="1352"/>
      <c r="R19" s="705"/>
      <c r="S19" s="706"/>
      <c r="T19" s="705"/>
      <c r="U19" s="706"/>
      <c r="V19" s="705"/>
      <c r="W19" s="706"/>
      <c r="X19" s="1355"/>
      <c r="Y19" s="367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9" t="str">
        <f>A37</f>
        <v>估价对象XX用房的比较价值（楼面单价，元/平方米）</v>
      </c>
      <c r="Q37" s="367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30"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30"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72"/>
      <c r="Q10" s="1343" t="str">
        <f t="shared" si="6"/>
        <v>土地使用年限（年）</v>
      </c>
      <c r="R10" s="701" t="s">
        <v>14</v>
      </c>
      <c r="S10" s="702">
        <f t="shared" si="0"/>
        <v>121</v>
      </c>
      <c r="T10" s="701" t="s">
        <v>14</v>
      </c>
      <c r="U10" s="702">
        <f t="shared" si="1"/>
        <v>121</v>
      </c>
      <c r="V10" s="701" t="s">
        <v>14</v>
      </c>
      <c r="W10" s="702">
        <f t="shared" si="2"/>
        <v>121</v>
      </c>
      <c r="X10" s="703"/>
      <c r="Y10" s="3547"/>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2"/>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5"/>
      <c r="Q20" s="1352"/>
      <c r="R20" s="705"/>
      <c r="S20" s="706"/>
      <c r="T20" s="705"/>
      <c r="U20" s="706"/>
      <c r="V20" s="705"/>
      <c r="W20" s="706"/>
      <c r="X20" s="1355"/>
      <c r="Y20" s="367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5"/>
      <c r="Q24" s="1352"/>
      <c r="R24" s="705"/>
      <c r="S24" s="706"/>
      <c r="T24" s="705"/>
      <c r="U24" s="706"/>
      <c r="V24" s="705"/>
      <c r="W24" s="706"/>
      <c r="X24" s="1355"/>
      <c r="Y24" s="367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5"/>
      <c r="Q26" s="1352"/>
      <c r="R26" s="705"/>
      <c r="S26" s="706"/>
      <c r="T26" s="705"/>
      <c r="U26" s="706"/>
      <c r="V26" s="705"/>
      <c r="W26" s="706"/>
      <c r="X26" s="1355"/>
      <c r="Y26" s="367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5"/>
      <c r="Q28" s="1343"/>
      <c r="R28" s="701"/>
      <c r="S28" s="702"/>
      <c r="T28" s="701"/>
      <c r="U28" s="702"/>
      <c r="V28" s="701"/>
      <c r="W28" s="702"/>
      <c r="X28" s="703"/>
      <c r="Y28" s="367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2" t="str">
        <f>A46</f>
        <v>成交单价</v>
      </c>
      <c r="Q46" s="3672"/>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2" t="str">
        <f>A47</f>
        <v>比较价值（元/平方米）</v>
      </c>
      <c r="Q47" s="367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9" t="str">
        <f>A48</f>
        <v>估价对象XX用房的比较价值（楼面单价，元/平方米）</v>
      </c>
      <c r="Q48" s="367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3"/>
      <c r="H56" s="367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72"/>
      <c r="Q10" s="1343" t="str">
        <f t="shared" si="6"/>
        <v>土地使用年限（年）</v>
      </c>
      <c r="R10" s="701" t="s">
        <v>14</v>
      </c>
      <c r="S10" s="702">
        <f t="shared" si="0"/>
        <v>121</v>
      </c>
      <c r="T10" s="701" t="s">
        <v>14</v>
      </c>
      <c r="U10" s="702">
        <f t="shared" si="1"/>
        <v>121</v>
      </c>
      <c r="V10" s="701" t="s">
        <v>14</v>
      </c>
      <c r="W10" s="702">
        <f t="shared" si="2"/>
        <v>121</v>
      </c>
      <c r="X10" s="703"/>
      <c r="Y10" s="3547"/>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2" t="str">
        <f>A41</f>
        <v>成交单价</v>
      </c>
      <c r="Q41" s="3672"/>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2" t="str">
        <f>A42</f>
        <v>比较价值（元/平方米）</v>
      </c>
      <c r="Q42" s="367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9" t="str">
        <f>A43</f>
        <v>估价对象XX用房的比较价值（楼面单价，元/平方米）</v>
      </c>
      <c r="Q43" s="367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3"/>
      <c r="H51" s="367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7300</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7300</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D28" sqref="D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1904</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1"/>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3256</v>
      </c>
      <c r="B20" s="167" t="s">
        <v>1994</v>
      </c>
      <c r="C20" s="3325">
        <f>ROUND(IF(F21="与级别开发程度一致",0,(G21-E21)/C21),0)</f>
        <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1.0331999999999999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1904</v>
      </c>
      <c r="D33" s="2098">
        <f>'数据-汇总表'!F31</f>
        <v>38339.89</v>
      </c>
      <c r="E33" s="773">
        <f>ROUND(C33*D33/10000,0)</f>
        <v>7300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1295</v>
      </c>
      <c r="D37" s="2098"/>
      <c r="E37" s="171">
        <f>ROUND(C37*D37/10000,0)</f>
        <v>0</v>
      </c>
      <c r="F37" s="171">
        <f>SUMIF(修正!A57:A68,G2,修正!B57:B68)</f>
        <v>0.6</v>
      </c>
      <c r="G37" s="171">
        <f>ROUND(IF(E2="工业",C37*$M$42,C37*$M$41),0)</f>
        <v>194</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3460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8" t="s">
        <v>3296</v>
      </c>
      <c r="B103" s="3758"/>
      <c r="C103" s="3758"/>
      <c r="D103" s="3758"/>
      <c r="E103" s="3758"/>
      <c r="F103" s="3758"/>
      <c r="G103" s="3758"/>
      <c r="H103" s="3758"/>
      <c r="I103" s="3758"/>
      <c r="J103" s="3758"/>
      <c r="K103" s="3390"/>
      <c r="L103" s="3390"/>
      <c r="M103" s="3390"/>
      <c r="N103" s="3390"/>
    </row>
    <row r="104" spans="1:14">
      <c r="A104" s="3759" t="s">
        <v>3297</v>
      </c>
      <c r="B104" s="3759" t="s">
        <v>3298</v>
      </c>
      <c r="C104" s="3391" t="s">
        <v>3299</v>
      </c>
      <c r="D104" s="3392"/>
      <c r="E104" s="3392"/>
      <c r="F104" s="3392"/>
      <c r="G104" s="3392"/>
      <c r="H104" s="3392"/>
      <c r="I104" s="3392"/>
      <c r="J104" s="3393"/>
      <c r="K104" s="3394"/>
      <c r="L104" s="3394"/>
      <c r="M104" s="3394"/>
      <c r="N104" s="3394"/>
    </row>
    <row r="105" spans="1:14">
      <c r="A105" s="3759"/>
      <c r="B105" s="3759"/>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5"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8" t="s">
        <v>3313</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M10" sqref="M10"/>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s="3454">
        <f>ROUND(1-(1-2%)*(2024-2006)/50,2)</f>
        <v>0.65</v>
      </c>
      <c r="H3">
        <f>G3*D3</f>
        <v>265.39500000000004</v>
      </c>
      <c r="I3">
        <v>2500</v>
      </c>
      <c r="J3">
        <f>I3*D3</f>
        <v>1020750</v>
      </c>
      <c r="K3">
        <v>0.5</v>
      </c>
      <c r="L3">
        <f>K3*D3</f>
        <v>204.15</v>
      </c>
    </row>
    <row r="4" spans="2:12">
      <c r="B4" s="3451" t="s">
        <v>3433</v>
      </c>
      <c r="C4" s="3451" t="s">
        <v>3434</v>
      </c>
      <c r="D4">
        <f>'数据-基础表'!I14</f>
        <v>7399.18</v>
      </c>
      <c r="E4" s="3451" t="s">
        <v>3437</v>
      </c>
      <c r="F4" s="3451" t="s">
        <v>3448</v>
      </c>
      <c r="G4">
        <f>ROUND(1-(2024-2006)/60,2)</f>
        <v>0.7</v>
      </c>
      <c r="H4">
        <f t="shared" ref="H4:H7" si="0">G4*D4</f>
        <v>5179.4259999999995</v>
      </c>
      <c r="I4">
        <v>4500</v>
      </c>
      <c r="J4">
        <f t="shared" ref="J4:J7" si="1">I4*D4</f>
        <v>33296310</v>
      </c>
      <c r="K4">
        <v>2.6</v>
      </c>
      <c r="L4">
        <f t="shared" ref="L4:L7" si="2">K4*D4</f>
        <v>19237.868000000002</v>
      </c>
    </row>
    <row r="5" spans="2:12">
      <c r="B5" s="3451" t="s">
        <v>3438</v>
      </c>
      <c r="C5" s="3451" t="s">
        <v>3439</v>
      </c>
      <c r="D5">
        <f>'数据-基础表'!I15+'数据-基础表'!I16</f>
        <v>8898.5199999999986</v>
      </c>
      <c r="E5" s="3451" t="s">
        <v>3440</v>
      </c>
      <c r="F5" s="3451" t="s">
        <v>3448</v>
      </c>
      <c r="G5">
        <f t="shared" ref="G5" si="3">ROUND(1-(2024-2006)/60,2)</f>
        <v>0.7</v>
      </c>
      <c r="H5">
        <f t="shared" si="0"/>
        <v>6228.963999999999</v>
      </c>
      <c r="I5">
        <v>4000</v>
      </c>
      <c r="J5">
        <f t="shared" si="1"/>
        <v>35594079.999999993</v>
      </c>
      <c r="K5">
        <v>2</v>
      </c>
      <c r="L5">
        <f t="shared" si="2"/>
        <v>17797.039999999997</v>
      </c>
    </row>
    <row r="6" spans="2:12">
      <c r="B6" s="3451" t="s">
        <v>3441</v>
      </c>
      <c r="C6" s="3451" t="s">
        <v>3442</v>
      </c>
      <c r="D6">
        <f>'数据-基础表'!I18</f>
        <v>2012.95</v>
      </c>
      <c r="E6" s="3451" t="s">
        <v>3443</v>
      </c>
      <c r="F6" s="3451" t="s">
        <v>3450</v>
      </c>
      <c r="G6">
        <f>ROUND(1-(2024-2006)/60,2)</f>
        <v>0.7</v>
      </c>
      <c r="H6">
        <f t="shared" si="0"/>
        <v>1409.0650000000001</v>
      </c>
      <c r="I6">
        <v>4000</v>
      </c>
      <c r="J6">
        <f t="shared" si="1"/>
        <v>8051800</v>
      </c>
      <c r="K6">
        <v>2.2000000000000002</v>
      </c>
      <c r="L6">
        <f t="shared" si="2"/>
        <v>4428.4900000000007</v>
      </c>
    </row>
    <row r="7" spans="2:12">
      <c r="B7" s="3451" t="s">
        <v>3444</v>
      </c>
      <c r="C7" s="3451" t="s">
        <v>3445</v>
      </c>
      <c r="D7">
        <f>'数据-基础表'!I17</f>
        <v>19925.16</v>
      </c>
      <c r="E7" s="3451" t="s">
        <v>3446</v>
      </c>
      <c r="F7" s="3451" t="s">
        <v>3449</v>
      </c>
      <c r="G7" s="3454">
        <f>ROUND(1-(1-2%)*(2024-2006)/70,2)</f>
        <v>0.75</v>
      </c>
      <c r="H7">
        <f t="shared" si="0"/>
        <v>14943.869999999999</v>
      </c>
      <c r="I7">
        <v>4000</v>
      </c>
      <c r="J7">
        <f t="shared" si="1"/>
        <v>79700640</v>
      </c>
      <c r="K7">
        <v>2.2000000000000002</v>
      </c>
      <c r="L7">
        <f t="shared" si="2"/>
        <v>43835.352000000006</v>
      </c>
    </row>
    <row r="8" spans="2:12">
      <c r="D8">
        <f>SUM(D3:D7)</f>
        <v>38644.11</v>
      </c>
      <c r="G8">
        <f>ROUND(H8/D8,2)</f>
        <v>0.73</v>
      </c>
      <c r="H8">
        <f>SUM(H3:H7)</f>
        <v>28026.720000000001</v>
      </c>
      <c r="I8">
        <f>ROUND(J8/D8,0)</f>
        <v>4080</v>
      </c>
      <c r="J8">
        <f>SUM(J3:J7)</f>
        <v>157663580</v>
      </c>
      <c r="K8">
        <f>L8/D8</f>
        <v>2.2125726274974378</v>
      </c>
      <c r="L8">
        <f>SUM(L3:L7)</f>
        <v>85502.900000000009</v>
      </c>
    </row>
    <row r="10" spans="2:12">
      <c r="D10">
        <f>104.08+7399.18/5+8596.64/4+301.88+19925.16/4+2012.95/2</f>
        <v>10022.721</v>
      </c>
    </row>
    <row r="11" spans="2:12">
      <c r="C11" s="3451" t="s">
        <v>3454</v>
      </c>
      <c r="D11">
        <v>6000</v>
      </c>
      <c r="L11">
        <f>K11*D11</f>
        <v>0</v>
      </c>
    </row>
    <row r="12" spans="2:12">
      <c r="K12">
        <f>L12/D8</f>
        <v>2.2125726274974378</v>
      </c>
      <c r="L12">
        <f>L8+L11</f>
        <v>85502.900000000009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3" t="s">
        <v>2609</v>
      </c>
      <c r="B20" s="3768" t="s">
        <v>2630</v>
      </c>
      <c r="C20" s="3103" t="s">
        <v>2441</v>
      </c>
      <c r="D20" s="3104"/>
      <c r="E20" s="3105">
        <v>1</v>
      </c>
      <c r="F20" s="3106" t="s">
        <v>2442</v>
      </c>
      <c r="G20" s="3106"/>
    </row>
    <row r="21" spans="1:13" ht="19.5" customHeight="1">
      <c r="A21" s="3774"/>
      <c r="B21" s="3767"/>
      <c r="C21" s="3107" t="s">
        <v>2443</v>
      </c>
      <c r="D21" s="3108"/>
      <c r="E21" s="3109">
        <v>1</v>
      </c>
      <c r="F21" s="3106" t="s">
        <v>2444</v>
      </c>
      <c r="G21" s="3106"/>
    </row>
    <row r="22" spans="1:13" ht="19.5" customHeight="1">
      <c r="A22" s="3774"/>
      <c r="B22" s="3767"/>
      <c r="C22" s="3107" t="s">
        <v>2445</v>
      </c>
      <c r="D22" s="3108"/>
      <c r="E22" s="3109">
        <v>0.9</v>
      </c>
      <c r="F22" s="3106" t="s">
        <v>2446</v>
      </c>
      <c r="G22" s="3106"/>
    </row>
    <row r="23" spans="1:13" ht="19.5" customHeight="1">
      <c r="A23" s="3774"/>
      <c r="B23" s="3767"/>
      <c r="C23" s="3107" t="s">
        <v>2447</v>
      </c>
      <c r="D23" s="3108"/>
      <c r="E23" s="3109">
        <v>0.9</v>
      </c>
      <c r="F23" s="3106" t="s">
        <v>2448</v>
      </c>
      <c r="G23" s="3106"/>
    </row>
    <row r="24" spans="1:13" ht="19.5" customHeight="1">
      <c r="A24" s="3774"/>
      <c r="B24" s="3767"/>
      <c r="C24" s="3107" t="s">
        <v>2449</v>
      </c>
      <c r="D24" s="3108"/>
      <c r="E24" s="3109">
        <v>0.8</v>
      </c>
      <c r="F24" s="3106" t="s">
        <v>2450</v>
      </c>
      <c r="G24" s="3106"/>
    </row>
    <row r="25" spans="1:13" ht="19.5" customHeight="1" thickBot="1">
      <c r="A25" s="3775"/>
      <c r="B25" s="376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0" t="s">
        <v>2633</v>
      </c>
      <c r="B27" s="3768" t="s">
        <v>2614</v>
      </c>
      <c r="C27" s="3103" t="s">
        <v>2454</v>
      </c>
      <c r="D27" s="3104"/>
      <c r="E27" s="3105">
        <v>1</v>
      </c>
      <c r="F27" s="3106" t="s">
        <v>2455</v>
      </c>
      <c r="G27" s="3106"/>
    </row>
    <row r="28" spans="1:13" ht="19.5" customHeight="1">
      <c r="A28" s="3771"/>
      <c r="B28" s="3767"/>
      <c r="C28" s="3107" t="s">
        <v>2456</v>
      </c>
      <c r="D28" s="3108"/>
      <c r="E28" s="3109">
        <v>1</v>
      </c>
      <c r="F28" s="3106" t="s">
        <v>2457</v>
      </c>
      <c r="G28" s="3106"/>
    </row>
    <row r="29" spans="1:13" ht="19.5" customHeight="1">
      <c r="A29" s="3771"/>
      <c r="B29" s="3767"/>
      <c r="C29" s="3107" t="s">
        <v>2458</v>
      </c>
      <c r="D29" s="3108"/>
      <c r="E29" s="3109">
        <v>0.8</v>
      </c>
      <c r="F29" s="3106" t="s">
        <v>2459</v>
      </c>
      <c r="G29" s="3106"/>
    </row>
    <row r="30" spans="1:13" ht="19.5" customHeight="1">
      <c r="A30" s="3771"/>
      <c r="B30" s="3767"/>
      <c r="C30" s="3107" t="s">
        <v>2460</v>
      </c>
      <c r="D30" s="3108"/>
      <c r="E30" s="3109">
        <v>0.8</v>
      </c>
      <c r="F30" s="3106" t="s">
        <v>2461</v>
      </c>
      <c r="G30" s="3106"/>
    </row>
    <row r="31" spans="1:13" ht="19.5" customHeight="1">
      <c r="A31" s="3771"/>
      <c r="B31" s="3767"/>
      <c r="C31" s="3107" t="s">
        <v>2462</v>
      </c>
      <c r="D31" s="3108"/>
      <c r="E31" s="3109">
        <v>0.8</v>
      </c>
      <c r="F31" s="3106" t="s">
        <v>2463</v>
      </c>
      <c r="G31" s="3106"/>
    </row>
    <row r="32" spans="1:13" ht="19.5" customHeight="1">
      <c r="A32" s="3771"/>
      <c r="B32" s="3767"/>
      <c r="C32" s="3107" t="s">
        <v>2464</v>
      </c>
      <c r="D32" s="3108"/>
      <c r="E32" s="3109">
        <v>0.7</v>
      </c>
      <c r="F32" s="3106" t="s">
        <v>2465</v>
      </c>
      <c r="G32" s="3106"/>
    </row>
    <row r="33" spans="1:7" ht="19.5" customHeight="1">
      <c r="A33" s="3771"/>
      <c r="B33" s="3767"/>
      <c r="C33" s="3107" t="s">
        <v>2466</v>
      </c>
      <c r="D33" s="3108"/>
      <c r="E33" s="3109">
        <v>0.8</v>
      </c>
      <c r="F33" s="3106" t="s">
        <v>2467</v>
      </c>
      <c r="G33" s="3106"/>
    </row>
    <row r="34" spans="1:7" ht="19.5" customHeight="1">
      <c r="A34" s="3771"/>
      <c r="B34" s="3767"/>
      <c r="C34" s="3107" t="s">
        <v>2468</v>
      </c>
      <c r="D34" s="3108"/>
      <c r="E34" s="3109">
        <v>0.6</v>
      </c>
      <c r="F34" s="3106" t="s">
        <v>2469</v>
      </c>
      <c r="G34" s="3106"/>
    </row>
    <row r="35" spans="1:7" ht="19.5" customHeight="1">
      <c r="A35" s="3771"/>
      <c r="B35" s="3767"/>
      <c r="C35" s="3107" t="s">
        <v>2470</v>
      </c>
      <c r="D35" s="3108"/>
      <c r="E35" s="3109">
        <v>0.2</v>
      </c>
      <c r="F35" s="3106" t="s">
        <v>2471</v>
      </c>
      <c r="G35" s="3106"/>
    </row>
    <row r="36" spans="1:7" ht="19.5" customHeight="1">
      <c r="A36" s="3771"/>
      <c r="B36" s="3767"/>
      <c r="C36" s="3107" t="s">
        <v>2472</v>
      </c>
      <c r="D36" s="3108"/>
      <c r="E36" s="3109">
        <v>0.2</v>
      </c>
      <c r="F36" s="3106" t="s">
        <v>2473</v>
      </c>
      <c r="G36" s="3106"/>
    </row>
    <row r="37" spans="1:7" ht="19.5" customHeight="1">
      <c r="A37" s="3771"/>
      <c r="B37" s="3765" t="s">
        <v>2634</v>
      </c>
      <c r="C37" s="3107" t="s">
        <v>2474</v>
      </c>
      <c r="D37" s="3108"/>
      <c r="E37" s="3109">
        <v>0.6</v>
      </c>
      <c r="F37" s="3106" t="s">
        <v>2475</v>
      </c>
      <c r="G37" s="3106"/>
    </row>
    <row r="38" spans="1:7" ht="19.5" customHeight="1">
      <c r="A38" s="3771"/>
      <c r="B38" s="3767"/>
      <c r="C38" s="3107" t="s">
        <v>2476</v>
      </c>
      <c r="D38" s="3108"/>
      <c r="E38" s="3109">
        <v>0.6</v>
      </c>
      <c r="F38" s="3106" t="s">
        <v>2477</v>
      </c>
      <c r="G38" s="3106"/>
    </row>
    <row r="39" spans="1:7" ht="19.5" customHeight="1" thickBot="1">
      <c r="A39" s="3772"/>
      <c r="B39" s="376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3" t="s">
        <v>2612</v>
      </c>
      <c r="B41" s="3768" t="s">
        <v>2636</v>
      </c>
      <c r="C41" s="3103" t="s">
        <v>2481</v>
      </c>
      <c r="D41" s="3104"/>
      <c r="E41" s="3105">
        <v>1</v>
      </c>
      <c r="F41" s="3106" t="s">
        <v>2482</v>
      </c>
      <c r="G41" s="3106"/>
    </row>
    <row r="42" spans="1:7" ht="19.5" customHeight="1">
      <c r="A42" s="3774"/>
      <c r="B42" s="3767"/>
      <c r="C42" s="3107" t="s">
        <v>2483</v>
      </c>
      <c r="D42" s="3108"/>
      <c r="E42" s="3109">
        <v>1</v>
      </c>
      <c r="F42" s="3106" t="s">
        <v>2484</v>
      </c>
      <c r="G42" s="3106"/>
    </row>
    <row r="43" spans="1:7" ht="19.5" customHeight="1">
      <c r="A43" s="3774"/>
      <c r="B43" s="3766"/>
      <c r="C43" s="3107" t="s">
        <v>2485</v>
      </c>
      <c r="D43" s="3108"/>
      <c r="E43" s="3109">
        <v>1.5</v>
      </c>
      <c r="F43" s="3106" t="s">
        <v>2486</v>
      </c>
      <c r="G43" s="3106"/>
    </row>
    <row r="44" spans="1:7" ht="19.5" customHeight="1">
      <c r="A44" s="3774"/>
      <c r="B44" s="3118" t="s">
        <v>2637</v>
      </c>
      <c r="C44" s="3107" t="s">
        <v>2638</v>
      </c>
      <c r="D44" s="3108"/>
      <c r="E44" s="3109">
        <v>2</v>
      </c>
      <c r="F44" s="3106" t="s">
        <v>2487</v>
      </c>
      <c r="G44" s="3106"/>
    </row>
    <row r="45" spans="1:7" ht="19.5" customHeight="1">
      <c r="A45" s="3774"/>
      <c r="B45" s="3765" t="s">
        <v>2639</v>
      </c>
      <c r="C45" s="3107" t="s">
        <v>2488</v>
      </c>
      <c r="D45" s="3108"/>
      <c r="E45" s="3109">
        <v>1</v>
      </c>
      <c r="F45" s="3106" t="s">
        <v>2489</v>
      </c>
      <c r="G45" s="3106"/>
    </row>
    <row r="46" spans="1:7" ht="19.5" customHeight="1">
      <c r="A46" s="3774"/>
      <c r="B46" s="3767"/>
      <c r="C46" s="3107" t="s">
        <v>2490</v>
      </c>
      <c r="D46" s="3108"/>
      <c r="E46" s="3109">
        <v>1</v>
      </c>
      <c r="F46" s="3106" t="s">
        <v>2491</v>
      </c>
      <c r="G46" s="3106"/>
    </row>
    <row r="47" spans="1:7" ht="19.5" customHeight="1">
      <c r="A47" s="3774"/>
      <c r="B47" s="3767"/>
      <c r="C47" s="3107" t="s">
        <v>2492</v>
      </c>
      <c r="D47" s="3108"/>
      <c r="E47" s="3109">
        <v>1</v>
      </c>
      <c r="F47" s="3106" t="s">
        <v>2493</v>
      </c>
      <c r="G47" s="3106"/>
    </row>
    <row r="48" spans="1:7" ht="19.5" customHeight="1">
      <c r="A48" s="3774"/>
      <c r="B48" s="3767"/>
      <c r="C48" s="3107" t="s">
        <v>2494</v>
      </c>
      <c r="D48" s="3108"/>
      <c r="E48" s="3109">
        <v>1</v>
      </c>
      <c r="F48" s="3106" t="s">
        <v>2495</v>
      </c>
      <c r="G48" s="3106"/>
    </row>
    <row r="49" spans="1:7" ht="19.5" customHeight="1">
      <c r="A49" s="3774"/>
      <c r="B49" s="3767"/>
      <c r="C49" s="3107" t="s">
        <v>2496</v>
      </c>
      <c r="D49" s="3108"/>
      <c r="E49" s="3109">
        <v>1</v>
      </c>
      <c r="F49" s="3106" t="s">
        <v>2497</v>
      </c>
      <c r="G49" s="3106"/>
    </row>
    <row r="50" spans="1:7" ht="19.5" customHeight="1">
      <c r="A50" s="3774"/>
      <c r="B50" s="3767"/>
      <c r="C50" s="3107" t="s">
        <v>2498</v>
      </c>
      <c r="D50" s="3108"/>
      <c r="E50" s="3109">
        <v>1</v>
      </c>
      <c r="F50" s="3106" t="s">
        <v>2499</v>
      </c>
      <c r="G50" s="3106"/>
    </row>
    <row r="51" spans="1:7" ht="19.5" customHeight="1" thickBot="1">
      <c r="A51" s="3775"/>
      <c r="B51" s="376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5" t="s">
        <v>2653</v>
      </c>
      <c r="C73" s="3092" t="s">
        <v>2654</v>
      </c>
      <c r="D73" s="3092" t="s">
        <v>2655</v>
      </c>
      <c r="E73" s="3118">
        <v>0.2</v>
      </c>
      <c r="F73" s="3118">
        <v>25</v>
      </c>
    </row>
    <row r="74" spans="1:7" ht="24">
      <c r="A74" s="3118">
        <v>2</v>
      </c>
      <c r="B74" s="3767"/>
      <c r="C74" s="3092" t="s">
        <v>2656</v>
      </c>
      <c r="D74" s="3092" t="s">
        <v>2657</v>
      </c>
      <c r="E74" s="3118">
        <v>0.2</v>
      </c>
      <c r="F74" s="3118">
        <v>25</v>
      </c>
    </row>
    <row r="75" spans="1:7" ht="24">
      <c r="A75" s="3118">
        <v>3</v>
      </c>
      <c r="B75" s="3767"/>
      <c r="C75" s="3092" t="s">
        <v>2658</v>
      </c>
      <c r="D75" s="3092" t="s">
        <v>2659</v>
      </c>
      <c r="E75" s="3118">
        <v>0.2</v>
      </c>
      <c r="F75" s="3118">
        <v>25</v>
      </c>
    </row>
    <row r="76" spans="1:7" ht="13.5">
      <c r="A76" s="3118">
        <v>4</v>
      </c>
      <c r="B76" s="3767"/>
      <c r="C76" s="3092" t="s">
        <v>2660</v>
      </c>
      <c r="D76" s="3092" t="s">
        <v>2661</v>
      </c>
      <c r="E76" s="3118">
        <v>0.15</v>
      </c>
      <c r="F76" s="3118">
        <v>20</v>
      </c>
    </row>
    <row r="77" spans="1:7" ht="24">
      <c r="A77" s="3118">
        <v>5</v>
      </c>
      <c r="B77" s="3767"/>
      <c r="C77" s="3092" t="s">
        <v>2662</v>
      </c>
      <c r="D77" s="3092" t="s">
        <v>2663</v>
      </c>
      <c r="E77" s="3118">
        <v>0.15</v>
      </c>
      <c r="F77" s="3118">
        <v>20</v>
      </c>
    </row>
    <row r="78" spans="1:7" ht="24">
      <c r="A78" s="3118">
        <v>6</v>
      </c>
      <c r="B78" s="3767"/>
      <c r="C78" s="3092" t="s">
        <v>2664</v>
      </c>
      <c r="D78" s="3092" t="s">
        <v>2665</v>
      </c>
      <c r="E78" s="3118">
        <v>0.15</v>
      </c>
      <c r="F78" s="3118">
        <v>20</v>
      </c>
    </row>
    <row r="79" spans="1:7" ht="24">
      <c r="A79" s="3118">
        <v>7</v>
      </c>
      <c r="B79" s="3767"/>
      <c r="C79" s="3092" t="s">
        <v>2666</v>
      </c>
      <c r="D79" s="3092" t="s">
        <v>2667</v>
      </c>
      <c r="E79" s="3118">
        <v>0.15</v>
      </c>
      <c r="F79" s="3118">
        <v>20</v>
      </c>
    </row>
    <row r="80" spans="1:7" ht="24">
      <c r="A80" s="3118">
        <v>8</v>
      </c>
      <c r="B80" s="3767"/>
      <c r="C80" s="3092" t="s">
        <v>2668</v>
      </c>
      <c r="D80" s="3092" t="s">
        <v>2669</v>
      </c>
      <c r="E80" s="3118">
        <v>0.1</v>
      </c>
      <c r="F80" s="3118">
        <v>15</v>
      </c>
    </row>
    <row r="81" spans="1:6" ht="24">
      <c r="A81" s="3118">
        <v>9</v>
      </c>
      <c r="B81" s="3767"/>
      <c r="C81" s="3092" t="s">
        <v>2670</v>
      </c>
      <c r="D81" s="3092" t="s">
        <v>2671</v>
      </c>
      <c r="E81" s="3118">
        <v>0.1</v>
      </c>
      <c r="F81" s="3118">
        <v>15</v>
      </c>
    </row>
    <row r="82" spans="1:6" ht="24">
      <c r="A82" s="3118">
        <v>10</v>
      </c>
      <c r="B82" s="3767"/>
      <c r="C82" s="3092" t="s">
        <v>2672</v>
      </c>
      <c r="D82" s="3092" t="s">
        <v>2673</v>
      </c>
      <c r="E82" s="3118">
        <v>0.1</v>
      </c>
      <c r="F82" s="3118">
        <v>15</v>
      </c>
    </row>
    <row r="83" spans="1:6" ht="24">
      <c r="A83" s="3118">
        <v>11</v>
      </c>
      <c r="B83" s="3767"/>
      <c r="C83" s="3092" t="s">
        <v>2674</v>
      </c>
      <c r="D83" s="3092" t="s">
        <v>2675</v>
      </c>
      <c r="E83" s="3118">
        <v>0.1</v>
      </c>
      <c r="F83" s="3118">
        <v>15</v>
      </c>
    </row>
    <row r="84" spans="1:6" ht="24">
      <c r="A84" s="3118">
        <v>12</v>
      </c>
      <c r="B84" s="3767"/>
      <c r="C84" s="3092" t="s">
        <v>2676</v>
      </c>
      <c r="D84" s="3092" t="s">
        <v>2677</v>
      </c>
      <c r="E84" s="3118">
        <v>0.1</v>
      </c>
      <c r="F84" s="3118">
        <v>15</v>
      </c>
    </row>
    <row r="85" spans="1:6" ht="13.5">
      <c r="A85" s="3118">
        <v>13</v>
      </c>
      <c r="B85" s="3767"/>
      <c r="C85" s="3092" t="s">
        <v>2678</v>
      </c>
      <c r="D85" s="3092" t="s">
        <v>2679</v>
      </c>
      <c r="E85" s="3118">
        <v>0.1</v>
      </c>
      <c r="F85" s="3118">
        <v>15</v>
      </c>
    </row>
    <row r="86" spans="1:6" ht="13.5">
      <c r="A86" s="3118">
        <v>14</v>
      </c>
      <c r="B86" s="3767"/>
      <c r="C86" s="3092" t="s">
        <v>2680</v>
      </c>
      <c r="D86" s="3092" t="s">
        <v>2681</v>
      </c>
      <c r="E86" s="3118">
        <v>0.1</v>
      </c>
      <c r="F86" s="3118">
        <v>15</v>
      </c>
    </row>
    <row r="87" spans="1:6" ht="13.5">
      <c r="A87" s="3118">
        <v>15</v>
      </c>
      <c r="B87" s="3767"/>
      <c r="C87" s="3092" t="s">
        <v>2682</v>
      </c>
      <c r="D87" s="3092" t="s">
        <v>2683</v>
      </c>
      <c r="E87" s="3118">
        <v>0.1</v>
      </c>
      <c r="F87" s="3118">
        <v>15</v>
      </c>
    </row>
    <row r="88" spans="1:6" ht="24">
      <c r="A88" s="3118">
        <v>16</v>
      </c>
      <c r="B88" s="376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5" t="s">
        <v>2688</v>
      </c>
      <c r="C90" s="3092" t="s">
        <v>2689</v>
      </c>
      <c r="D90" s="3092" t="s">
        <v>2690</v>
      </c>
      <c r="E90" s="3118">
        <v>0.2</v>
      </c>
      <c r="F90" s="3118">
        <v>25</v>
      </c>
    </row>
    <row r="91" spans="1:6" ht="24">
      <c r="A91" s="3118">
        <v>19</v>
      </c>
      <c r="B91" s="3767"/>
      <c r="C91" s="3092" t="s">
        <v>2691</v>
      </c>
      <c r="D91" s="3092" t="s">
        <v>2692</v>
      </c>
      <c r="E91" s="3118">
        <v>0.2</v>
      </c>
      <c r="F91" s="3118">
        <v>25</v>
      </c>
    </row>
    <row r="92" spans="1:6" ht="13.5">
      <c r="A92" s="3118">
        <v>20</v>
      </c>
      <c r="B92" s="3767"/>
      <c r="C92" s="3092" t="s">
        <v>2693</v>
      </c>
      <c r="D92" s="3092" t="s">
        <v>2694</v>
      </c>
      <c r="E92" s="3118">
        <v>0.15</v>
      </c>
      <c r="F92" s="3118">
        <v>20</v>
      </c>
    </row>
    <row r="93" spans="1:6" ht="13.5">
      <c r="A93" s="3118">
        <v>21</v>
      </c>
      <c r="B93" s="3767"/>
      <c r="C93" s="3092" t="s">
        <v>2695</v>
      </c>
      <c r="D93" s="3092" t="s">
        <v>2696</v>
      </c>
      <c r="E93" s="3118">
        <v>0.15</v>
      </c>
      <c r="F93" s="3118">
        <v>20</v>
      </c>
    </row>
    <row r="94" spans="1:6" ht="13.5">
      <c r="A94" s="3118">
        <v>22</v>
      </c>
      <c r="B94" s="3767"/>
      <c r="C94" s="3092" t="s">
        <v>2697</v>
      </c>
      <c r="D94" s="3092" t="s">
        <v>2698</v>
      </c>
      <c r="E94" s="3118">
        <v>0.15</v>
      </c>
      <c r="F94" s="3118">
        <v>20</v>
      </c>
    </row>
    <row r="95" spans="1:6" ht="36">
      <c r="A95" s="3118">
        <v>23</v>
      </c>
      <c r="B95" s="3767"/>
      <c r="C95" s="3092" t="s">
        <v>2699</v>
      </c>
      <c r="D95" s="3092" t="s">
        <v>2700</v>
      </c>
      <c r="E95" s="3118">
        <v>0.15</v>
      </c>
      <c r="F95" s="3118">
        <v>20</v>
      </c>
    </row>
    <row r="96" spans="1:6" ht="13.5">
      <c r="A96" s="3118">
        <v>24</v>
      </c>
      <c r="B96" s="3767"/>
      <c r="C96" s="3092" t="s">
        <v>2701</v>
      </c>
      <c r="D96" s="3092" t="s">
        <v>2702</v>
      </c>
      <c r="E96" s="3118">
        <v>0.1</v>
      </c>
      <c r="F96" s="3118">
        <v>15</v>
      </c>
    </row>
    <row r="97" spans="1:6" ht="13.5">
      <c r="A97" s="3118">
        <v>25</v>
      </c>
      <c r="B97" s="3767"/>
      <c r="C97" s="3092" t="s">
        <v>2703</v>
      </c>
      <c r="D97" s="3092" t="s">
        <v>2704</v>
      </c>
      <c r="E97" s="3118">
        <v>0.1</v>
      </c>
      <c r="F97" s="3118">
        <v>15</v>
      </c>
    </row>
    <row r="98" spans="1:6" ht="24">
      <c r="A98" s="3118">
        <v>26</v>
      </c>
      <c r="B98" s="3767"/>
      <c r="C98" s="3092" t="s">
        <v>2705</v>
      </c>
      <c r="D98" s="3092" t="s">
        <v>2706</v>
      </c>
      <c r="E98" s="3118">
        <v>0.1</v>
      </c>
      <c r="F98" s="3118">
        <v>15</v>
      </c>
    </row>
    <row r="99" spans="1:6" ht="24">
      <c r="A99" s="3118">
        <v>27</v>
      </c>
      <c r="B99" s="3767"/>
      <c r="C99" s="3092" t="s">
        <v>2707</v>
      </c>
      <c r="D99" s="3092" t="s">
        <v>2708</v>
      </c>
      <c r="E99" s="3118">
        <v>0.1</v>
      </c>
      <c r="F99" s="3118">
        <v>15</v>
      </c>
    </row>
    <row r="100" spans="1:6" ht="13.5">
      <c r="A100" s="3118">
        <v>28</v>
      </c>
      <c r="B100" s="3767"/>
      <c r="C100" s="3092" t="s">
        <v>2709</v>
      </c>
      <c r="D100" s="3092" t="s">
        <v>2710</v>
      </c>
      <c r="E100" s="3118">
        <v>0.1</v>
      </c>
      <c r="F100" s="3118">
        <v>15</v>
      </c>
    </row>
    <row r="101" spans="1:6" ht="13.5">
      <c r="A101" s="3118">
        <v>29</v>
      </c>
      <c r="B101" s="3767"/>
      <c r="C101" s="3092" t="s">
        <v>2711</v>
      </c>
      <c r="D101" s="3092" t="s">
        <v>2712</v>
      </c>
      <c r="E101" s="3118">
        <v>0.1</v>
      </c>
      <c r="F101" s="3118">
        <v>15</v>
      </c>
    </row>
    <row r="102" spans="1:6" ht="13.5">
      <c r="A102" s="3118">
        <v>30</v>
      </c>
      <c r="B102" s="3767"/>
      <c r="C102" s="3092" t="s">
        <v>2713</v>
      </c>
      <c r="D102" s="3092" t="s">
        <v>2714</v>
      </c>
      <c r="E102" s="3118">
        <v>0.1</v>
      </c>
      <c r="F102" s="3118">
        <v>15</v>
      </c>
    </row>
    <row r="103" spans="1:6" ht="24">
      <c r="A103" s="3118">
        <v>31</v>
      </c>
      <c r="B103" s="3767"/>
      <c r="C103" s="3092" t="s">
        <v>2715</v>
      </c>
      <c r="D103" s="3092" t="s">
        <v>2716</v>
      </c>
      <c r="E103" s="3118">
        <v>0.1</v>
      </c>
      <c r="F103" s="3118">
        <v>15</v>
      </c>
    </row>
    <row r="104" spans="1:6" ht="24">
      <c r="A104" s="3118">
        <v>32</v>
      </c>
      <c r="B104" s="3767"/>
      <c r="C104" s="3092" t="s">
        <v>2717</v>
      </c>
      <c r="D104" s="3092" t="s">
        <v>2718</v>
      </c>
      <c r="E104" s="3118">
        <v>0.1</v>
      </c>
      <c r="F104" s="3118">
        <v>15</v>
      </c>
    </row>
    <row r="105" spans="1:6" ht="24">
      <c r="A105" s="3118">
        <v>33</v>
      </c>
      <c r="B105" s="376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5" t="s">
        <v>2723</v>
      </c>
      <c r="C107" s="3118" t="s">
        <v>2724</v>
      </c>
      <c r="D107" s="3092" t="s">
        <v>2725</v>
      </c>
      <c r="E107" s="3118">
        <v>0.15</v>
      </c>
      <c r="F107" s="3118">
        <v>20</v>
      </c>
    </row>
    <row r="108" spans="1:6" ht="13.5">
      <c r="A108" s="3118">
        <v>36</v>
      </c>
      <c r="B108" s="3767"/>
      <c r="C108" s="3118" t="s">
        <v>2726</v>
      </c>
      <c r="D108" s="3092" t="s">
        <v>2727</v>
      </c>
      <c r="E108" s="3118">
        <v>0.15</v>
      </c>
      <c r="F108" s="3118">
        <v>20</v>
      </c>
    </row>
    <row r="109" spans="1:6" ht="13.5">
      <c r="A109" s="3118">
        <v>37</v>
      </c>
      <c r="B109" s="3767"/>
      <c r="C109" s="3118" t="s">
        <v>2728</v>
      </c>
      <c r="D109" s="3092" t="s">
        <v>2729</v>
      </c>
      <c r="E109" s="3118">
        <v>0.15</v>
      </c>
      <c r="F109" s="3118">
        <v>20</v>
      </c>
    </row>
    <row r="110" spans="1:6" ht="13.5">
      <c r="A110" s="3118">
        <v>38</v>
      </c>
      <c r="B110" s="3767"/>
      <c r="C110" s="3118" t="s">
        <v>2730</v>
      </c>
      <c r="D110" s="3092" t="s">
        <v>2731</v>
      </c>
      <c r="E110" s="3118">
        <v>0.1</v>
      </c>
      <c r="F110" s="3118">
        <v>15</v>
      </c>
    </row>
    <row r="111" spans="1:6" ht="24">
      <c r="A111" s="3118">
        <v>39</v>
      </c>
      <c r="B111" s="376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4" t="s">
        <v>2736</v>
      </c>
      <c r="C113" s="3118" t="s">
        <v>2737</v>
      </c>
      <c r="D113" s="3092" t="s">
        <v>2738</v>
      </c>
      <c r="E113" s="3118">
        <v>0.1</v>
      </c>
      <c r="F113" s="3118">
        <v>15</v>
      </c>
    </row>
    <row r="114" spans="1:6" ht="13.5">
      <c r="A114" s="3118">
        <v>42</v>
      </c>
      <c r="B114" s="3764"/>
      <c r="C114" s="3118" t="s">
        <v>2739</v>
      </c>
      <c r="D114" s="3092" t="s">
        <v>2740</v>
      </c>
      <c r="E114" s="3118">
        <v>0.1</v>
      </c>
      <c r="F114" s="3118">
        <v>15</v>
      </c>
    </row>
    <row r="115" spans="1:6" ht="24">
      <c r="A115" s="3118">
        <v>43</v>
      </c>
      <c r="B115" s="3764"/>
      <c r="C115" s="3118" t="s">
        <v>2741</v>
      </c>
      <c r="D115" s="3092" t="s">
        <v>2742</v>
      </c>
      <c r="E115" s="3118">
        <v>0.1</v>
      </c>
      <c r="F115" s="3118">
        <v>15</v>
      </c>
    </row>
    <row r="116" spans="1:6" ht="13.5">
      <c r="A116" s="3118">
        <v>44</v>
      </c>
      <c r="B116" s="3765"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5"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5"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4" t="s">
        <v>2758</v>
      </c>
      <c r="C122" s="3118" t="s">
        <v>2759</v>
      </c>
      <c r="D122" s="3092" t="s">
        <v>2760</v>
      </c>
      <c r="E122" s="3118">
        <v>0.1</v>
      </c>
      <c r="F122" s="3118">
        <v>15</v>
      </c>
    </row>
    <row r="123" spans="1:6" ht="24">
      <c r="A123" s="3118">
        <v>51</v>
      </c>
      <c r="B123" s="3764"/>
      <c r="C123" s="3118" t="s">
        <v>2761</v>
      </c>
      <c r="D123" s="3092" t="s">
        <v>2762</v>
      </c>
      <c r="E123" s="3118">
        <v>0.1</v>
      </c>
      <c r="F123" s="3118">
        <v>15</v>
      </c>
    </row>
    <row r="124" spans="1:6" ht="24">
      <c r="A124" s="3118">
        <v>52</v>
      </c>
      <c r="B124" s="3764" t="s">
        <v>2763</v>
      </c>
      <c r="C124" s="3118" t="s">
        <v>2764</v>
      </c>
      <c r="D124" s="3092" t="s">
        <v>2765</v>
      </c>
      <c r="E124" s="3118">
        <v>0.1</v>
      </c>
      <c r="F124" s="3118">
        <v>15</v>
      </c>
    </row>
    <row r="125" spans="1:6" ht="24">
      <c r="A125" s="3118">
        <v>53</v>
      </c>
      <c r="B125" s="3764"/>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4" t="s">
        <v>2771</v>
      </c>
      <c r="C127" s="3118" t="s">
        <v>2772</v>
      </c>
      <c r="D127" s="3092" t="s">
        <v>2773</v>
      </c>
      <c r="E127" s="3118">
        <v>0.1</v>
      </c>
      <c r="F127" s="3118">
        <v>15</v>
      </c>
    </row>
    <row r="128" spans="1:6" ht="13.5">
      <c r="A128" s="3118">
        <v>56</v>
      </c>
      <c r="B128" s="3764"/>
      <c r="C128" s="3118" t="s">
        <v>2774</v>
      </c>
      <c r="D128" s="3092" t="s">
        <v>2775</v>
      </c>
      <c r="E128" s="3118">
        <v>0.1</v>
      </c>
      <c r="F128" s="3118">
        <v>15</v>
      </c>
    </row>
    <row r="129" spans="1:6" ht="24">
      <c r="A129" s="3118">
        <v>57</v>
      </c>
      <c r="B129" s="3764"/>
      <c r="C129" s="3118" t="s">
        <v>2776</v>
      </c>
      <c r="D129" s="3092" t="s">
        <v>2777</v>
      </c>
      <c r="E129" s="3118">
        <v>0.1</v>
      </c>
      <c r="F129" s="3118">
        <v>15</v>
      </c>
    </row>
    <row r="130" spans="1:6" ht="24">
      <c r="A130" s="3118">
        <v>58</v>
      </c>
      <c r="B130" s="3764" t="s">
        <v>2778</v>
      </c>
      <c r="C130" s="3118" t="s">
        <v>2779</v>
      </c>
      <c r="D130" s="3092" t="s">
        <v>2780</v>
      </c>
      <c r="E130" s="3118">
        <v>0.1</v>
      </c>
      <c r="F130" s="3118">
        <v>15</v>
      </c>
    </row>
    <row r="131" spans="1:6" ht="13.5">
      <c r="A131" s="3118">
        <v>59</v>
      </c>
      <c r="B131" s="3764"/>
      <c r="C131" s="3118" t="s">
        <v>2781</v>
      </c>
      <c r="D131" s="3092" t="s">
        <v>2782</v>
      </c>
      <c r="E131" s="3118">
        <v>0.1</v>
      </c>
      <c r="F131" s="3118">
        <v>15</v>
      </c>
    </row>
    <row r="132" spans="1:6" ht="13.5">
      <c r="A132" s="3118">
        <v>60</v>
      </c>
      <c r="B132" s="3765"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4" t="s">
        <v>2791</v>
      </c>
      <c r="C135" s="3118" t="s">
        <v>2792</v>
      </c>
      <c r="D135" s="3092" t="s">
        <v>2793</v>
      </c>
      <c r="E135" s="3118">
        <v>0.1</v>
      </c>
      <c r="F135" s="3118">
        <v>15</v>
      </c>
    </row>
    <row r="136" spans="1:6" ht="13.5">
      <c r="A136" s="3118">
        <v>64</v>
      </c>
      <c r="B136" s="3764"/>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36467</v>
      </c>
      <c r="E5" s="1491"/>
    </row>
    <row r="6" spans="1:5" ht="15.75">
      <c r="A6" s="1491"/>
      <c r="B6" s="3459"/>
      <c r="C6" s="1494" t="s">
        <v>911</v>
      </c>
      <c r="D6" s="850" t="str">
        <f ca="1">NUMBERSTRING(INT(D5*10000),2)&amp;"元整"</f>
        <v>叁亿陆仟肆佰陆拾柒万元整</v>
      </c>
      <c r="E6" s="1491"/>
    </row>
    <row r="7" spans="1:5" ht="15.75">
      <c r="A7" s="1491"/>
      <c r="B7" s="3464"/>
      <c r="C7" s="1495" t="s">
        <v>912</v>
      </c>
      <c r="D7" s="851">
        <f ca="1">结果表!H102</f>
        <v>9437</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36467</v>
      </c>
      <c r="E13" s="1491"/>
    </row>
    <row r="14" spans="1:5" ht="15.75">
      <c r="A14" s="1491"/>
      <c r="B14" s="3459"/>
      <c r="C14" s="1494" t="s">
        <v>911</v>
      </c>
      <c r="D14" s="850" t="str">
        <f ca="1">NUMBERSTRING(INT(D13*10000),2)&amp;"元整"</f>
        <v>叁亿陆仟肆佰陆拾柒万元整</v>
      </c>
      <c r="E14" s="1491"/>
    </row>
    <row r="15" spans="1:5" ht="15">
      <c r="A15" s="1491"/>
      <c r="B15" s="3464"/>
      <c r="C15" s="1495" t="s">
        <v>921</v>
      </c>
      <c r="D15" s="859">
        <f ca="1">结果表!H108</f>
        <v>9437</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4.抵押净值</v>
      </c>
      <c r="C19" s="1499" t="s">
        <v>910</v>
      </c>
      <c r="D19" s="851">
        <f ca="1">结果表!H111</f>
        <v>29810</v>
      </c>
      <c r="E19" s="1491"/>
    </row>
    <row r="20" spans="1:5" ht="15.75">
      <c r="A20" s="1491"/>
      <c r="B20" s="3459"/>
      <c r="C20" s="1494" t="s">
        <v>923</v>
      </c>
      <c r="D20" s="850" t="str">
        <f ca="1">NUMBERSTRING(INT(D19*10000),2)&amp;"元整"</f>
        <v>贰亿玖仟捌佰壹拾万元整</v>
      </c>
      <c r="E20" s="1491"/>
    </row>
    <row r="21" spans="1:5" ht="15.75" thickBot="1">
      <c r="A21" s="1491"/>
      <c r="B21" s="3460"/>
      <c r="C21" s="1501" t="s">
        <v>921</v>
      </c>
      <c r="D21" s="860">
        <f ca="1">结果表!H112</f>
        <v>7714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43332</v>
      </c>
      <c r="C2" s="2" t="s">
        <v>106</v>
      </c>
      <c r="D2" s="199"/>
      <c r="E2" s="199"/>
      <c r="F2" s="199"/>
      <c r="G2" s="199"/>
    </row>
    <row r="3" spans="1:7" s="200" customFormat="1" ht="18" customHeight="1" thickBot="1">
      <c r="A3" s="203" t="s">
        <v>58</v>
      </c>
      <c r="B3" s="204">
        <f ca="1">ROUND(B2*10000/'数据-汇总表'!E3,0)</f>
        <v>11213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15458</v>
      </c>
      <c r="D34" s="217"/>
      <c r="E34" s="220"/>
      <c r="F34" s="257">
        <f>IF('数据-取费表'!B24=0,1,'数据-取费表'!N16)</f>
        <v>1</v>
      </c>
      <c r="G34" s="219" t="s">
        <v>89</v>
      </c>
    </row>
    <row r="35" spans="1:7" ht="13.5" customHeight="1">
      <c r="A35" s="780" t="s">
        <v>351</v>
      </c>
      <c r="B35" s="215" t="s">
        <v>33</v>
      </c>
      <c r="C35" s="220">
        <f>ROUND(C34*F35,0)</f>
        <v>773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464</v>
      </c>
      <c r="D38" s="220"/>
      <c r="E38" s="220"/>
      <c r="F38" s="259">
        <f>'数据-取费表'!B36</f>
        <v>0.03</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553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542</v>
      </c>
      <c r="D42" s="238"/>
      <c r="E42" s="238"/>
      <c r="F42" s="239"/>
      <c r="G42" s="3640" t="s">
        <v>94</v>
      </c>
    </row>
    <row r="43" spans="1:7" ht="13.5" customHeight="1">
      <c r="A43" s="780" t="s">
        <v>347</v>
      </c>
      <c r="B43" s="215" t="s">
        <v>426</v>
      </c>
      <c r="C43" s="238">
        <f ca="1">ROUND(IF('数据-取费表'!B22&lt;=1,C39*F22*'数据-取费表'!B21/2,C39*(POWER((1+F22),'数据-取费表'!B21/2)-1)),0)</f>
        <v>11</v>
      </c>
      <c r="D43" s="238"/>
      <c r="E43" s="238"/>
      <c r="F43" s="239"/>
      <c r="G43" s="3641"/>
    </row>
    <row r="44" spans="1:7" ht="13.5" customHeight="1">
      <c r="A44" s="780" t="s">
        <v>348</v>
      </c>
      <c r="B44" s="215" t="s">
        <v>428</v>
      </c>
      <c r="C44" s="238">
        <f ca="1">ROUND(IF('数据-取费表'!B22&lt;=1,C40*F22*'数据-取费表'!B21/2,C40*(POWER((1+F22),'数据-取费表'!B21/2)-1)),4)</f>
        <v>5.9999999999999995E-4</v>
      </c>
      <c r="D44" s="238"/>
      <c r="E44" s="238"/>
      <c r="F44" s="239"/>
      <c r="G44" s="3642"/>
    </row>
    <row r="45" spans="1:7" s="214" customFormat="1" ht="13.5" customHeight="1">
      <c r="A45" s="777" t="s">
        <v>341</v>
      </c>
      <c r="B45" s="244" t="s">
        <v>85</v>
      </c>
      <c r="C45" s="245">
        <f>C46</f>
        <v>1425</v>
      </c>
      <c r="D45" s="235">
        <f>C47</f>
        <v>1.6000000000000001E-3</v>
      </c>
      <c r="E45" s="236" t="s">
        <v>102</v>
      </c>
      <c r="F45" s="246"/>
      <c r="G45" s="247" t="s">
        <v>434</v>
      </c>
    </row>
    <row r="46" spans="1:7" s="214" customFormat="1" ht="13.5" customHeight="1">
      <c r="A46" s="780" t="s">
        <v>349</v>
      </c>
      <c r="B46" s="248" t="s">
        <v>427</v>
      </c>
      <c r="C46" s="249">
        <f>ROUND((C33+C39)*F27,0)</f>
        <v>1425</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21412</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16380</v>
      </c>
      <c r="D51" s="232"/>
      <c r="E51" s="232"/>
      <c r="F51" s="264"/>
      <c r="G51" s="234" t="s">
        <v>37</v>
      </c>
    </row>
    <row r="52" spans="1:7" s="208" customFormat="1" ht="16.5" thickBot="1">
      <c r="A52" s="265" t="s">
        <v>38</v>
      </c>
      <c r="B52" s="266"/>
      <c r="C52" s="267">
        <f ca="1">C31+C51</f>
        <v>43332</v>
      </c>
      <c r="D52" s="266"/>
      <c r="E52" s="266"/>
      <c r="F52" s="266"/>
      <c r="G52" s="268"/>
    </row>
    <row r="55" spans="1:7" ht="15">
      <c r="B55" s="270" t="s">
        <v>39</v>
      </c>
      <c r="C55" s="271"/>
    </row>
    <row r="56" spans="1:7">
      <c r="B56" s="273" t="s">
        <v>40</v>
      </c>
      <c r="C56" s="274">
        <f ca="1">ROUND(C51/C52,3)</f>
        <v>0.378</v>
      </c>
    </row>
    <row r="57" spans="1:7">
      <c r="B57" s="273" t="s">
        <v>41</v>
      </c>
      <c r="C57" s="275">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2841</v>
      </c>
      <c r="B1" s="3778"/>
      <c r="C1" s="3778"/>
      <c r="D1" s="3778"/>
      <c r="E1" s="3778"/>
      <c r="F1" s="3778"/>
      <c r="G1" s="3779"/>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6"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7"/>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3183</v>
      </c>
      <c r="B1" s="3780"/>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3234</v>
      </c>
      <c r="B1" s="3781"/>
      <c r="C1" s="3781"/>
      <c r="D1" s="3781"/>
      <c r="E1" s="3781"/>
      <c r="F1" s="3782"/>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3" t="s">
        <v>2829</v>
      </c>
      <c r="S26" s="3784"/>
      <c r="T26" s="3784"/>
      <c r="U26" s="3784"/>
      <c r="V26" s="3784"/>
      <c r="W26" s="3784"/>
      <c r="X26" s="3165"/>
      <c r="Y26" s="3783" t="s">
        <v>2830</v>
      </c>
      <c r="Z26" s="3784"/>
      <c r="AA26" s="3784"/>
      <c r="AB26" s="3784"/>
      <c r="AC26" s="3784"/>
      <c r="AD26" s="3784"/>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14222</v>
      </c>
      <c r="E4" s="854">
        <f ca="1">结果表!E118</f>
        <v>3681</v>
      </c>
      <c r="F4" s="854">
        <f ca="1">结果表!F118</f>
        <v>22245</v>
      </c>
      <c r="G4" s="854">
        <f ca="1">结果表!G118</f>
        <v>5756</v>
      </c>
      <c r="H4" s="854">
        <f ca="1">结果表!H118</f>
        <v>36467</v>
      </c>
      <c r="I4" s="854">
        <f ca="1">结果表!I118</f>
        <v>9437</v>
      </c>
    </row>
    <row r="5" spans="1:9" ht="30" customHeight="1">
      <c r="A5" s="3471" t="s">
        <v>927</v>
      </c>
      <c r="B5" s="3471"/>
      <c r="C5" s="3471"/>
      <c r="D5" s="3471" t="str">
        <f ca="1">结果表!D119</f>
        <v>壹亿肆仟贰佰贰拾贰万元整</v>
      </c>
      <c r="E5" s="3471"/>
      <c r="F5" s="3471" t="str">
        <f ca="1">结果表!F119</f>
        <v>贰亿贰仟贰佰肆拾伍万元整</v>
      </c>
      <c r="G5" s="3471"/>
      <c r="H5" s="3471" t="str">
        <f ca="1">结果表!H119</f>
        <v>叁亿陆仟肆佰陆拾柒万元整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36467</v>
      </c>
      <c r="E8" s="3470"/>
      <c r="F8" s="3470"/>
      <c r="G8" s="3470"/>
      <c r="H8" s="3470"/>
      <c r="I8" s="3470"/>
    </row>
    <row r="9" spans="1:9" ht="15">
      <c r="A9" s="3471" t="s">
        <v>927</v>
      </c>
      <c r="B9" s="3471"/>
      <c r="C9" s="3471"/>
      <c r="D9" s="3471" t="str">
        <f ca="1">结果表!D123</f>
        <v>叁亿陆仟肆佰陆拾柒万元整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抵押净值</v>
      </c>
      <c r="B12" s="3470"/>
      <c r="C12" s="3470"/>
      <c r="D12" s="3470">
        <f ca="1">结果表!D126</f>
        <v>29810</v>
      </c>
      <c r="E12" s="3470"/>
      <c r="F12" s="3470"/>
      <c r="G12" s="3470"/>
      <c r="H12" s="3470"/>
      <c r="I12" s="3470"/>
    </row>
    <row r="13" spans="1:9" ht="15.75" thickBot="1">
      <c r="A13" s="3468" t="s">
        <v>927</v>
      </c>
      <c r="B13" s="3468"/>
      <c r="C13" s="3468"/>
      <c r="D13" s="3468" t="str">
        <f ca="1">结果表!D127</f>
        <v>贰亿玖仟捌佰壹拾万元整</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2024-11-01T05:20:10Z</dcterms:modified>
</cp:coreProperties>
</file>